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14" activeTab="3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和县土地案例" sheetId="70" r:id="rId30"/>
    <sheet name="含山县土地案例" sheetId="71" state="hidden"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 sheetId="68" r:id="rId44"/>
    <sheet name="二手房售价" sheetId="72" r:id="rId45"/>
    <sheet name="城镇基础设施费" sheetId="73" r:id="rId46"/>
    <sheet name="销售均价" sheetId="74" r:id="rId47"/>
    <sheet name="商业" sheetId="75" r:id="rId48"/>
    <sheet name="Sheet1" sheetId="76" r:id="rId49"/>
  </sheets>
  <externalReferences>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5">'[1]不动产比较法-办公'!$B$119:$M$119</definedName>
    <definedName name="办公层高" localSheetId="44">'[1]不动产比较法-办公'!$B$119:$M$119</definedName>
    <definedName name="办公层高" localSheetId="30">'[1]不动产比较法-办公'!$B$119:$M$119</definedName>
    <definedName name="办公层高" localSheetId="29">'不动产比较法-办公'!$B$119:$M$119</definedName>
    <definedName name="办公层高" localSheetId="12">'不动产比较法-办公'!$B$119:$M$119</definedName>
    <definedName name="办公层高" localSheetId="46">'[1]不动产比较法-办公'!$B$119:$M$119</definedName>
    <definedName name="办公层高">'不动产比较法-办公'!$B$119:$M$119</definedName>
    <definedName name="办公朝向" localSheetId="45">'[1]不动产比较法-办公'!$B$91:$M$91</definedName>
    <definedName name="办公朝向" localSheetId="44">'[1]不动产比较法-办公'!$B$91:$M$91</definedName>
    <definedName name="办公朝向" localSheetId="30">'[1]不动产比较法-办公'!$B$91:$M$91</definedName>
    <definedName name="办公朝向" localSheetId="29">'不动产比较法-办公'!$B$91:$M$91</definedName>
    <definedName name="办公朝向" localSheetId="12">'不动产比较法-办公'!$B$91:$M$91</definedName>
    <definedName name="办公朝向" localSheetId="46">'[1]不动产比较法-办公'!$B$91:$M$91</definedName>
    <definedName name="办公朝向">'不动产比较法-办公'!$B$91:$M$91</definedName>
    <definedName name="办公道路级别" localSheetId="45">'[1]不动产比较法-办公'!$B$87:$M$87</definedName>
    <definedName name="办公道路级别" localSheetId="44">'[1]不动产比较法-办公'!$B$87:$M$87</definedName>
    <definedName name="办公道路级别" localSheetId="30">'[1]不动产比较法-办公'!$B$87:$M$87</definedName>
    <definedName name="办公道路级别" localSheetId="29">'不动产比较法-办公'!$B$87:$M$87</definedName>
    <definedName name="办公道路级别" localSheetId="12">'不动产比较法-办公'!$B$87:$M$87</definedName>
    <definedName name="办公道路级别" localSheetId="46">'[1]不动产比较法-办公'!$B$87:$M$87</definedName>
    <definedName name="办公道路级别">'不动产比较法-办公'!$B$87:$M$87</definedName>
    <definedName name="办公公共部分装修" localSheetId="45">'[1]不动产比较法-办公'!$B$108:$M$108</definedName>
    <definedName name="办公公共部分装修" localSheetId="44">'[1]不动产比较法-办公'!$B$108:$M$108</definedName>
    <definedName name="办公公共部分装修" localSheetId="30">'[1]不动产比较法-办公'!$B$108:$M$108</definedName>
    <definedName name="办公公共部分装修" localSheetId="29">'不动产比较法-办公'!$B$108:$M$108</definedName>
    <definedName name="办公公共部分装修" localSheetId="12">'不动产比较法-办公'!$B$108:$M$108</definedName>
    <definedName name="办公公共部分装修" localSheetId="46">'[1]不动产比较法-办公'!$B$108:$M$108</definedName>
    <definedName name="办公公共部分装修">'不动产比较法-办公'!$B$108:$M$108</definedName>
    <definedName name="办公基础设施水平" localSheetId="45">'[1]不动产比较法-办公'!$B$117:$M$117</definedName>
    <definedName name="办公基础设施水平" localSheetId="44">'[1]不动产比较法-办公'!$B$117:$M$117</definedName>
    <definedName name="办公基础设施水平" localSheetId="30">'[1]不动产比较法-办公'!$B$117:$M$117</definedName>
    <definedName name="办公基础设施水平" localSheetId="29">'不动产比较法-办公'!$B$117:$M$117</definedName>
    <definedName name="办公基础设施水平" localSheetId="12">'不动产比较法-办公'!$B$117:$M$117</definedName>
    <definedName name="办公基础设施水平" localSheetId="46">'[1]不动产比较法-办公'!$B$117:$M$117</definedName>
    <definedName name="办公基础设施水平">'不动产比较法-办公'!$B$117:$M$117</definedName>
    <definedName name="办公集聚程度" localSheetId="45">[1]定义!$M$1:$M$6</definedName>
    <definedName name="办公集聚程度" localSheetId="44">[1]定义!$M$1:$M$6</definedName>
    <definedName name="办公集聚程度" localSheetId="30">[1]定义!$M$1:$M$6</definedName>
    <definedName name="办公集聚程度" localSheetId="29">定义!$M$1:$M$6</definedName>
    <definedName name="办公集聚程度" localSheetId="12">定义!$M$1:$M$6</definedName>
    <definedName name="办公集聚程度" localSheetId="46">[1]定义!$M$1:$M$6</definedName>
    <definedName name="办公集聚程度">定义!$M$1:$M$6</definedName>
    <definedName name="办公建筑结构" localSheetId="45">'[1]不动产比较法-办公'!$B$106:$M$106</definedName>
    <definedName name="办公建筑结构" localSheetId="44">'[1]不动产比较法-办公'!$B$106:$M$106</definedName>
    <definedName name="办公建筑结构" localSheetId="30">'[1]不动产比较法-办公'!$B$106:$M$106</definedName>
    <definedName name="办公建筑结构" localSheetId="29">'不动产比较法-办公'!$B$106:$M$106</definedName>
    <definedName name="办公建筑结构" localSheetId="12">'不动产比较法-办公'!$B$106:$M$106</definedName>
    <definedName name="办公建筑结构" localSheetId="46">'[1]不动产比较法-办公'!$B$106:$M$106</definedName>
    <definedName name="办公建筑结构">'不动产比较法-办公'!$B$106:$M$106</definedName>
    <definedName name="办公建筑类型" localSheetId="45">'[1]不动产比较法-办公'!$B$101:$M$101</definedName>
    <definedName name="办公建筑类型" localSheetId="44">'[1]不动产比较法-办公'!$B$101:$M$101</definedName>
    <definedName name="办公建筑类型" localSheetId="30">'[1]不动产比较法-办公'!$B$101:$M$101</definedName>
    <definedName name="办公建筑类型" localSheetId="29">'不动产比较法-办公'!$B$101:$M$101</definedName>
    <definedName name="办公建筑类型" localSheetId="12">'不动产比较法-办公'!$B$101:$M$101</definedName>
    <definedName name="办公建筑类型" localSheetId="46">'[1]不动产比较法-办公'!$B$101:$M$101</definedName>
    <definedName name="办公建筑类型">'不动产比较法-办公'!$B$101:$M$101</definedName>
    <definedName name="办公交易情况" localSheetId="45">'[1]不动产比较法-办公'!$A$62:$M$62</definedName>
    <definedName name="办公交易情况" localSheetId="44">'[1]不动产比较法-办公'!$A$62:$M$62</definedName>
    <definedName name="办公交易情况" localSheetId="30">'[1]不动产比较法-办公'!$A$62:$M$62</definedName>
    <definedName name="办公交易情况" localSheetId="29">'不动产比较法-办公'!$A$62:$M$62</definedName>
    <definedName name="办公交易情况" localSheetId="12">'不动产比较法-办公'!$A$62:$M$62</definedName>
    <definedName name="办公交易情况" localSheetId="46">'[1]不动产比较法-办公'!$A$62:$M$62</definedName>
    <definedName name="办公交易情况">'不动产比较法-办公'!$A$62:$M$62</definedName>
    <definedName name="办公楼层" localSheetId="45">'[1]不动产比较法-办公'!$B$89:$M$89</definedName>
    <definedName name="办公楼层" localSheetId="44">'[1]不动产比较法-办公'!$B$89:$M$89</definedName>
    <definedName name="办公楼层" localSheetId="30">'[1]不动产比较法-办公'!$B$89:$M$89</definedName>
    <definedName name="办公楼层" localSheetId="29">'不动产比较法-办公'!$B$89:$M$89</definedName>
    <definedName name="办公楼层" localSheetId="12">'不动产比较法-办公'!$B$89:$M$89</definedName>
    <definedName name="办公楼层" localSheetId="46">'[1]不动产比较法-办公'!$B$89:$M$89</definedName>
    <definedName name="办公楼层">'不动产比较法-办公'!$B$89:$M$89</definedName>
    <definedName name="办公内部装修" localSheetId="45">'[1]不动产比较法-办公'!$B$123:$M$123</definedName>
    <definedName name="办公内部装修" localSheetId="44">'[1]不动产比较法-办公'!$B$123:$M$123</definedName>
    <definedName name="办公内部装修" localSheetId="30">'[1]不动产比较法-办公'!$B$123:$M$123</definedName>
    <definedName name="办公内部装修" localSheetId="29">'不动产比较法-办公'!$B$123:$M$123</definedName>
    <definedName name="办公内部装修" localSheetId="12">'不动产比较法-办公'!$B$123:$M$123</definedName>
    <definedName name="办公内部装修" localSheetId="46">'[1]不动产比较法-办公'!$B$123:$M$123</definedName>
    <definedName name="办公内部装修">'不动产比较法-办公'!$B$123:$M$123</definedName>
    <definedName name="办公物业管理" localSheetId="45">'[1]不动产比较法-办公'!$B$115:$M$115</definedName>
    <definedName name="办公物业管理" localSheetId="44">'[1]不动产比较法-办公'!$B$115:$M$115</definedName>
    <definedName name="办公物业管理" localSheetId="30">'[1]不动产比较法-办公'!$B$115:$M$115</definedName>
    <definedName name="办公物业管理" localSheetId="29">'不动产比较法-办公'!$B$115:$M$115</definedName>
    <definedName name="办公物业管理" localSheetId="12">'不动产比较法-办公'!$B$115:$M$115</definedName>
    <definedName name="办公物业管理" localSheetId="46">'[1]不动产比较法-办公'!$B$115:$M$115</definedName>
    <definedName name="办公物业管理">'不动产比较法-办公'!$B$115:$M$115</definedName>
    <definedName name="办公用途" localSheetId="45">'[1]不动产比较法-办公'!$B$64:$M$64</definedName>
    <definedName name="办公用途" localSheetId="44">'[1]不动产比较法-办公'!$B$64:$M$64</definedName>
    <definedName name="办公用途" localSheetId="30">'[1]不动产比较法-办公'!$B$64:$M$64</definedName>
    <definedName name="办公用途" localSheetId="29">'不动产比较法-办公'!$B$64:$M$64</definedName>
    <definedName name="办公用途" localSheetId="12">'不动产比较法-办公'!$B$64:$M$64</definedName>
    <definedName name="办公用途" localSheetId="46">'[1]不动产比较法-办公'!$B$64:$M$64</definedName>
    <definedName name="办公用途">'不动产比较法-办公'!$B$64:$M$64</definedName>
    <definedName name="仓储公共部分装修" localSheetId="45">'[1]不动产比较法-仓储'!$B$77:$M$77</definedName>
    <definedName name="仓储公共部分装修" localSheetId="44">'[1]不动产比较法-仓储'!$B$77:$M$77</definedName>
    <definedName name="仓储公共部分装修" localSheetId="30">'[1]不动产比较法-仓储'!$B$77:$M$77</definedName>
    <definedName name="仓储公共部分装修" localSheetId="29">'不动产比较法-仓储'!$B$77:$M$77</definedName>
    <definedName name="仓储公共部分装修" localSheetId="12">'不动产比较法-仓储'!$B$77:$M$77</definedName>
    <definedName name="仓储公共部分装修" localSheetId="46">'[1]不动产比较法-仓储'!$B$77:$M$77</definedName>
    <definedName name="仓储公共部分装修">'不动产比较法-仓储'!$B$77:$M$77</definedName>
    <definedName name="仓储交易情况" localSheetId="45">'[1]不动产比较法-仓储'!$A$49:$M$49</definedName>
    <definedName name="仓储交易情况" localSheetId="44">'[1]不动产比较法-仓储'!$A$49:$M$49</definedName>
    <definedName name="仓储交易情况" localSheetId="30">'[1]不动产比较法-仓储'!$A$49:$M$49</definedName>
    <definedName name="仓储交易情况" localSheetId="29">'不动产比较法-仓储'!$A$49:$M$49</definedName>
    <definedName name="仓储交易情况" localSheetId="12">'不动产比较法-仓储'!$A$49:$M$49</definedName>
    <definedName name="仓储交易情况" localSheetId="46">'[1]不动产比较法-仓储'!$A$49:$M$49</definedName>
    <definedName name="仓储交易情况">'不动产比较法-仓储'!$A$49:$M$49</definedName>
    <definedName name="仓储楼层" localSheetId="45">'[1]不动产比较法-仓储'!$B$69:$M$69</definedName>
    <definedName name="仓储楼层" localSheetId="44">'[1]不动产比较法-仓储'!$B$69:$M$69</definedName>
    <definedName name="仓储楼层" localSheetId="30">'[1]不动产比较法-仓储'!$B$69:$M$69</definedName>
    <definedName name="仓储楼层" localSheetId="29">'不动产比较法-仓储'!$B$69:$M$69</definedName>
    <definedName name="仓储楼层" localSheetId="12">'不动产比较法-仓储'!$B$69:$M$69</definedName>
    <definedName name="仓储楼层" localSheetId="46">'[1]不动产比较法-仓储'!$B$69:$M$69</definedName>
    <definedName name="仓储楼层">'不动产比较法-仓储'!$B$69:$M$69</definedName>
    <definedName name="仓储物业等级" localSheetId="45">'[1]不动产比较法-仓储'!$B$82:$M$82</definedName>
    <definedName name="仓储物业等级" localSheetId="44">'[1]不动产比较法-仓储'!$B$82:$M$82</definedName>
    <definedName name="仓储物业等级" localSheetId="30">'[1]不动产比较法-仓储'!$B$82:$M$82</definedName>
    <definedName name="仓储物业等级" localSheetId="29">'不动产比较法-仓储'!$B$82:$M$82</definedName>
    <definedName name="仓储物业等级" localSheetId="12">'不动产比较法-仓储'!$B$82:$M$82</definedName>
    <definedName name="仓储物业等级" localSheetId="46">'[1]不动产比较法-仓储'!$B$82:$M$82</definedName>
    <definedName name="仓储物业等级">'不动产比较法-仓储'!$B$82:$M$82</definedName>
    <definedName name="仓储用途" localSheetId="45">'[1]不动产比较法-仓储'!$B$51:$M$51</definedName>
    <definedName name="仓储用途" localSheetId="44">'[1]不动产比较法-仓储'!$B$51:$M$51</definedName>
    <definedName name="仓储用途" localSheetId="30">'[1]不动产比较法-仓储'!$B$51:$M$51</definedName>
    <definedName name="仓储用途" localSheetId="29">'不动产比较法-仓储'!$B$51:$M$51</definedName>
    <definedName name="仓储用途" localSheetId="12">'不动产比较法-仓储'!$B$51:$M$51</definedName>
    <definedName name="仓储用途" localSheetId="46">'[1]不动产比较法-仓储'!$B$51:$M$51</definedName>
    <definedName name="仓储用途">'不动产比较法-仓储'!$B$51:$M$51</definedName>
    <definedName name="产业集聚程度" localSheetId="45">[1]定义!$N$1:$N$6</definedName>
    <definedName name="产业集聚程度" localSheetId="44">[1]定义!$N$1:$N$6</definedName>
    <definedName name="产业集聚程度" localSheetId="30">[1]定义!$N$1:$N$6</definedName>
    <definedName name="产业集聚程度" localSheetId="29">定义!$N$1:$N$6</definedName>
    <definedName name="产业集聚程度" localSheetId="12">定义!$N$1:$N$6</definedName>
    <definedName name="产业集聚程度" localSheetId="46">[1]定义!$N$1:$N$6</definedName>
    <definedName name="产业集聚程度">定义!$N$1:$N$6</definedName>
    <definedName name="车位公共部分装修" localSheetId="45">'[1]不动产比较法-车位'!$B$83:$M$83</definedName>
    <definedName name="车位公共部分装修" localSheetId="44">'[1]不动产比较法-车位'!$B$83:$M$83</definedName>
    <definedName name="车位公共部分装修" localSheetId="30">'[1]不动产比较法-车位'!$B$83:$M$83</definedName>
    <definedName name="车位公共部分装修" localSheetId="29">'不动产比较法-车位'!$B$83:$M$83</definedName>
    <definedName name="车位公共部分装修" localSheetId="12">'不动产比较法-车位'!$B$83:$M$83</definedName>
    <definedName name="车位公共部分装修" localSheetId="46">'[1]不动产比较法-车位'!$B$83:$M$83</definedName>
    <definedName name="车位公共部分装修">'不动产比较法-车位'!$B$83:$M$83</definedName>
    <definedName name="车位交易情况" localSheetId="45">'[1]不动产比较法-车位'!$A$51:$M$51</definedName>
    <definedName name="车位交易情况" localSheetId="44">'[1]不动产比较法-车位'!$A$51:$M$51</definedName>
    <definedName name="车位交易情况" localSheetId="30">'[1]不动产比较法-车位'!$A$51:$M$51</definedName>
    <definedName name="车位交易情况" localSheetId="29">'不动产比较法-车位'!$A$51:$M$51</definedName>
    <definedName name="车位交易情况" localSheetId="12">'不动产比较法-车位'!$A$51:$M$51</definedName>
    <definedName name="车位交易情况" localSheetId="46">'[1]不动产比较法-车位'!$A$51:$M$51</definedName>
    <definedName name="车位交易情况">'不动产比较法-车位'!$A$51:$M$51</definedName>
    <definedName name="车位类型" localSheetId="45">'[1]不动产比较法-车位'!$B$93:$M$93</definedName>
    <definedName name="车位类型" localSheetId="44">'[1]不动产比较法-车位'!$B$93:$M$93</definedName>
    <definedName name="车位类型" localSheetId="30">'[1]不动产比较法-车位'!$B$93:$M$93</definedName>
    <definedName name="车位类型" localSheetId="29">'不动产比较法-车位'!$B$93:$M$93</definedName>
    <definedName name="车位类型" localSheetId="12">'不动产比较法-车位'!$B$93:$M$93</definedName>
    <definedName name="车位类型" localSheetId="46">'[1]不动产比较法-车位'!$B$93:$M$93</definedName>
    <definedName name="车位类型">'不动产比较法-车位'!$B$93:$M$93</definedName>
    <definedName name="车位楼层" localSheetId="45">'[1]不动产比较法-车位'!$B$71:$M$71</definedName>
    <definedName name="车位楼层" localSheetId="44">'[1]不动产比较法-车位'!$B$71:$M$71</definedName>
    <definedName name="车位楼层" localSheetId="30">'[1]不动产比较法-车位'!$B$71:$M$71</definedName>
    <definedName name="车位楼层" localSheetId="29">'不动产比较法-车位'!$B$71:$M$71</definedName>
    <definedName name="车位楼层" localSheetId="12">'不动产比较法-车位'!$B$71:$M$71</definedName>
    <definedName name="车位楼层" localSheetId="46">'[1]不动产比较法-车位'!$B$71:$M$71</definedName>
    <definedName name="车位楼层">'不动产比较法-车位'!$B$71:$M$71</definedName>
    <definedName name="车位配套类型" localSheetId="45">'[1]不动产比较法-车位'!$B$79:$M$79</definedName>
    <definedName name="车位配套类型" localSheetId="44">'[1]不动产比较法-车位'!$B$79:$M$79</definedName>
    <definedName name="车位配套类型" localSheetId="30">'[1]不动产比较法-车位'!$B$79:$M$79</definedName>
    <definedName name="车位配套类型" localSheetId="29">'不动产比较法-车位'!$B$79:$M$79</definedName>
    <definedName name="车位配套类型" localSheetId="12">'不动产比较法-车位'!$B$79:$M$79</definedName>
    <definedName name="车位配套类型" localSheetId="46">'[1]不动产比较法-车位'!$B$79:$M$79</definedName>
    <definedName name="车位配套类型">'不动产比较法-车位'!$B$79:$M$79</definedName>
    <definedName name="车位物业等级" localSheetId="45">'[1]不动产比较法-车位'!$B$88:$M$88</definedName>
    <definedName name="车位物业等级" localSheetId="44">'[1]不动产比较法-车位'!$B$88:$M$88</definedName>
    <definedName name="车位物业等级" localSheetId="30">'[1]不动产比较法-车位'!$B$88:$M$88</definedName>
    <definedName name="车位物业等级" localSheetId="29">'不动产比较法-车位'!$B$88:$M$88</definedName>
    <definedName name="车位物业等级" localSheetId="12">'不动产比较法-车位'!$B$88:$M$88</definedName>
    <definedName name="车位物业等级" localSheetId="46">'[1]不动产比较法-车位'!$B$88:$M$88</definedName>
    <definedName name="车位物业等级">'不动产比较法-车位'!$B$88:$M$88</definedName>
    <definedName name="车位用途" localSheetId="45">'[1]不动产比较法-车位'!$B$53:$M$53</definedName>
    <definedName name="车位用途" localSheetId="44">'[1]不动产比较法-车位'!$B$53:$M$53</definedName>
    <definedName name="车位用途" localSheetId="30">'[1]不动产比较法-车位'!$B$53:$M$53</definedName>
    <definedName name="车位用途" localSheetId="29">'不动产比较法-车位'!$B$53:$M$53</definedName>
    <definedName name="车位用途" localSheetId="12">'不动产比较法-车位'!$B$53:$M$53</definedName>
    <definedName name="车位用途" localSheetId="46">'[1]不动产比较法-车位'!$B$53:$M$53</definedName>
    <definedName name="车位用途">'不动产比较法-车位'!$B$53:$M$53</definedName>
    <definedName name="城镇土地纳税等级分级范围" localSheetId="45">'[1]数据-取费表'!$A$53:$A$63</definedName>
    <definedName name="城镇土地纳税等级分级范围" localSheetId="44">'[1]数据-取费表'!$A$53:$A$63</definedName>
    <definedName name="城镇土地纳税等级分级范围" localSheetId="30">'[1]数据-取费表'!$A$53:$A$63</definedName>
    <definedName name="城镇土地纳税等级分级范围" localSheetId="29">'数据-取费表'!$A$53:$A$63</definedName>
    <definedName name="城镇土地纳税等级分级范围" localSheetId="12">'数据-取费表'!$A$53:$A$63</definedName>
    <definedName name="城镇土地纳税等级分级范围" localSheetId="46">'[1]数据-取费表'!$A$53:$A$63</definedName>
    <definedName name="城镇土地纳税等级分级范围">'数据-取费表'!$A$53:$A$63</definedName>
    <definedName name="单价内涵" localSheetId="45">[1]定义!$V$1:$V$3</definedName>
    <definedName name="单价内涵" localSheetId="44">[1]定义!$V$1:$V$3</definedName>
    <definedName name="单价内涵" localSheetId="30">[1]定义!$V$1:$V$3</definedName>
    <definedName name="单价内涵" localSheetId="29">定义!$V$1:$V$3</definedName>
    <definedName name="单价内涵" localSheetId="12">定义!$V$1:$V$3</definedName>
    <definedName name="单价内涵" localSheetId="46">[1]定义!$V$1:$V$3</definedName>
    <definedName name="单价内涵">定义!$V$1:$V$3</definedName>
    <definedName name="地类判定" localSheetId="45">[1]定义!$H$1:$H$9</definedName>
    <definedName name="地类判定" localSheetId="44">[1]定义!$H$1:$H$9</definedName>
    <definedName name="地类判定" localSheetId="30">[1]定义!$H$1:$H$9</definedName>
    <definedName name="地类判定" localSheetId="29">定义!$H$1:$H$9</definedName>
    <definedName name="地类判定" localSheetId="12">定义!$H$1:$H$9</definedName>
    <definedName name="地类判定" localSheetId="46">[1]定义!$H$1:$H$9</definedName>
    <definedName name="地类判定">定义!$H$1:$H$9</definedName>
    <definedName name="二级">区片价!$J$1:$J$20</definedName>
    <definedName name="二级分类" localSheetId="45">[1]修正!$C$17:$C$39</definedName>
    <definedName name="二级分类" localSheetId="44">[1]修正!$C$17:$C$39</definedName>
    <definedName name="二级分类" localSheetId="30">[1]修正!$C$17:$C$39</definedName>
    <definedName name="二级分类" localSheetId="29">修正!$C$17:$C$39</definedName>
    <definedName name="二级分类" localSheetId="12">修正!$C$17:$C$39</definedName>
    <definedName name="二级分类" localSheetId="46">[1]修正!$C$17:$C$39</definedName>
    <definedName name="二级分类">修正!$C$17:$C$39</definedName>
    <definedName name="法定最高年限" localSheetId="45">[1]定义!$G$2:$G$4</definedName>
    <definedName name="法定最高年限" localSheetId="44">[1]定义!$G$2:$G$4</definedName>
    <definedName name="法定最高年限" localSheetId="30">[1]定义!$G$2:$G$4</definedName>
    <definedName name="法定最高年限" localSheetId="29">定义!$G$2:$G$4</definedName>
    <definedName name="法定最高年限" localSheetId="12">定义!$G$2:$G$4</definedName>
    <definedName name="法定最高年限" localSheetId="46">[1]定义!$G$2:$G$4</definedName>
    <definedName name="法定最高年限">定义!$G$2:$G$4</definedName>
    <definedName name="工业公共部分装修" localSheetId="45">'[1]不动产比较法-工业'!$B$95:$M$95</definedName>
    <definedName name="工业公共部分装修" localSheetId="44">'[1]不动产比较法-工业'!$B$95:$M$95</definedName>
    <definedName name="工业公共部分装修" localSheetId="30">'[1]不动产比较法-工业'!$B$95:$M$95</definedName>
    <definedName name="工业公共部分装修" localSheetId="29">'不动产比较法-工业'!$B$95:$M$95</definedName>
    <definedName name="工业公共部分装修" localSheetId="12">'不动产比较法-工业'!$B$95:$M$95</definedName>
    <definedName name="工业公共部分装修" localSheetId="46">'[1]不动产比较法-工业'!$B$95:$M$95</definedName>
    <definedName name="工业公共部分装修">'不动产比较法-工业'!$B$95:$M$95</definedName>
    <definedName name="工业基础设施水平" localSheetId="45">'[1]不动产比较法-工业'!$B$102:$M$102</definedName>
    <definedName name="工业基础设施水平" localSheetId="44">'[1]不动产比较法-工业'!$B$102:$M$102</definedName>
    <definedName name="工业基础设施水平" localSheetId="30">'[1]不动产比较法-工业'!$B$102:$M$102</definedName>
    <definedName name="工业基础设施水平" localSheetId="29">'不动产比较法-工业'!$B$102:$M$102</definedName>
    <definedName name="工业基础设施水平" localSheetId="12">'不动产比较法-工业'!$B$102:$M$102</definedName>
    <definedName name="工业基础设施水平" localSheetId="46">'[1]不动产比较法-工业'!$B$102:$M$102</definedName>
    <definedName name="工业基础设施水平">'不动产比较法-工业'!$B$102:$M$102</definedName>
    <definedName name="工业建筑结构" localSheetId="45">'[1]不动产比较法-工业'!$B$93:$M$93</definedName>
    <definedName name="工业建筑结构" localSheetId="44">'[1]不动产比较法-工业'!$B$93:$M$93</definedName>
    <definedName name="工业建筑结构" localSheetId="30">'[1]不动产比较法-工业'!$B$93:$M$93</definedName>
    <definedName name="工业建筑结构" localSheetId="29">'不动产比较法-工业'!$B$93:$M$93</definedName>
    <definedName name="工业建筑结构" localSheetId="12">'不动产比较法-工业'!$B$93:$M$93</definedName>
    <definedName name="工业建筑结构" localSheetId="46">'[1]不动产比较法-工业'!$B$93:$M$93</definedName>
    <definedName name="工业建筑结构">'不动产比较法-工业'!$B$93:$M$93</definedName>
    <definedName name="工业建筑类型" localSheetId="45">'[1]不动产比较法-工业'!$B$88:$M$88</definedName>
    <definedName name="工业建筑类型" localSheetId="44">'[1]不动产比较法-工业'!$B$88:$M$88</definedName>
    <definedName name="工业建筑类型" localSheetId="30">'[1]不动产比较法-工业'!$B$88:$M$88</definedName>
    <definedName name="工业建筑类型" localSheetId="29">'不动产比较法-工业'!$B$88:$M$88</definedName>
    <definedName name="工业建筑类型" localSheetId="12">'不动产比较法-工业'!$B$88:$M$88</definedName>
    <definedName name="工业建筑类型" localSheetId="46">'[1]不动产比较法-工业'!$B$88:$M$88</definedName>
    <definedName name="工业建筑类型">'不动产比较法-工业'!$B$88:$M$88</definedName>
    <definedName name="工业交易情况" localSheetId="45">'[1]不动产比较法-工业'!$A$55:$M$55</definedName>
    <definedName name="工业交易情况" localSheetId="44">'[1]不动产比较法-工业'!$A$55:$M$55</definedName>
    <definedName name="工业交易情况" localSheetId="30">'[1]不动产比较法-工业'!$A$55:$M$55</definedName>
    <definedName name="工业交易情况" localSheetId="29">'不动产比较法-工业'!$A$55:$M$55</definedName>
    <definedName name="工业交易情况" localSheetId="12">'不动产比较法-工业'!$A$55:$M$55</definedName>
    <definedName name="工业交易情况" localSheetId="46">'[1]不动产比较法-工业'!$A$55:$M$55</definedName>
    <definedName name="工业交易情况">'不动产比较法-工业'!$A$55:$M$55</definedName>
    <definedName name="工业内部装修" localSheetId="45">'[1]不动产比较法-工业'!$B$104:$M$104</definedName>
    <definedName name="工业内部装修" localSheetId="44">'[1]不动产比较法-工业'!$B$104:$M$104</definedName>
    <definedName name="工业内部装修" localSheetId="30">'[1]不动产比较法-工业'!$B$104:$M$104</definedName>
    <definedName name="工业内部装修" localSheetId="29">'不动产比较法-工业'!$B$104:$M$104</definedName>
    <definedName name="工业内部装修" localSheetId="12">'不动产比较法-工业'!$B$104:$M$104</definedName>
    <definedName name="工业内部装修" localSheetId="46">'[1]不动产比较法-工业'!$B$104:$M$104</definedName>
    <definedName name="工业内部装修">'不动产比较法-工业'!$B$104:$M$104</definedName>
    <definedName name="工业物业管理" localSheetId="45">'[1]不动产比较法-工业'!$B$100:$M$100</definedName>
    <definedName name="工业物业管理" localSheetId="44">'[1]不动产比较法-工业'!$B$100:$M$100</definedName>
    <definedName name="工业物业管理" localSheetId="30">'[1]不动产比较法-工业'!$B$100:$M$100</definedName>
    <definedName name="工业物业管理" localSheetId="29">'不动产比较法-工业'!$B$100:$M$100</definedName>
    <definedName name="工业物业管理" localSheetId="12">'不动产比较法-工业'!$B$100:$M$100</definedName>
    <definedName name="工业物业管理" localSheetId="46">'[1]不动产比较法-工业'!$B$100:$M$100</definedName>
    <definedName name="工业物业管理">'不动产比较法-工业'!$B$100:$M$100</definedName>
    <definedName name="工业用途" localSheetId="45">'[1]不动产比较法-工业'!$B$57:$M$57</definedName>
    <definedName name="工业用途" localSheetId="44">'[1]不动产比较法-工业'!$B$57:$M$57</definedName>
    <definedName name="工业用途" localSheetId="30">'[1]不动产比较法-工业'!$B$57:$M$57</definedName>
    <definedName name="工业用途" localSheetId="29">'不动产比较法-工业'!$B$57:$M$57</definedName>
    <definedName name="工业用途" localSheetId="12">'不动产比较法-工业'!$B$57:$M$57</definedName>
    <definedName name="工业用途" localSheetId="46">'[1]不动产比较法-工业'!$B$57:$M$57</definedName>
    <definedName name="工业用途">'不动产比较法-工业'!$B$57:$M$57</definedName>
    <definedName name="公共配套设施" localSheetId="45">[1]定义!$Q$1:$Q$6</definedName>
    <definedName name="公共配套设施" localSheetId="44">[1]定义!$Q$1:$Q$6</definedName>
    <definedName name="公共配套设施" localSheetId="30">[1]定义!$Q$1:$Q$6</definedName>
    <definedName name="公共配套设施" localSheetId="29">定义!$Q$1:$Q$6</definedName>
    <definedName name="公共配套设施" localSheetId="12">定义!$Q$1:$Q$6</definedName>
    <definedName name="公共配套设施" localSheetId="46">[1]定义!$Q$1:$Q$6</definedName>
    <definedName name="公共配套设施">定义!$Q$1:$Q$6</definedName>
    <definedName name="估价方法" localSheetId="45">[1]定义!$B$1:$B$50</definedName>
    <definedName name="估价方法" localSheetId="44">[1]定义!$B$1:$B$50</definedName>
    <definedName name="估价方法" localSheetId="30">[1]定义!$B$1:$B$50</definedName>
    <definedName name="估价方法" localSheetId="29">定义!$B$1:$B$50</definedName>
    <definedName name="估价方法" localSheetId="12">定义!$B$1:$B$50</definedName>
    <definedName name="估价方法" localSheetId="46">[1]定义!$B$1:$B$50</definedName>
    <definedName name="估价方法">定义!$B$1:$B$50</definedName>
    <definedName name="环境" localSheetId="45">[1]定义!$S$1:$S$6</definedName>
    <definedName name="环境" localSheetId="44">[1]定义!$S$1:$S$6</definedName>
    <definedName name="环境" localSheetId="30">[1]定义!$S$1:$S$6</definedName>
    <definedName name="环境" localSheetId="29">定义!$S$1:$S$6</definedName>
    <definedName name="环境" localSheetId="12">定义!$S$1:$S$6</definedName>
    <definedName name="环境" localSheetId="46">[1]定义!$S$1:$S$6</definedName>
    <definedName name="环境">定义!$S$1:$S$6</definedName>
    <definedName name="基础设施水平" localSheetId="45">[1]定义!$R$1:$R$6</definedName>
    <definedName name="基础设施水平" localSheetId="44">[1]定义!$R$1:$R$6</definedName>
    <definedName name="基础设施水平" localSheetId="30">[1]定义!$R$1:$R$6</definedName>
    <definedName name="基础设施水平" localSheetId="29">定义!$R$1:$R$6</definedName>
    <definedName name="基础设施水平" localSheetId="12">定义!$R$1:$R$6</definedName>
    <definedName name="基础设施水平" localSheetId="46">[1]定义!$R$1:$R$6</definedName>
    <definedName name="基础设施水平">定义!$R$1:$R$6</definedName>
    <definedName name="季度">基准地价!$N$19:$AB$19</definedName>
    <definedName name="季度2014">地价!$A$2:$A$27</definedName>
    <definedName name="价值类型2" localSheetId="45">[1]定义!$B$54:$B$56</definedName>
    <definedName name="价值类型2" localSheetId="44">[1]定义!$B$54:$B$56</definedName>
    <definedName name="价值类型2" localSheetId="30">[1]定义!$B$54:$B$56</definedName>
    <definedName name="价值类型2" localSheetId="29">定义!$B$54:$B$56</definedName>
    <definedName name="价值类型2" localSheetId="12">定义!$B$54:$B$56</definedName>
    <definedName name="价值类型2" localSheetId="46">[1]定义!$B$54:$B$56</definedName>
    <definedName name="价值类型2">定义!$B$54:$B$56</definedName>
    <definedName name="交通便捷度" localSheetId="45">[1]定义!$O$1:$O$6</definedName>
    <definedName name="交通便捷度" localSheetId="44">[1]定义!$O$1:$O$6</definedName>
    <definedName name="交通便捷度" localSheetId="30">[1]定义!$O$1:$O$6</definedName>
    <definedName name="交通便捷度" localSheetId="29">定义!$O$1:$O$6</definedName>
    <definedName name="交通便捷度" localSheetId="12">定义!$O$1:$O$6</definedName>
    <definedName name="交通便捷度" localSheetId="46">[1]定义!$O$1:$O$6</definedName>
    <definedName name="交通便捷度">定义!$O$1:$O$6</definedName>
    <definedName name="九级">区片价!$Q$1:$Q$46</definedName>
    <definedName name="居住社区成熟度" localSheetId="45">[1]定义!$K$1:$K$6</definedName>
    <definedName name="居住社区成熟度" localSheetId="44">[1]定义!$K$1:$K$6</definedName>
    <definedName name="居住社区成熟度" localSheetId="30">[1]定义!$K$1:$K$6</definedName>
    <definedName name="居住社区成熟度" localSheetId="29">定义!$K$1:$K$6</definedName>
    <definedName name="居住社区成熟度" localSheetId="12">定义!$K$1:$K$6</definedName>
    <definedName name="居住社区成熟度" localSheetId="46">[1]定义!$K$1:$K$6</definedName>
    <definedName name="居住社区成熟度">定义!$K$1:$K$6</definedName>
    <definedName name="类别" localSheetId="45">[1]定义!$J$1:$J$3</definedName>
    <definedName name="类别" localSheetId="44">[1]定义!$J$1:$J$3</definedName>
    <definedName name="类别" localSheetId="30">[1]定义!$J$1:$J$3</definedName>
    <definedName name="类别" localSheetId="29">定义!$J$1:$J$3</definedName>
    <definedName name="类别" localSheetId="12">定义!$J$1:$J$3</definedName>
    <definedName name="类别" localSheetId="46">[1]定义!$J$1:$J$3</definedName>
    <definedName name="类别">定义!$J$1:$J$3</definedName>
    <definedName name="临街状况" localSheetId="45">[1]定义!$T$1:$T$5</definedName>
    <definedName name="临街状况" localSheetId="44">[1]定义!$T$1:$T$5</definedName>
    <definedName name="临街状况" localSheetId="30">[1]定义!$T$1:$T$5</definedName>
    <definedName name="临街状况" localSheetId="29">定义!$T$1:$T$5</definedName>
    <definedName name="临街状况" localSheetId="12">定义!$T$1:$T$5</definedName>
    <definedName name="临街状况" localSheetId="46">[1]定义!$T$1:$T$5</definedName>
    <definedName name="临街状况">定义!$T$1:$T$5</definedName>
    <definedName name="六级">区片价!$N$1:$N$49</definedName>
    <definedName name="内部装修维护情况" localSheetId="45">[1]定义!$U$1:$U$6</definedName>
    <definedName name="内部装修维护情况" localSheetId="44">[1]定义!$U$1:$U$6</definedName>
    <definedName name="内部装修维护情况" localSheetId="30">[1]定义!$U$1:$U$6</definedName>
    <definedName name="内部装修维护情况" localSheetId="29">定义!$U$1:$U$6</definedName>
    <definedName name="内部装修维护情况" localSheetId="12">定义!$U$1:$U$6</definedName>
    <definedName name="内部装修维护情况" localSheetId="46">[1]定义!$U$1:$U$6</definedName>
    <definedName name="内部装修维护情况">定义!$U$1:$U$6</definedName>
    <definedName name="判定" localSheetId="45">[1]定义!$D$1:$D$4</definedName>
    <definedName name="判定" localSheetId="44">[1]定义!$D$1:$D$4</definedName>
    <definedName name="判定" localSheetId="30">[1]定义!$D$1:$D$4</definedName>
    <definedName name="判定" localSheetId="29">定义!$D$1:$D$4</definedName>
    <definedName name="判定" localSheetId="12">定义!$D$1:$D$4</definedName>
    <definedName name="判定" localSheetId="46">[1]定义!$D$1:$D$4</definedName>
    <definedName name="判定">定义!$D$1:$D$4</definedName>
    <definedName name="七级">区片价!$O$1:$O$49</definedName>
    <definedName name="七通一平" localSheetId="45">[1]修正!$A$6:$A$14</definedName>
    <definedName name="七通一平" localSheetId="44">[1]修正!$A$6:$A$14</definedName>
    <definedName name="七通一平" localSheetId="30">[1]修正!$A$6:$A$14</definedName>
    <definedName name="七通一平" localSheetId="29">修正!$A$6:$A$14</definedName>
    <definedName name="七通一平" localSheetId="12">修正!$A$6:$A$14</definedName>
    <definedName name="七通一平" localSheetId="46">[1]修正!$A$6:$A$14</definedName>
    <definedName name="七通一平">修正!$A$6:$A$14</definedName>
    <definedName name="区域土地利用方向" localSheetId="45">[1]定义!$P$1:$P$6</definedName>
    <definedName name="区域土地利用方向" localSheetId="44">[1]定义!$P$1:$P$6</definedName>
    <definedName name="区域土地利用方向" localSheetId="30">[1]定义!$P$1:$P$6</definedName>
    <definedName name="区域土地利用方向" localSheetId="29">定义!$P$1:$P$6</definedName>
    <definedName name="区域土地利用方向" localSheetId="12">定义!$P$1:$P$6</definedName>
    <definedName name="区域土地利用方向" localSheetId="46">[1]定义!$P$1:$P$6</definedName>
    <definedName name="区域土地利用方向">定义!$P$1:$P$6</definedName>
    <definedName name="三级">区片价!$K$1:$K$21</definedName>
    <definedName name="商业层高" localSheetId="45">'[1]不动产比较法-商业'!$B$116:$M$116</definedName>
    <definedName name="商业层高" localSheetId="44">'[1]不动产比较法-商业'!$B$116:$M$116</definedName>
    <definedName name="商业层高" localSheetId="30">'[1]不动产比较法-商业'!$B$116:$M$116</definedName>
    <definedName name="商业层高" localSheetId="29">'不动产比较法-商业'!$B$116:$M$116</definedName>
    <definedName name="商业层高" localSheetId="12">'不动产比较法-商业'!$B$116:$M$116</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 localSheetId="44">[1]定义!$L$1:$L$6</definedName>
    <definedName name="商业繁华度" localSheetId="30">[1]定义!$L$1:$L$6</definedName>
    <definedName name="商业繁华度" localSheetId="29">定义!$L$1:$L$6</definedName>
    <definedName name="商业繁华度" localSheetId="12">定义!$L$1:$L$6</definedName>
    <definedName name="商业繁华度" localSheetId="46">[1]定义!$L$1:$L$6</definedName>
    <definedName name="商业繁华度">定义!$L$1:$L$6</definedName>
    <definedName name="商业公共部分装修" localSheetId="45">'[1]不动产比较法-商业'!$B$107:$M$107</definedName>
    <definedName name="商业公共部分装修" localSheetId="44">'[1]不动产比较法-商业'!$B$107:$M$107</definedName>
    <definedName name="商业公共部分装修" localSheetId="30">'[1]不动产比较法-商业'!$B$107:$M$107</definedName>
    <definedName name="商业公共部分装修" localSheetId="29">'不动产比较法-商业'!$B$107:$M$107</definedName>
    <definedName name="商业公共部分装修" localSheetId="12">'不动产比较法-商业'!$B$107:$M$107</definedName>
    <definedName name="商业公共部分装修" localSheetId="46">'[1]不动产比较法-商业'!$B$107:$M$107</definedName>
    <definedName name="商业公共部分装修">'不动产比较法-商业'!$B$107:$M$107</definedName>
    <definedName name="商业基础设施水平" localSheetId="45">'[1]不动产比较法-商业'!$B$112:$M$112</definedName>
    <definedName name="商业基础设施水平" localSheetId="44">'[1]不动产比较法-商业'!$B$112:$M$112</definedName>
    <definedName name="商业基础设施水平" localSheetId="30">'[1]不动产比较法-商业'!$B$112:$M$112</definedName>
    <definedName name="商业基础设施水平" localSheetId="29">'不动产比较法-商业'!$B$112:$M$112</definedName>
    <definedName name="商业基础设施水平" localSheetId="12">'不动产比较法-商业'!$B$112:$M$112</definedName>
    <definedName name="商业基础设施水平" localSheetId="46">'[1]不动产比较法-商业'!$B$112:$M$112</definedName>
    <definedName name="商业基础设施水平">'不动产比较法-商业'!$B$112:$M$112</definedName>
    <definedName name="商业建筑结构" localSheetId="45">'[1]不动产比较法-商业'!$B$105:$M$105</definedName>
    <definedName name="商业建筑结构" localSheetId="44">'[1]不动产比较法-商业'!$B$105:$M$105</definedName>
    <definedName name="商业建筑结构" localSheetId="30">'[1]不动产比较法-商业'!$B$105:$M$105</definedName>
    <definedName name="商业建筑结构" localSheetId="29">'不动产比较法-商业'!$B$105:$M$105</definedName>
    <definedName name="商业建筑结构" localSheetId="12">'不动产比较法-商业'!$B$105:$M$105</definedName>
    <definedName name="商业建筑结构" localSheetId="46">'[1]不动产比较法-商业'!$B$105:$M$105</definedName>
    <definedName name="商业建筑结构">'不动产比较法-商业'!$B$105:$M$105</definedName>
    <definedName name="商业交易情况" localSheetId="45">'[1]不动产比较法-商业'!$A$61:$M$61</definedName>
    <definedName name="商业交易情况" localSheetId="44">'[1]不动产比较法-商业'!$A$61:$M$61</definedName>
    <definedName name="商业交易情况" localSheetId="30">'[1]不动产比较法-商业'!$A$61:$M$61</definedName>
    <definedName name="商业交易情况" localSheetId="29">'不动产比较法-商业'!$A$61:$M$61</definedName>
    <definedName name="商业交易情况" localSheetId="12">'不动产比较法-商业'!$A$61:$M$61</definedName>
    <definedName name="商业交易情况" localSheetId="46">'[1]不动产比较法-商业'!$A$61:$M$61</definedName>
    <definedName name="商业交易情况">'不动产比较法-商业'!$A$61:$M$61</definedName>
    <definedName name="商业街名称" localSheetId="45">[1]修正!$C$59:$C$119</definedName>
    <definedName name="商业街名称" localSheetId="44">[1]修正!$C$59:$C$119</definedName>
    <definedName name="商业街名称" localSheetId="30">[1]修正!$C$59:$C$119</definedName>
    <definedName name="商业街名称" localSheetId="29">修正!$C$59:$C$119</definedName>
    <definedName name="商业街名称" localSheetId="12">修正!$C$59:$C$119</definedName>
    <definedName name="商业街名称" localSheetId="46">[1]修正!$C$59:$C$119</definedName>
    <definedName name="商业街名称">修正!$C$59:$C$119</definedName>
    <definedName name="商业进深比" localSheetId="45">'[1]不动产比较法-商业'!$B$120:$M$120</definedName>
    <definedName name="商业进深比" localSheetId="44">'[1]不动产比较法-商业'!$B$120:$M$120</definedName>
    <definedName name="商业进深比" localSheetId="30">'[1]不动产比较法-商业'!$B$120:$M$120</definedName>
    <definedName name="商业进深比" localSheetId="29">'不动产比较法-商业'!$B$120:$M$120</definedName>
    <definedName name="商业进深比" localSheetId="12">'不动产比较法-商业'!$B$120:$M$120</definedName>
    <definedName name="商业进深比" localSheetId="46">'[1]不动产比较法-商业'!$B$120:$M$120</definedName>
    <definedName name="商业进深比">'不动产比较法-商业'!$B$120:$M$120</definedName>
    <definedName name="商业类型" localSheetId="45">'[1]不动产比较法-商业'!$B$100:$M$100</definedName>
    <definedName name="商业类型" localSheetId="44">'[1]不动产比较法-商业'!$B$100:$M$100</definedName>
    <definedName name="商业类型" localSheetId="30">'[1]不动产比较法-商业'!$B$100:$M$100</definedName>
    <definedName name="商业类型" localSheetId="29">'不动产比较法-商业'!$B$100:$M$100</definedName>
    <definedName name="商业类型" localSheetId="12">'不动产比较法-商业'!$B$100:$M$100</definedName>
    <definedName name="商业类型" localSheetId="46">'[1]不动产比较法-商业'!$B$100:$M$100</definedName>
    <definedName name="商业类型">'不动产比较法-商业'!$B$100:$M$100</definedName>
    <definedName name="商业临街状况" localSheetId="45">'[1]不动产比较法-商业'!$B$86:$M$86</definedName>
    <definedName name="商业临街状况" localSheetId="44">'[1]不动产比较法-商业'!$B$86:$M$86</definedName>
    <definedName name="商业临街状况" localSheetId="30">'[1]不动产比较法-商业'!$B$86:$M$86</definedName>
    <definedName name="商业临街状况" localSheetId="29">'不动产比较法-商业'!$B$86:$M$86</definedName>
    <definedName name="商业临街状况" localSheetId="12">'不动产比较法-商业'!$B$86:$M$86</definedName>
    <definedName name="商业临街状况" localSheetId="46">'[1]不动产比较法-商业'!$B$86:$M$86</definedName>
    <definedName name="商业临街状况">'不动产比较法-商业'!$B$86:$M$86</definedName>
    <definedName name="商业楼层" localSheetId="45">'[1]不动产比较法-商业'!$B$92:$M$92</definedName>
    <definedName name="商业楼层" localSheetId="44">'[1]不动产比较法-商业'!$B$92:$M$92</definedName>
    <definedName name="商业楼层" localSheetId="30">'[1]不动产比较法-商业'!$B$92:$M$92</definedName>
    <definedName name="商业楼层" localSheetId="29">'不动产比较法-商业'!$B$92:$M$92</definedName>
    <definedName name="商业楼层" localSheetId="12">'不动产比较法-商业'!$B$92:$M$92</definedName>
    <definedName name="商业楼层" localSheetId="46">'[1]不动产比较法-商业'!$B$92:$M$92</definedName>
    <definedName name="商业楼层">'不动产比较法-商业'!$B$92:$M$92</definedName>
    <definedName name="商业内部装修" localSheetId="45">'[1]不动产比较法-商业'!$B$122:$M$122</definedName>
    <definedName name="商业内部装修" localSheetId="44">'[1]不动产比较法-商业'!$B$122:$M$122</definedName>
    <definedName name="商业内部装修" localSheetId="30">'[1]不动产比较法-商业'!$B$122:$M$122</definedName>
    <definedName name="商业内部装修" localSheetId="29">'不动产比较法-商业'!$B$122:$M$122</definedName>
    <definedName name="商业内部装修" localSheetId="12">'不动产比较法-商业'!$B$122:$M$122</definedName>
    <definedName name="商业内部装修" localSheetId="46">'[1]不动产比较法-商业'!$B$122:$M$122</definedName>
    <definedName name="商业内部装修">'不动产比较法-商业'!$B$122:$M$122</definedName>
    <definedName name="商业人流量" localSheetId="45">'[1]不动产比较法-商业'!$B$90:$M$90</definedName>
    <definedName name="商业人流量" localSheetId="44">'[1]不动产比较法-商业'!$B$90:$M$90</definedName>
    <definedName name="商业人流量" localSheetId="30">'[1]不动产比较法-商业'!$B$90:$M$90</definedName>
    <definedName name="商业人流量" localSheetId="29">'不动产比较法-商业'!$B$90:$M$90</definedName>
    <definedName name="商业人流量" localSheetId="12">'不动产比较法-商业'!$B$90:$M$90</definedName>
    <definedName name="商业人流量" localSheetId="46">'[1]不动产比较法-商业'!$B$90:$M$90</definedName>
    <definedName name="商业人流量">'不动产比较法-商业'!$B$90:$M$90</definedName>
    <definedName name="商业业态" localSheetId="45">'[1]不动产比较法-商业'!$B$114:$M$114</definedName>
    <definedName name="商业业态" localSheetId="44">'[1]不动产比较法-商业'!$B$114:$M$114</definedName>
    <definedName name="商业业态" localSheetId="30">'[1]不动产比较法-商业'!$B$114:$M$114</definedName>
    <definedName name="商业业态" localSheetId="29">'不动产比较法-商业'!$B$114:$M$114</definedName>
    <definedName name="商业业态" localSheetId="12">'不动产比较法-商业'!$B$114:$M$114</definedName>
    <definedName name="商业业态" localSheetId="46">'[1]不动产比较法-商业'!$B$114:$M$114</definedName>
    <definedName name="商业业态">'不动产比较法-商业'!$B$114:$M$114</definedName>
    <definedName name="商业用途" localSheetId="45">'[1]不动产比较法-商业'!$B$63:$M$63</definedName>
    <definedName name="商业用途" localSheetId="44">'[1]不动产比较法-商业'!$B$63:$M$63</definedName>
    <definedName name="商业用途" localSheetId="30">'[1]不动产比较法-商业'!$B$63:$M$63</definedName>
    <definedName name="商业用途" localSheetId="29">'不动产比较法-商业'!$B$63:$M$63</definedName>
    <definedName name="商业用途" localSheetId="12">'不动产比较法-商业'!$B$63:$M$63</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 localSheetId="44">'[1]不动产比较法-仓储'!$B$89:$M$89</definedName>
    <definedName name="是否封闭" localSheetId="30">'[1]不动产比较法-仓储'!$B$89:$M$89</definedName>
    <definedName name="是否封闭" localSheetId="29">'不动产比较法-仓储'!$B$89:$M$89</definedName>
    <definedName name="是否封闭" localSheetId="12">'不动产比较法-仓储'!$B$89:$M$89</definedName>
    <definedName name="是否封闭" localSheetId="46">'[1]不动产比较法-仓储'!$B$89:$M$89</definedName>
    <definedName name="是否封闭">'不动产比较法-仓储'!$B$89:$M$89</definedName>
    <definedName name="是否直接入户" localSheetId="45">'[1]不动产比较法-车位'!$B$95:$M$95</definedName>
    <definedName name="是否直接入户" localSheetId="44">'[1]不动产比较法-车位'!$B$95:$M$95</definedName>
    <definedName name="是否直接入户" localSheetId="30">'[1]不动产比较法-车位'!$B$95:$M$95</definedName>
    <definedName name="是否直接入户" localSheetId="29">'不动产比较法-车位'!$B$95:$M$95</definedName>
    <definedName name="是否直接入户" localSheetId="12">'不动产比较法-车位'!$B$95:$M$95</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44">'[1]比较法-工业'!$B$116:$M$116</definedName>
    <definedName name="套工工程地质条件" localSheetId="30">'[1]比较法-工业'!$B$116:$M$116</definedName>
    <definedName name="套工工程地质条件" localSheetId="29">'比较法-工业'!$B$116:$M$116</definedName>
    <definedName name="套工工程地质条件" localSheetId="12">'比较法-工业'!$B$116:$M$116</definedName>
    <definedName name="套工工程地质条件" localSheetId="46">'[1]比较法-工业'!$B$116:$M$116</definedName>
    <definedName name="套工工程地质条件">'比较法-工业'!$B$116:$M$116</definedName>
    <definedName name="套工交易情况" localSheetId="45">'[1]比较法-住宅、综合'!$A$75:$M$75</definedName>
    <definedName name="套工交易情况" localSheetId="44">'[1]比较法-住宅、综合'!$A$75:$M$75</definedName>
    <definedName name="套工交易情况" localSheetId="30">'[1]比较法-住宅、综合'!$A$75:$M$75</definedName>
    <definedName name="套工交易情况" localSheetId="29">'比较法-住宅、综合'!$A$75:$M$75</definedName>
    <definedName name="套工交易情况" localSheetId="12">'比较法-住宅、综合'!$A$75:$M$75</definedName>
    <definedName name="套工交易情况" localSheetId="46">'[1]比较法-住宅、综合'!$A$75:$M$75</definedName>
    <definedName name="套工交易情况">'比较法-住宅、综合'!$A$75:$M$75</definedName>
    <definedName name="套工开发程度" localSheetId="45">'[1]比较法-工业'!$B$114:$M$114</definedName>
    <definedName name="套工开发程度" localSheetId="44">'[1]比较法-工业'!$B$114:$M$114</definedName>
    <definedName name="套工开发程度" localSheetId="30">'[1]比较法-工业'!$B$114:$M$114</definedName>
    <definedName name="套工开发程度" localSheetId="29">'比较法-工业'!$B$114:$M$114</definedName>
    <definedName name="套工开发程度" localSheetId="12">'比较法-工业'!$B$114:$M$114</definedName>
    <definedName name="套工开发程度" localSheetId="46">'[1]比较法-工业'!$B$114:$M$114</definedName>
    <definedName name="套工开发程度">'比较法-工业'!$B$114:$M$114</definedName>
    <definedName name="套工临街等级" localSheetId="45">'[1]比较法-工业'!$B$99:$M$99</definedName>
    <definedName name="套工临街等级" localSheetId="44">'[1]比较法-工业'!$B$99:$M$99</definedName>
    <definedName name="套工临街等级" localSheetId="30">'[1]比较法-工业'!$B$99:$M$99</definedName>
    <definedName name="套工临街等级" localSheetId="29">'比较法-工业'!$B$99:$M$99</definedName>
    <definedName name="套工临街等级" localSheetId="12">'比较法-工业'!$B$99:$M$99</definedName>
    <definedName name="套工临街等级" localSheetId="46">'[1]比较法-工业'!$B$99:$M$99</definedName>
    <definedName name="套工临街等级">'比较法-工业'!$B$99:$M$99</definedName>
    <definedName name="套工土地级别" localSheetId="45">'[1]比较法-工业'!$B$101:$M$101</definedName>
    <definedName name="套工土地级别" localSheetId="44">'[1]比较法-工业'!$B$101:$M$101</definedName>
    <definedName name="套工土地级别" localSheetId="30">'[1]比较法-工业'!$B$101:$M$101</definedName>
    <definedName name="套工土地级别" localSheetId="29">'比较法-工业'!$B$101:$M$101</definedName>
    <definedName name="套工土地级别" localSheetId="12">'比较法-工业'!$B$101:$M$101</definedName>
    <definedName name="套工土地级别" localSheetId="46">'[1]比较法-工业'!$B$101:$M$101</definedName>
    <definedName name="套工土地级别">'比较法-工业'!$B$101:$M$101</definedName>
    <definedName name="套工用途" localSheetId="45">'[1]比较法-工业'!$B$72:$M$72</definedName>
    <definedName name="套工用途" localSheetId="44">'[1]比较法-工业'!$B$72:$M$72</definedName>
    <definedName name="套工用途" localSheetId="30">'[1]比较法-工业'!$B$72:$M$72</definedName>
    <definedName name="套工用途" localSheetId="29">'比较法-工业'!$B$72:$M$72</definedName>
    <definedName name="套工用途" localSheetId="12">'比较法-工业'!$B$72:$M$72</definedName>
    <definedName name="套工用途" localSheetId="46">'[1]比较法-工业'!$B$72:$M$72</definedName>
    <definedName name="套工用途">'比较法-工业'!$B$72:$M$72</definedName>
    <definedName name="套工宗地形状" localSheetId="45">'[1]比较法-工业'!$B$112:$M$112</definedName>
    <definedName name="套工宗地形状" localSheetId="44">'[1]比较法-工业'!$B$112:$M$112</definedName>
    <definedName name="套工宗地形状" localSheetId="30">'[1]比较法-工业'!$B$112:$M$112</definedName>
    <definedName name="套工宗地形状" localSheetId="29">'比较法-工业'!$B$112:$M$112</definedName>
    <definedName name="套工宗地形状" localSheetId="12">'比较法-工业'!$B$112:$M$112</definedName>
    <definedName name="套工宗地形状" localSheetId="46">'[1]比较法-工业'!$B$112:$M$112</definedName>
    <definedName name="套工宗地形状">'比较法-工业'!$B$112:$M$112</definedName>
    <definedName name="套综道路等级" localSheetId="45">'[1]比较法-住宅、综合'!$B$108:$M$108</definedName>
    <definedName name="套综道路等级" localSheetId="44">'[1]比较法-住宅、综合'!$B$108:$M$108</definedName>
    <definedName name="套综道路等级" localSheetId="30">'[1]比较法-住宅、综合'!$B$108:$M$108</definedName>
    <definedName name="套综道路等级" localSheetId="29">'比较法-住宅、综合'!$B$108:$M$108</definedName>
    <definedName name="套综道路等级" localSheetId="12">'比较法-住宅、综合'!$B$108:$M$108</definedName>
    <definedName name="套综道路等级" localSheetId="46">'[1]比较法-住宅、综合'!$B$108:$M$108</definedName>
    <definedName name="套综道路等级">'比较法-住宅、综合'!$B$108:$M$108</definedName>
    <definedName name="套综工程地质条件" localSheetId="45">'[1]比较法-住宅、综合'!$B$127:$M$127</definedName>
    <definedName name="套综工程地质条件" localSheetId="44">'[1]比较法-住宅、综合'!$B$127:$M$127</definedName>
    <definedName name="套综工程地质条件" localSheetId="30">'[1]比较法-住宅、综合'!$B$127:$M$127</definedName>
    <definedName name="套综工程地质条件" localSheetId="29">'比较法-住宅、综合'!$B$127:$M$127</definedName>
    <definedName name="套综工程地质条件" localSheetId="12">'比较法-住宅、综合'!$B$127:$M$127</definedName>
    <definedName name="套综工程地质条件" localSheetId="46">'[1]比较法-住宅、综合'!$B$127:$M$127</definedName>
    <definedName name="套综工程地质条件">'比较法-住宅、综合'!$B$127:$M$127</definedName>
    <definedName name="套综交易情况" localSheetId="45">'[1]比较法-住宅、综合'!$A$75:$M$75</definedName>
    <definedName name="套综交易情况" localSheetId="44">'[1]比较法-住宅、综合'!$A$75:$M$75</definedName>
    <definedName name="套综交易情况" localSheetId="30">'[1]比较法-住宅、综合'!$A$75:$M$75</definedName>
    <definedName name="套综交易情况" localSheetId="29">'比较法-住宅、综合'!$A$75:$M$75</definedName>
    <definedName name="套综交易情况" localSheetId="12">'比较法-住宅、综合'!$A$75:$M$75</definedName>
    <definedName name="套综交易情况" localSheetId="46">'[1]比较法-住宅、综合'!$A$75:$M$75</definedName>
    <definedName name="套综交易情况">'比较法-住宅、综合'!$A$75:$M$75</definedName>
    <definedName name="套综临街宽度及深度" localSheetId="45">'[1]比较法-住宅、综合'!$B$123:$M$123</definedName>
    <definedName name="套综临街宽度及深度" localSheetId="44">'[1]比较法-住宅、综合'!$B$123:$M$123</definedName>
    <definedName name="套综临街宽度及深度" localSheetId="30">'[1]比较法-住宅、综合'!$B$123:$M$123</definedName>
    <definedName name="套综临街宽度及深度" localSheetId="29">'比较法-住宅、综合'!$B$123:$M$123</definedName>
    <definedName name="套综临街宽度及深度" localSheetId="12">'比较法-住宅、综合'!$B$123:$M$123</definedName>
    <definedName name="套综临街宽度及深度" localSheetId="46">'[1]比较法-住宅、综合'!$B$123:$M$123</definedName>
    <definedName name="套综临街宽度及深度">'比较法-住宅、综合'!$B$123:$M$123</definedName>
    <definedName name="套综土地级别" localSheetId="45">'[1]比较法-住宅、综合'!$B$110:$M$110</definedName>
    <definedName name="套综土地级别" localSheetId="44">'[1]比较法-住宅、综合'!$B$110:$M$110</definedName>
    <definedName name="套综土地级别" localSheetId="30">'[1]比较法-住宅、综合'!$B$110:$M$110</definedName>
    <definedName name="套综土地级别" localSheetId="29">'比较法-住宅、综合'!$B$110:$M$110</definedName>
    <definedName name="套综土地级别" localSheetId="12">'比较法-住宅、综合'!$B$110:$M$110</definedName>
    <definedName name="套综土地级别" localSheetId="46">'[1]比较法-住宅、综合'!$B$110:$M$110</definedName>
    <definedName name="套综土地级别">'比较法-住宅、综合'!$B$110:$M$110</definedName>
    <definedName name="套综用途" localSheetId="45">'[1]比较法-住宅、综合'!$B$77:$M$77</definedName>
    <definedName name="套综用途" localSheetId="44">'[1]比较法-住宅、综合'!$B$77:$M$77</definedName>
    <definedName name="套综用途" localSheetId="30">'[1]比较法-住宅、综合'!$B$77:$M$77</definedName>
    <definedName name="套综用途" localSheetId="29">'比较法-住宅、综合'!$B$77:$M$77</definedName>
    <definedName name="套综用途" localSheetId="12">'比较法-住宅、综合'!$B$77:$M$77</definedName>
    <definedName name="套综用途" localSheetId="46">'[1]比较法-住宅、综合'!$B$77:$M$77</definedName>
    <definedName name="套综用途">'比较法-住宅、综合'!$B$77:$M$77</definedName>
    <definedName name="套综宗地内开发程度" localSheetId="45">'[1]比较法-住宅、综合'!$B$125:$M$125</definedName>
    <definedName name="套综宗地内开发程度" localSheetId="44">'[1]比较法-住宅、综合'!$B$125:$M$125</definedName>
    <definedName name="套综宗地内开发程度" localSheetId="30">'[1]比较法-住宅、综合'!$B$125:$M$125</definedName>
    <definedName name="套综宗地内开发程度" localSheetId="29">'比较法-住宅、综合'!$B$125:$M$125</definedName>
    <definedName name="套综宗地内开发程度" localSheetId="12">'比较法-住宅、综合'!$B$125:$M$125</definedName>
    <definedName name="套综宗地内开发程度" localSheetId="46">'[1]比较法-住宅、综合'!$B$125:$M$125</definedName>
    <definedName name="套综宗地内开发程度">'比较法-住宅、综合'!$B$125:$M$125</definedName>
    <definedName name="套综宗地形状" localSheetId="45">'[1]比较法-住宅、综合'!$B$121:$M$121</definedName>
    <definedName name="套综宗地形状" localSheetId="44">'[1]比较法-住宅、综合'!$B$121:$M$121</definedName>
    <definedName name="套综宗地形状" localSheetId="30">'[1]比较法-住宅、综合'!$B$121:$M$121</definedName>
    <definedName name="套综宗地形状" localSheetId="29">'比较法-住宅、综合'!$B$121:$M$121</definedName>
    <definedName name="套综宗地形状" localSheetId="12">'比较法-住宅、综合'!$B$121:$M$121</definedName>
    <definedName name="套综宗地形状" localSheetId="46">'[1]比较法-住宅、综合'!$B$121:$M$121</definedName>
    <definedName name="套综宗地形状">'比较法-住宅、综合'!$B$121:$M$121</definedName>
    <definedName name="土地估价师" localSheetId="45">[1]估价师及机构信息!$D$3:$D$24</definedName>
    <definedName name="土地估价师" localSheetId="44">[1]估价师及机构信息!$D$3:$D$24</definedName>
    <definedName name="土地估价师" localSheetId="30">[1]估价师及机构信息!$D$3:$D$24</definedName>
    <definedName name="土地估价师" localSheetId="29">估价师及机构信息!$D$3:$D$24</definedName>
    <definedName name="土地估价师" localSheetId="12">估价师及机构信息!$D$3:$D$24</definedName>
    <definedName name="土地估价师" localSheetId="46">[1]估价师及机构信息!$D$3:$D$24</definedName>
    <definedName name="土地估价师">估价师及机构信息!$D$3:$D$24</definedName>
    <definedName name="土地级别" localSheetId="45">[1]定义!$C$1:$C$14</definedName>
    <definedName name="土地级别" localSheetId="44">[1]定义!$C$1:$C$14</definedName>
    <definedName name="土地级别" localSheetId="30">[1]定义!$C$1:$C$14</definedName>
    <definedName name="土地级别" localSheetId="29">定义!$C$1:$C$14</definedName>
    <definedName name="土地级别" localSheetId="12">定义!$C$1:$C$14</definedName>
    <definedName name="土地级别" localSheetId="46">[1]定义!$C$1:$C$14</definedName>
    <definedName name="土地级别">定义!$C$1:$C$14</definedName>
    <definedName name="土地利用方向">定义!$P$1:$P$6</definedName>
    <definedName name="土地年限区间" localSheetId="45">[1]定义!$I$1:$I$8</definedName>
    <definedName name="土地年限区间" localSheetId="44">[1]定义!$I$1:$I$8</definedName>
    <definedName name="土地年限区间" localSheetId="30">[1]定义!$I$1:$I$8</definedName>
    <definedName name="土地年限区间" localSheetId="29">定义!$I$1:$I$8</definedName>
    <definedName name="土地年限区间" localSheetId="12">定义!$I$1:$I$8</definedName>
    <definedName name="土地年限区间" localSheetId="46">[1]定义!$I$1:$I$8</definedName>
    <definedName name="土地年限区间">定义!$I$1:$I$8</definedName>
    <definedName name="位置" localSheetId="45">[1]定义!$E$2:$E$4</definedName>
    <definedName name="位置" localSheetId="44">[1]定义!$E$2:$E$4</definedName>
    <definedName name="位置" localSheetId="30">[1]定义!$E$2:$E$4</definedName>
    <definedName name="位置" localSheetId="29">定义!$E$2:$E$4</definedName>
    <definedName name="位置" localSheetId="12">定义!$E$2:$E$4</definedName>
    <definedName name="位置" localSheetId="46">[1]定义!$E$2:$E$4</definedName>
    <definedName name="位置">定义!$E$2:$E$4</definedName>
    <definedName name="五等判定" localSheetId="45">[1]定义!$W$1:$W$6</definedName>
    <definedName name="五等判定" localSheetId="44">[1]定义!$W$1:$W$6</definedName>
    <definedName name="五等判定" localSheetId="30">[1]定义!$W$1:$W$6</definedName>
    <definedName name="五等判定" localSheetId="29">定义!$W$1:$W$6</definedName>
    <definedName name="五等判定" localSheetId="12">定义!$W$1:$W$6</definedName>
    <definedName name="五等判定" localSheetId="46">[1]定义!$W$1:$W$6</definedName>
    <definedName name="五等判定">定义!$W$1:$W$6</definedName>
    <definedName name="五级">区片价!$M$1:$M$35</definedName>
    <definedName name="项目类型" localSheetId="45">'[1]数据-汇总表'!$C$17:$C$26</definedName>
    <definedName name="项目类型" localSheetId="44">'[1]数据-汇总表'!$C$17:$C$26</definedName>
    <definedName name="项目类型" localSheetId="30">'[1]数据-汇总表'!$C$17:$C$26</definedName>
    <definedName name="项目类型" localSheetId="29">'数据-汇总表'!$C$17:$C$26</definedName>
    <definedName name="项目类型" localSheetId="12">'数据-汇总表'!$C$17:$C$26</definedName>
    <definedName name="项目类型" localSheetId="46">'[1]数据-汇总表'!$C$17:$C$26</definedName>
    <definedName name="项目类型">'数据-汇总表'!$C$17:$C$26</definedName>
    <definedName name="写字楼等级" localSheetId="45">'[1]不动产比较法-办公'!$B$113:$M$113</definedName>
    <definedName name="写字楼等级" localSheetId="44">'[1]不动产比较法-办公'!$B$113:$M$113</definedName>
    <definedName name="写字楼等级" localSheetId="30">'[1]不动产比较法-办公'!$B$113:$M$113</definedName>
    <definedName name="写字楼等级" localSheetId="29">'不动产比较法-办公'!$B$113:$M$113</definedName>
    <definedName name="写字楼等级" localSheetId="12">'不动产比较法-办公'!$B$113:$M$113</definedName>
    <definedName name="写字楼等级" localSheetId="46">'[1]不动产比较法-办公'!$B$113:$M$113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 localSheetId="44">[1]典型户型修正!$5:$5</definedName>
    <definedName name="一修多修正项2" localSheetId="30">[1]典型户型修正!$5:$5</definedName>
    <definedName name="一修多修正项2" localSheetId="29">典型户型修正!$5:$5</definedName>
    <definedName name="一修多修正项2" localSheetId="12">典型户型修正!$5:$5</definedName>
    <definedName name="一修多修正项2" localSheetId="46">[1]典型户型修正!$5:$5</definedName>
    <definedName name="一修多修正项2">典型户型修正!$5:$5</definedName>
    <definedName name="一修多修正项3" localSheetId="45">[1]典型户型修正!$7:$7</definedName>
    <definedName name="一修多修正项3" localSheetId="44">[1]典型户型修正!$7:$7</definedName>
    <definedName name="一修多修正项3" localSheetId="30">[1]典型户型修正!$7:$7</definedName>
    <definedName name="一修多修正项3" localSheetId="29">典型户型修正!$7:$7</definedName>
    <definedName name="一修多修正项3" localSheetId="12">典型户型修正!$7:$7</definedName>
    <definedName name="一修多修正项3" localSheetId="46">[1]典型户型修正!$7:$7</definedName>
    <definedName name="一修多修正项3">典型户型修正!$7:$7</definedName>
    <definedName name="一修多修正项4" localSheetId="45">[1]典型户型修正!$9:$9</definedName>
    <definedName name="一修多修正项4" localSheetId="44">[1]典型户型修正!$9:$9</definedName>
    <definedName name="一修多修正项4" localSheetId="30">[1]典型户型修正!$9:$9</definedName>
    <definedName name="一修多修正项4" localSheetId="29">典型户型修正!$9:$9</definedName>
    <definedName name="一修多修正项4" localSheetId="12">典型户型修正!$9:$9</definedName>
    <definedName name="一修多修正项4" localSheetId="46">[1]典型户型修正!$9:$9</definedName>
    <definedName name="一修多修正项4">典型户型修正!$9:$9</definedName>
    <definedName name="一修多修正项5" localSheetId="45">[1]典型户型修正!$11:$11</definedName>
    <definedName name="一修多修正项5" localSheetId="44">[1]典型户型修正!$11:$11</definedName>
    <definedName name="一修多修正项5" localSheetId="30">[1]典型户型修正!$11:$11</definedName>
    <definedName name="一修多修正项5" localSheetId="29">典型户型修正!$11:$11</definedName>
    <definedName name="一修多修正项5" localSheetId="12">典型户型修正!$11:$11</definedName>
    <definedName name="一修多修正项5" localSheetId="46">[1]典型户型修正!$11:$11</definedName>
    <definedName name="一修多修正项5">典型户型修正!$11:$11</definedName>
    <definedName name="一修多修正项6" localSheetId="45">[1]典型户型修正!$13:$13</definedName>
    <definedName name="一修多修正项6" localSheetId="44">[1]典型户型修正!$13:$13</definedName>
    <definedName name="一修多修正项6" localSheetId="30">[1]典型户型修正!$13:$13</definedName>
    <definedName name="一修多修正项6" localSheetId="29">典型户型修正!$13:$13</definedName>
    <definedName name="一修多修正项6" localSheetId="12">典型户型修正!$13:$13</definedName>
    <definedName name="一修多修正项6" localSheetId="46">[1]典型户型修正!$13:$13</definedName>
    <definedName name="一修多修正项6">典型户型修正!$13:$13</definedName>
    <definedName name="一修多修正项7" localSheetId="45">[1]典型户型修正!$15:$15</definedName>
    <definedName name="一修多修正项7" localSheetId="44">[1]典型户型修正!$15:$15</definedName>
    <definedName name="一修多修正项7" localSheetId="30">[1]典型户型修正!$15:$15</definedName>
    <definedName name="一修多修正项7" localSheetId="29">典型户型修正!$15:$15</definedName>
    <definedName name="一修多修正项7" localSheetId="12">典型户型修正!$15:$15</definedName>
    <definedName name="一修多修正项7" localSheetId="46">[1]典型户型修正!$15:$15</definedName>
    <definedName name="一修多修正项7">典型户型修正!$15:$15</definedName>
    <definedName name="一修多修正项8" localSheetId="45">[1]典型户型修正!$17:$17</definedName>
    <definedName name="一修多修正项8" localSheetId="44">[1]典型户型修正!$17:$17</definedName>
    <definedName name="一修多修正项8" localSheetId="30">[1]典型户型修正!$17:$17</definedName>
    <definedName name="一修多修正项8" localSheetId="29">典型户型修正!$17:$17</definedName>
    <definedName name="一修多修正项8" localSheetId="12">典型户型修正!$17:$17</definedName>
    <definedName name="一修多修正项8" localSheetId="46">[1]典型户型修正!$17:$17</definedName>
    <definedName name="一修多修正项8">典型户型修正!$17:$17</definedName>
    <definedName name="用途类型" localSheetId="45">[1]定义!$A$1:$A$50</definedName>
    <definedName name="用途类型" localSheetId="44">[1]定义!$A$1:$A$50</definedName>
    <definedName name="用途类型" localSheetId="30">[1]定义!$A$1:$A$50</definedName>
    <definedName name="用途类型" localSheetId="29">定义!$A$1:$A$50</definedName>
    <definedName name="用途类型" localSheetId="12">定义!$A$1:$A$50</definedName>
    <definedName name="用途类型" localSheetId="46">[1]定义!$A$1:$A$50</definedName>
    <definedName name="用途类型">定义!$A$1:$A$50</definedName>
    <definedName name="有无电梯" localSheetId="45">'[1]不动产比较法-仓储'!$B$84:$M$84</definedName>
    <definedName name="有无电梯" localSheetId="44">'[1]不动产比较法-仓储'!$B$84:$M$84</definedName>
    <definedName name="有无电梯" localSheetId="30">'[1]不动产比较法-仓储'!$B$84:$M$84</definedName>
    <definedName name="有无电梯" localSheetId="29">'不动产比较法-仓储'!$B$84:$M$84</definedName>
    <definedName name="有无电梯" localSheetId="12">'不动产比较法-仓储'!$B$84:$M$84</definedName>
    <definedName name="有无电梯" localSheetId="46">'[1]不动产比较法-仓储'!$B$84:$M$84</definedName>
    <definedName name="有无电梯">'不动产比较法-仓储'!$B$84:$M$84</definedName>
    <definedName name="主用途" localSheetId="45">[1]定义!$F$1:$F$10</definedName>
    <definedName name="主用途" localSheetId="44">[1]定义!$F$1:$F$10</definedName>
    <definedName name="主用途" localSheetId="30">[1]定义!$F$1:$F$10</definedName>
    <definedName name="主用途" localSheetId="29">定义!$F$1:$F$10</definedName>
    <definedName name="主用途" localSheetId="12">定义!$F$1:$F$10</definedName>
    <definedName name="主用途" localSheetId="46">[1]定义!$F$1:$F$10</definedName>
    <definedName name="主用途">定义!$F$1:$F$10</definedName>
    <definedName name="住宅朝向" localSheetId="45">'[1]不动产比较法-住宅'!$B$88:$M$88</definedName>
    <definedName name="住宅朝向" localSheetId="44">'[1]不动产比较法-住宅'!$B$88:$M$88</definedName>
    <definedName name="住宅朝向" localSheetId="30">'[1]不动产比较法-住宅'!$B$88:$M$88</definedName>
    <definedName name="住宅朝向" localSheetId="29">'不动产比较法-住宅'!$B$88:$M$88</definedName>
    <definedName name="住宅朝向" localSheetId="12">'不动产比较法-住宅'!$B$88:$M$88</definedName>
    <definedName name="住宅朝向" localSheetId="46">'[1]不动产比较法-住宅'!$B$88:$M$88</definedName>
    <definedName name="住宅朝向">'不动产比较法-住宅'!$B$88:$M$88</definedName>
    <definedName name="住宅房型" localSheetId="45">'[1]不动产比较法-住宅'!$B$118:$M$118</definedName>
    <definedName name="住宅房型" localSheetId="44">'[1]不动产比较法-住宅'!$B$118:$M$118</definedName>
    <definedName name="住宅房型" localSheetId="30">'[1]不动产比较法-住宅'!$B$118:$M$118</definedName>
    <definedName name="住宅房型" localSheetId="29">'不动产比较法-住宅'!$B$118:$M$118</definedName>
    <definedName name="住宅房型" localSheetId="12">'不动产比较法-住宅'!$B$118:$M$118</definedName>
    <definedName name="住宅房型" localSheetId="46">'[1]不动产比较法-住宅'!$B$118:$M$118</definedName>
    <definedName name="住宅房型">'不动产比较法-住宅'!$B$118:$M$118</definedName>
    <definedName name="住宅公共部分装修" localSheetId="45">'[1]不动产比较法-住宅'!$B$109:$M$109</definedName>
    <definedName name="住宅公共部分装修" localSheetId="44">'[1]不动产比较法-住宅'!$B$109:$M$109</definedName>
    <definedName name="住宅公共部分装修" localSheetId="30">'[1]不动产比较法-住宅'!$B$109:$M$109</definedName>
    <definedName name="住宅公共部分装修" localSheetId="29">'不动产比较法-住宅'!$B$109:$M$109</definedName>
    <definedName name="住宅公共部分装修" localSheetId="12">'不动产比较法-住宅'!$B$109:$M$109</definedName>
    <definedName name="住宅公共部分装修" localSheetId="46">'[1]不动产比较法-住宅'!$B$109:$M$109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44">'[1]不动产比较法-住宅'!$B$116:$M$116</definedName>
    <definedName name="住宅基础设施水平" localSheetId="30">'[1]不动产比较法-住宅'!$B$116:$M$116</definedName>
    <definedName name="住宅基础设施水平" localSheetId="29">'不动产比较法-住宅'!$B$116:$M$116</definedName>
    <definedName name="住宅基础设施水平" localSheetId="12">'不动产比较法-住宅'!$B$116:$M$116</definedName>
    <definedName name="住宅基础设施水平" localSheetId="46">'[1]不动产比较法-住宅'!$B$116:$M$116</definedName>
    <definedName name="住宅基础设施水平">'不动产比较法-住宅'!$B$116:$M$116</definedName>
    <definedName name="住宅建筑结构" localSheetId="45">'[1]不动产比较法-住宅'!$B$105:$M$105</definedName>
    <definedName name="住宅建筑结构" localSheetId="44">'[1]不动产比较法-住宅'!$B$105:$M$105</definedName>
    <definedName name="住宅建筑结构" localSheetId="30">'[1]不动产比较法-住宅'!$B$105:$M$105</definedName>
    <definedName name="住宅建筑结构" localSheetId="29">'不动产比较法-住宅'!$B$105:$M$105</definedName>
    <definedName name="住宅建筑结构" localSheetId="12">'不动产比较法-住宅'!$B$105:$M$105</definedName>
    <definedName name="住宅建筑结构" localSheetId="46">'[1]不动产比较法-住宅'!$B$105:$M$105</definedName>
    <definedName name="住宅建筑结构">'不动产比较法-住宅'!$B$105:$M$105</definedName>
    <definedName name="住宅建筑类型" localSheetId="45">'[1]不动产比较法-住宅'!$B$100:$M$100</definedName>
    <definedName name="住宅建筑类型" localSheetId="44">'[1]不动产比较法-住宅'!$B$100:$M$100</definedName>
    <definedName name="住宅建筑类型" localSheetId="30">'[1]不动产比较法-住宅'!$B$100:$M$100</definedName>
    <definedName name="住宅建筑类型" localSheetId="29">'不动产比较法-住宅'!$B$100:$M$100</definedName>
    <definedName name="住宅建筑类型" localSheetId="12">'不动产比较法-住宅'!$B$100:$M$100</definedName>
    <definedName name="住宅建筑类型" localSheetId="46">'[1]不动产比较法-住宅'!$B$100:$M$100</definedName>
    <definedName name="住宅建筑类型">'不动产比较法-住宅'!$B$100:$M$100</definedName>
    <definedName name="住宅建筑品质" localSheetId="45">'[1]不动产比较法-住宅'!$B$107:$M$107</definedName>
    <definedName name="住宅建筑品质" localSheetId="44">'[1]不动产比较法-住宅'!$B$107:$M$107</definedName>
    <definedName name="住宅建筑品质" localSheetId="30">'[1]不动产比较法-住宅'!$B$107:$M$107</definedName>
    <definedName name="住宅建筑品质" localSheetId="29">'不动产比较法-住宅'!$B$107:$M$107</definedName>
    <definedName name="住宅建筑品质" localSheetId="12">'不动产比较法-住宅'!$B$107:$M$107</definedName>
    <definedName name="住宅建筑品质" localSheetId="46">'[1]不动产比较法-住宅'!$B$107:$M$107</definedName>
    <definedName name="住宅建筑品质">'不动产比较法-住宅'!$B$107:$M$107</definedName>
    <definedName name="住宅交易情况" localSheetId="45">'[1]不动产比较法-住宅'!$A$61:$M$61</definedName>
    <definedName name="住宅交易情况" localSheetId="44">'[1]不动产比较法-住宅'!$A$61:$M$61</definedName>
    <definedName name="住宅交易情况" localSheetId="30">'[1]不动产比较法-住宅'!$A$61:$M$61</definedName>
    <definedName name="住宅交易情况" localSheetId="29">'不动产比较法-住宅'!$A$61:$M$61</definedName>
    <definedName name="住宅交易情况" localSheetId="12">'不动产比较法-住宅'!$A$61:$M$61</definedName>
    <definedName name="住宅交易情况" localSheetId="46">'[1]不动产比较法-住宅'!$A$61:$M$61</definedName>
    <definedName name="住宅交易情况">'不动产比较法-住宅'!$A$61:$M$61</definedName>
    <definedName name="住宅楼层" localSheetId="45">'[1]不动产比较法-住宅'!$B$86:$M$86</definedName>
    <definedName name="住宅楼层" localSheetId="44">'[1]不动产比较法-住宅'!$B$86:$M$86</definedName>
    <definedName name="住宅楼层" localSheetId="30">'[1]不动产比较法-住宅'!$B$86:$M$86</definedName>
    <definedName name="住宅楼层" localSheetId="29">'不动产比较法-住宅'!$B$86:$M$86</definedName>
    <definedName name="住宅楼层" localSheetId="12">'不动产比较法-住宅'!$B$86:$M$86</definedName>
    <definedName name="住宅楼层" localSheetId="46">'[1]不动产比较法-住宅'!$B$86:$M$86</definedName>
    <definedName name="住宅楼层">'不动产比较法-住宅'!$B$86:$M$86</definedName>
    <definedName name="住宅内部装修" localSheetId="45">'[1]不动产比较法-住宅'!$B$122:$M$122</definedName>
    <definedName name="住宅内部装修" localSheetId="44">'[1]不动产比较法-住宅'!$B$122:$M$122</definedName>
    <definedName name="住宅内部装修" localSheetId="30">'[1]不动产比较法-住宅'!$B$122:$M$122</definedName>
    <definedName name="住宅内部装修" localSheetId="29">'不动产比较法-住宅'!$B$122:$M$122</definedName>
    <definedName name="住宅内部装修" localSheetId="12">'不动产比较法-住宅'!$B$122:$M$122</definedName>
    <definedName name="住宅内部装修" localSheetId="46">'[1]不动产比较法-住宅'!$B$122:$M$122</definedName>
    <definedName name="住宅内部装修">'不动产比较法-住宅'!$B$122:$M$122</definedName>
    <definedName name="住宅物业管理" localSheetId="45">'[1]不动产比较法-住宅'!$B$114:$M$114</definedName>
    <definedName name="住宅物业管理" localSheetId="44">'[1]不动产比较法-住宅'!$B$114:$M$114</definedName>
    <definedName name="住宅物业管理" localSheetId="30">'[1]不动产比较法-住宅'!$B$114:$M$114</definedName>
    <definedName name="住宅物业管理" localSheetId="29">'不动产比较法-住宅'!$B$114:$M$114</definedName>
    <definedName name="住宅物业管理" localSheetId="12">'不动产比较法-住宅'!$B$114:$M$114</definedName>
    <definedName name="住宅物业管理" localSheetId="46">'[1]不动产比较法-住宅'!$B$114:$M$114</definedName>
    <definedName name="住宅物业管理">'不动产比较法-住宅'!$B$114:$M$114</definedName>
    <definedName name="住宅用途" localSheetId="45">'[1]不动产比较法-住宅'!$B$63:$M$63</definedName>
    <definedName name="住宅用途" localSheetId="44">'[1]不动产比较法-住宅'!$B$63:$M$63</definedName>
    <definedName name="住宅用途" localSheetId="30">'[1]不动产比较法-住宅'!$B$63:$M$63</definedName>
    <definedName name="住宅用途" localSheetId="29">'不动产比较法-住宅'!$B$63:$M$63</definedName>
    <definedName name="住宅用途" localSheetId="12">'不动产比较法-住宅'!$B$63:$M$63</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6" i="66" l="1"/>
  <c r="C17" i="66"/>
  <c r="C18" i="66"/>
  <c r="C19" i="66"/>
  <c r="C20" i="66"/>
  <c r="C21" i="66"/>
  <c r="C22" i="66"/>
  <c r="C23" i="66"/>
  <c r="C15" i="66"/>
  <c r="R13" i="69" l="1"/>
  <c r="R14" i="69" s="1"/>
  <c r="L4" i="69" l="1"/>
  <c r="L5" i="69"/>
  <c r="L6" i="69"/>
  <c r="L7" i="69"/>
  <c r="L8" i="69"/>
  <c r="L9" i="69"/>
  <c r="L10" i="69"/>
  <c r="L11" i="69"/>
  <c r="L12" i="69"/>
  <c r="L3" i="69"/>
  <c r="B25" i="31" l="1"/>
  <c r="B15" i="66" s="1"/>
  <c r="B26" i="31"/>
  <c r="B16" i="66" s="1"/>
  <c r="B27" i="31"/>
  <c r="B17" i="66" s="1"/>
  <c r="B28" i="31"/>
  <c r="B18" i="66" s="1"/>
  <c r="B29" i="31"/>
  <c r="B19" i="66" s="1"/>
  <c r="B30" i="31"/>
  <c r="B20" i="66" s="1"/>
  <c r="B31" i="31"/>
  <c r="B21" i="66" s="1"/>
  <c r="B32" i="31"/>
  <c r="B22" i="66" s="1"/>
  <c r="B33" i="31"/>
  <c r="B23" i="66" s="1"/>
  <c r="B24" i="31"/>
  <c r="A25" i="31"/>
  <c r="A26" i="31"/>
  <c r="A27" i="31"/>
  <c r="A28" i="31"/>
  <c r="A29" i="31"/>
  <c r="A30" i="31"/>
  <c r="A31" i="31"/>
  <c r="A32" i="31"/>
  <c r="A33" i="31"/>
  <c r="A24" i="31"/>
  <c r="D59" i="21"/>
  <c r="E59" i="21" s="1"/>
  <c r="F59" i="21" s="1"/>
  <c r="G59" i="21" s="1"/>
  <c r="H59" i="21" s="1"/>
  <c r="I59" i="21" s="1"/>
  <c r="J59" i="21" s="1"/>
  <c r="K59" i="21" s="1"/>
  <c r="L59" i="21" s="1"/>
  <c r="M59" i="21" s="1"/>
  <c r="N59" i="21" s="1"/>
  <c r="O59" i="21" s="1"/>
  <c r="D73" i="39"/>
  <c r="E73" i="39" s="1"/>
  <c r="F73" i="39" s="1"/>
  <c r="G73" i="39" s="1"/>
  <c r="H73" i="39" s="1"/>
  <c r="I73" i="39" s="1"/>
  <c r="J73" i="39" s="1"/>
  <c r="K73" i="39" s="1"/>
  <c r="L73" i="39" s="1"/>
  <c r="M73" i="39" s="1"/>
  <c r="N73" i="39" s="1"/>
  <c r="I40" i="39"/>
  <c r="G40" i="39"/>
  <c r="E40" i="39"/>
  <c r="I9" i="39"/>
  <c r="G9" i="39"/>
  <c r="E9" i="39"/>
  <c r="I7" i="39"/>
  <c r="G7" i="39"/>
  <c r="E7" i="39"/>
  <c r="P32" i="70"/>
  <c r="P31" i="70"/>
  <c r="P30" i="70"/>
  <c r="P29" i="70"/>
  <c r="P28" i="70"/>
  <c r="P27" i="70"/>
  <c r="P26" i="70"/>
  <c r="P25" i="70"/>
  <c r="P24" i="70"/>
  <c r="P23" i="70"/>
  <c r="P22" i="70"/>
  <c r="P21" i="70"/>
  <c r="P20" i="70"/>
  <c r="P19" i="70"/>
  <c r="P18" i="70"/>
  <c r="P17" i="70"/>
  <c r="P16" i="70"/>
  <c r="P15" i="70"/>
  <c r="P14" i="70"/>
  <c r="P13" i="70"/>
  <c r="P12" i="70"/>
  <c r="P11" i="70"/>
  <c r="P10" i="70"/>
  <c r="P9" i="70"/>
  <c r="P8" i="70"/>
  <c r="P7" i="70"/>
  <c r="P6" i="70"/>
  <c r="P5" i="70"/>
  <c r="P4" i="70"/>
  <c r="P3" i="70"/>
  <c r="P2" i="70"/>
  <c r="K13" i="3"/>
  <c r="F20" i="6" s="1"/>
  <c r="A3" i="3"/>
  <c r="C40" i="39" s="1"/>
  <c r="M13" i="69"/>
  <c r="J13" i="69"/>
  <c r="H13" i="69"/>
  <c r="K12" i="69"/>
  <c r="K11" i="69"/>
  <c r="K10" i="69"/>
  <c r="K9" i="69"/>
  <c r="K8" i="69"/>
  <c r="K7" i="69"/>
  <c r="K6" i="69"/>
  <c r="K5" i="69"/>
  <c r="K4" i="69"/>
  <c r="L13" i="69"/>
  <c r="B6" i="4"/>
  <c r="D3" i="4"/>
  <c r="K3" i="69" l="1"/>
  <c r="K13" i="69" l="1"/>
  <c r="K14" i="69" s="1"/>
  <c r="I13" i="3"/>
  <c r="AH5" i="59"/>
  <c r="AG5" i="59"/>
  <c r="AE5" i="59"/>
  <c r="AF5" i="59" s="1"/>
  <c r="AD5" i="59"/>
  <c r="Q5" i="59"/>
  <c r="P5" i="59"/>
  <c r="O5" i="59"/>
  <c r="N5" i="59"/>
  <c r="C33" i="21" l="1"/>
  <c r="F19" i="6"/>
  <c r="F25" i="12"/>
  <c r="AH6" i="59" l="1"/>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O8" i="59"/>
  <c r="O9" i="59"/>
  <c r="N8" i="59"/>
  <c r="N9" i="59"/>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P11" i="59"/>
  <c r="O11" i="59"/>
  <c r="N11" i="59"/>
  <c r="N12" i="59"/>
  <c r="Q12" i="59"/>
  <c r="P12" i="59"/>
  <c r="O12" i="59"/>
  <c r="K59" i="15"/>
  <c r="P62" i="15" s="1"/>
  <c r="Q74" i="44"/>
  <c r="Q61" i="44"/>
  <c r="Q60" i="44"/>
  <c r="Q53" i="44"/>
  <c r="J51" i="44"/>
  <c r="J52" i="44" s="1"/>
  <c r="M48" i="44"/>
  <c r="A16" i="55"/>
  <c r="A15" i="55"/>
  <c r="B66" i="63" s="1"/>
  <c r="A10" i="55"/>
  <c r="B61" i="63" s="1"/>
  <c r="A9" i="55"/>
  <c r="B60" i="63" s="1"/>
  <c r="A8" i="55"/>
  <c r="A6" i="54"/>
  <c r="B49" i="63" s="1"/>
  <c r="A8" i="54"/>
  <c r="A7" i="54"/>
  <c r="A27" i="51"/>
  <c r="B20" i="63" s="1"/>
  <c r="Q13" i="59"/>
  <c r="O13" i="59"/>
  <c r="N14" i="59"/>
  <c r="O14" i="59"/>
  <c r="P14" i="59"/>
  <c r="Q14" i="59"/>
  <c r="N13" i="59"/>
  <c r="P13" i="59"/>
  <c r="K75" i="9"/>
  <c r="K6" i="4"/>
  <c r="O76" i="9" s="1"/>
  <c r="B22" i="31"/>
  <c r="B3" i="66"/>
  <c r="B11" i="59"/>
  <c r="B10" i="59" s="1"/>
  <c r="B9" i="59" s="1"/>
  <c r="E11" i="59"/>
  <c r="E10" i="59" s="1"/>
  <c r="E9" i="59" s="1"/>
  <c r="E8" i="59" s="1"/>
  <c r="E7" i="59" s="1"/>
  <c r="U11" i="59"/>
  <c r="AD3" i="59"/>
  <c r="AG3"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3" i="65"/>
  <c r="C1" i="65"/>
  <c r="N1" i="65" s="1"/>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K40" i="9" s="1"/>
  <c r="A44" i="9"/>
  <c r="C57" i="10"/>
  <c r="A28" i="51" s="1"/>
  <c r="C56" i="10"/>
  <c r="C55" i="10"/>
  <c r="C54" i="10"/>
  <c r="B44" i="63"/>
  <c r="B40" i="63"/>
  <c r="B30" i="63"/>
  <c r="B27" i="63"/>
  <c r="B25" i="63"/>
  <c r="A11" i="51"/>
  <c r="A26" i="64"/>
  <c r="A26" i="51"/>
  <c r="B19" i="63" s="1"/>
  <c r="K39"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c r="B40" i="50"/>
  <c r="B3" i="63" s="1"/>
  <c r="B67" i="63"/>
  <c r="I19" i="46"/>
  <c r="Q15" i="59"/>
  <c r="F15" i="59" s="1"/>
  <c r="P15" i="59"/>
  <c r="E15" i="59" s="1"/>
  <c r="O15" i="59"/>
  <c r="C15" i="59" s="1"/>
  <c r="N15" i="59"/>
  <c r="B15" i="59" s="1"/>
  <c r="D76" i="59"/>
  <c r="F75" i="59"/>
  <c r="E75" i="59"/>
  <c r="E74" i="59" s="1"/>
  <c r="E73" i="59" s="1"/>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P54" i="59" s="1"/>
  <c r="C55" i="59"/>
  <c r="B55" i="59"/>
  <c r="N55" i="59" s="1"/>
  <c r="F54" i="59"/>
  <c r="F53" i="59" s="1"/>
  <c r="D52" i="59"/>
  <c r="Q51" i="59"/>
  <c r="P51" i="59"/>
  <c r="O51" i="59"/>
  <c r="N51" i="59"/>
  <c r="Q50" i="59"/>
  <c r="P50" i="59"/>
  <c r="O50" i="59"/>
  <c r="N50" i="59"/>
  <c r="Q49" i="59"/>
  <c r="P49" i="59"/>
  <c r="O49" i="59"/>
  <c r="N49" i="59"/>
  <c r="Q48" i="59"/>
  <c r="F49"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s="1"/>
  <c r="D36" i="59"/>
  <c r="T35" i="59"/>
  <c r="Q35" i="59"/>
  <c r="P35" i="59"/>
  <c r="O35" i="59"/>
  <c r="N35" i="59"/>
  <c r="D35" i="59"/>
  <c r="Q34" i="59"/>
  <c r="P34" i="59"/>
  <c r="O34" i="59"/>
  <c r="N34" i="59"/>
  <c r="Q33" i="59"/>
  <c r="P33" i="59"/>
  <c r="O33" i="59"/>
  <c r="N33" i="59"/>
  <c r="Q32" i="59"/>
  <c r="F33" i="59"/>
  <c r="P32" i="59"/>
  <c r="E33" i="59"/>
  <c r="E34" i="59" s="1"/>
  <c r="E35" i="59"/>
  <c r="U35"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c r="N28" i="59"/>
  <c r="B29" i="59"/>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s="1"/>
  <c r="U27" i="59" s="1"/>
  <c r="O24" i="59"/>
  <c r="Y24" i="59" s="1"/>
  <c r="Z24" i="59" s="1"/>
  <c r="N24" i="59"/>
  <c r="X24" i="59" s="1"/>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AB20" i="59" s="1"/>
  <c r="P20" i="59"/>
  <c r="AA20" i="59" s="1"/>
  <c r="O20" i="59"/>
  <c r="C21" i="59"/>
  <c r="D21" i="59" s="1"/>
  <c r="N20" i="59"/>
  <c r="B21" i="59"/>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F18" i="59" s="1"/>
  <c r="P16" i="59"/>
  <c r="O16" i="59"/>
  <c r="Y16" i="59" s="1"/>
  <c r="Z16" i="59" s="1"/>
  <c r="N16" i="59"/>
  <c r="X16" i="59" s="1"/>
  <c r="D16" i="59"/>
  <c r="X12" i="59"/>
  <c r="X14" i="59"/>
  <c r="AA3" i="59"/>
  <c r="AA13" i="59"/>
  <c r="AA15" i="59"/>
  <c r="AB15" i="59"/>
  <c r="AB12" i="59"/>
  <c r="AB14" i="59"/>
  <c r="E17" i="59"/>
  <c r="E18" i="59" s="1"/>
  <c r="E19" i="59"/>
  <c r="U19" i="59" s="1"/>
  <c r="B38" i="59"/>
  <c r="B39" i="59" s="1"/>
  <c r="S39" i="59"/>
  <c r="E38" i="59"/>
  <c r="E39" i="59"/>
  <c r="U39" i="59" s="1"/>
  <c r="S55" i="59"/>
  <c r="AA26" i="59"/>
  <c r="F19" i="59"/>
  <c r="V19" i="59" s="1"/>
  <c r="F26" i="59"/>
  <c r="F27" i="59"/>
  <c r="V27" i="59" s="1"/>
  <c r="F30" i="59"/>
  <c r="F31" i="59" s="1"/>
  <c r="V31" i="59" s="1"/>
  <c r="F34" i="59"/>
  <c r="F35" i="59"/>
  <c r="V35" i="59" s="1"/>
  <c r="F42" i="59"/>
  <c r="F43" i="59" s="1"/>
  <c r="V43" i="59" s="1"/>
  <c r="F46" i="59"/>
  <c r="F47" i="59"/>
  <c r="V47" i="59" s="1"/>
  <c r="F50" i="59"/>
  <c r="F51" i="59" s="1"/>
  <c r="V51" i="59" s="1"/>
  <c r="C30" i="59"/>
  <c r="D29" i="59"/>
  <c r="C34" i="59"/>
  <c r="D34" i="59"/>
  <c r="D33" i="59"/>
  <c r="C38" i="59"/>
  <c r="D37" i="59"/>
  <c r="C42" i="59"/>
  <c r="D41" i="59"/>
  <c r="C46" i="59"/>
  <c r="D45" i="59"/>
  <c r="C50" i="59"/>
  <c r="D49" i="59"/>
  <c r="C22" i="59"/>
  <c r="E53" i="59"/>
  <c r="P52" i="59" s="1"/>
  <c r="Q54" i="59"/>
  <c r="T55" i="59"/>
  <c r="O55" i="59"/>
  <c r="D55" i="59"/>
  <c r="C54" i="59"/>
  <c r="P55" i="59"/>
  <c r="U55" i="59"/>
  <c r="Q55" i="59"/>
  <c r="C58" i="59"/>
  <c r="E58" i="59"/>
  <c r="E57" i="59" s="1"/>
  <c r="D59" i="59"/>
  <c r="C62" i="59"/>
  <c r="E62" i="59"/>
  <c r="E61" i="59" s="1"/>
  <c r="D63" i="59"/>
  <c r="C66" i="59"/>
  <c r="E66" i="59"/>
  <c r="E65" i="59" s="1"/>
  <c r="D67" i="59"/>
  <c r="C70" i="59"/>
  <c r="C74" i="59"/>
  <c r="D74" i="59" s="1"/>
  <c r="U16" i="4"/>
  <c r="S16" i="4"/>
  <c r="Q16" i="4"/>
  <c r="O16" i="4"/>
  <c r="N16" i="4" s="1"/>
  <c r="M16" i="4"/>
  <c r="K16" i="4"/>
  <c r="C73" i="59"/>
  <c r="D73" i="59" s="1"/>
  <c r="D66" i="59"/>
  <c r="C65" i="59"/>
  <c r="D65" i="59"/>
  <c r="D58" i="59"/>
  <c r="C57" i="59"/>
  <c r="D57" i="59" s="1"/>
  <c r="C53" i="59"/>
  <c r="D53" i="59" s="1"/>
  <c r="O54" i="59"/>
  <c r="D54" i="59"/>
  <c r="D70" i="59"/>
  <c r="C69" i="59"/>
  <c r="D69" i="59" s="1"/>
  <c r="D62" i="59"/>
  <c r="C61" i="59"/>
  <c r="D61" i="59"/>
  <c r="C23" i="59"/>
  <c r="D22" i="59"/>
  <c r="C51" i="59"/>
  <c r="D50" i="59"/>
  <c r="D46" i="59"/>
  <c r="C47" i="59"/>
  <c r="D47" i="59" s="1"/>
  <c r="C43" i="59"/>
  <c r="D42" i="59"/>
  <c r="C39" i="59"/>
  <c r="D38" i="59"/>
  <c r="C31" i="59"/>
  <c r="D30" i="59"/>
  <c r="T47" i="59"/>
  <c r="T31" i="59"/>
  <c r="D31" i="59"/>
  <c r="T39" i="59"/>
  <c r="D39" i="59"/>
  <c r="T43" i="59"/>
  <c r="D43" i="59"/>
  <c r="T51" i="59"/>
  <c r="D51" i="59"/>
  <c r="T23" i="59"/>
  <c r="D23" i="59"/>
  <c r="O53" i="59"/>
  <c r="O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G20" i="20"/>
  <c r="B85" i="46" s="1"/>
  <c r="C22" i="20"/>
  <c r="B65" i="46" s="1"/>
  <c r="S18" i="36"/>
  <c r="S21" i="37"/>
  <c r="S27" i="40"/>
  <c r="C31" i="39"/>
  <c r="B74" i="46"/>
  <c r="E66" i="36"/>
  <c r="H18" i="35"/>
  <c r="J18" i="35"/>
  <c r="H21" i="37"/>
  <c r="J21" i="37"/>
  <c r="E84" i="34"/>
  <c r="F84" i="34" s="1"/>
  <c r="G84" i="34" s="1"/>
  <c r="J21" i="34"/>
  <c r="H21" i="34"/>
  <c r="F21" i="33"/>
  <c r="H21" i="33"/>
  <c r="J21" i="33"/>
  <c r="H21" i="21"/>
  <c r="J21" i="21"/>
  <c r="AC21" i="21" s="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c r="C58" i="40" s="1"/>
  <c r="H57" i="40"/>
  <c r="I57" i="40" s="1"/>
  <c r="C57" i="40" s="1"/>
  <c r="H56" i="40"/>
  <c r="I56" i="40"/>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H17" i="46" s="1"/>
  <c r="G19" i="46"/>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s="1"/>
  <c r="Q21" i="39"/>
  <c r="Z21" i="39" s="1"/>
  <c r="Q19" i="39"/>
  <c r="Z19" i="39" s="1"/>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s="1"/>
  <c r="C20" i="20"/>
  <c r="B76" i="46" s="1"/>
  <c r="C18" i="20"/>
  <c r="B70" i="46" s="1"/>
  <c r="C17" i="20"/>
  <c r="B58" i="46"/>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D81" i="21"/>
  <c r="E81" i="21" s="1"/>
  <c r="F81" i="21" s="1"/>
  <c r="D77" i="21"/>
  <c r="E77" i="21" s="1"/>
  <c r="F77" i="21" s="1"/>
  <c r="B130" i="21"/>
  <c r="J46" i="21" s="1"/>
  <c r="W46" i="21" s="1"/>
  <c r="B128" i="21"/>
  <c r="B126" i="21"/>
  <c r="J44" i="21" s="1"/>
  <c r="AC44" i="21" s="1"/>
  <c r="B98" i="21"/>
  <c r="B96" i="21"/>
  <c r="F30" i="21" s="1"/>
  <c r="S30" i="21" s="1"/>
  <c r="B94" i="21"/>
  <c r="B92" i="21"/>
  <c r="H28" i="21" s="1"/>
  <c r="AB28" i="21" s="1"/>
  <c r="B90" i="21"/>
  <c r="B74" i="21"/>
  <c r="F14" i="21" s="1"/>
  <c r="AA14" i="21" s="1"/>
  <c r="B72" i="21"/>
  <c r="B70" i="21"/>
  <c r="F12" i="21" s="1"/>
  <c r="S12" i="21" s="1"/>
  <c r="F10" i="21"/>
  <c r="AA10" i="21" s="1"/>
  <c r="C7" i="21"/>
  <c r="C58"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F38" i="21"/>
  <c r="S38" i="21" s="1"/>
  <c r="F36" i="21"/>
  <c r="S36" i="21" s="1"/>
  <c r="F39" i="21"/>
  <c r="AA39" i="21" s="1"/>
  <c r="J40" i="21"/>
  <c r="W40" i="21" s="1"/>
  <c r="J8" i="21"/>
  <c r="AC8" i="21" s="1"/>
  <c r="J9" i="21"/>
  <c r="AC9" i="21" s="1"/>
  <c r="H8" i="21"/>
  <c r="H9" i="21"/>
  <c r="AB9" i="21" s="1"/>
  <c r="H10" i="21"/>
  <c r="U10" i="21" s="1"/>
  <c r="H39" i="21"/>
  <c r="AB39" i="21" s="1"/>
  <c r="J34" i="21"/>
  <c r="W34" i="21" s="1"/>
  <c r="H36" i="21"/>
  <c r="U36" i="21" s="1"/>
  <c r="J33" i="21"/>
  <c r="W33" i="21" s="1"/>
  <c r="H33" i="21"/>
  <c r="U33" i="21" s="1"/>
  <c r="F33" i="21"/>
  <c r="S33" i="21" s="1"/>
  <c r="J10" i="21"/>
  <c r="AC10" i="21" s="1"/>
  <c r="H26" i="21"/>
  <c r="J12" i="21"/>
  <c r="AC12" i="21" s="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c r="AC27" i="35"/>
  <c r="U31" i="35"/>
  <c r="W36" i="35"/>
  <c r="S31" i="35"/>
  <c r="W31" i="35"/>
  <c r="F36" i="34"/>
  <c r="S36" i="34"/>
  <c r="W9" i="34"/>
  <c r="S34" i="34"/>
  <c r="H39" i="33"/>
  <c r="AB39" i="33" s="1"/>
  <c r="F26" i="33"/>
  <c r="AA26" i="33" s="1"/>
  <c r="U9" i="33"/>
  <c r="W38" i="33"/>
  <c r="S40" i="33"/>
  <c r="S33" i="33"/>
  <c r="U38" i="33"/>
  <c r="H39" i="37"/>
  <c r="AB39" i="37" s="1"/>
  <c r="AB27" i="35"/>
  <c r="S10" i="40"/>
  <c r="W10" i="40"/>
  <c r="S11" i="40"/>
  <c r="U11" i="40"/>
  <c r="S36" i="40"/>
  <c r="U36" i="40"/>
  <c r="S40" i="39"/>
  <c r="C29" i="39"/>
  <c r="U36" i="39"/>
  <c r="S42" i="39"/>
  <c r="H32" i="33"/>
  <c r="AB32" i="33" s="1"/>
  <c r="F100" i="40"/>
  <c r="AA12" i="33"/>
  <c r="J27" i="36"/>
  <c r="W27" i="36"/>
  <c r="J34" i="36"/>
  <c r="W34" i="36"/>
  <c r="J30" i="35"/>
  <c r="W30" i="35"/>
  <c r="F22" i="35"/>
  <c r="AA22" i="35"/>
  <c r="H10" i="35"/>
  <c r="U10" i="35"/>
  <c r="AC24" i="36"/>
  <c r="U29" i="36"/>
  <c r="E85" i="36"/>
  <c r="F85" i="36" s="1"/>
  <c r="G85" i="36"/>
  <c r="H85" i="36" s="1"/>
  <c r="I85" i="36" s="1"/>
  <c r="J85" i="36" s="1"/>
  <c r="K85" i="36" s="1"/>
  <c r="L85" i="36" s="1"/>
  <c r="M85" i="36" s="1"/>
  <c r="J29" i="36"/>
  <c r="AC29" i="36"/>
  <c r="F24" i="36"/>
  <c r="AA24" i="36"/>
  <c r="F34" i="36"/>
  <c r="S34" i="36"/>
  <c r="AB8" i="36"/>
  <c r="H16" i="35"/>
  <c r="U16" i="35"/>
  <c r="H33" i="35"/>
  <c r="AB33"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S38" i="33"/>
  <c r="E113" i="33"/>
  <c r="F36" i="33"/>
  <c r="S36" i="33" s="1"/>
  <c r="F19" i="33"/>
  <c r="S19" i="33" s="1"/>
  <c r="J19" i="33"/>
  <c r="G86" i="40"/>
  <c r="AB30" i="36"/>
  <c r="AC34" i="36"/>
  <c r="S22" i="35"/>
  <c r="H29" i="35"/>
  <c r="U34" i="37"/>
  <c r="S34" i="37"/>
  <c r="AA34" i="37"/>
  <c r="AC43" i="34"/>
  <c r="AB42" i="34"/>
  <c r="AB40"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J44" i="34"/>
  <c r="AC44" i="34" s="1"/>
  <c r="F44" i="34"/>
  <c r="S44" i="34" s="1"/>
  <c r="J10" i="35"/>
  <c r="W10" i="35" s="1"/>
  <c r="AL5" i="3"/>
  <c r="BQ13" i="3"/>
  <c r="BL572" i="3"/>
  <c r="J14" i="21"/>
  <c r="H14" i="21"/>
  <c r="U14" i="21" s="1"/>
  <c r="F28" i="21"/>
  <c r="H30" i="21"/>
  <c r="U30" i="21" s="1"/>
  <c r="J30" i="21"/>
  <c r="W30" i="21" s="1"/>
  <c r="H44" i="21"/>
  <c r="U44" i="21" s="1"/>
  <c r="H46" i="21"/>
  <c r="F46" i="21"/>
  <c r="AA46" i="21" s="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S31" i="33"/>
  <c r="J45" i="33"/>
  <c r="W45" i="33"/>
  <c r="F45" i="33"/>
  <c r="S45" i="33"/>
  <c r="F11" i="35"/>
  <c r="S11" i="35"/>
  <c r="H28" i="36"/>
  <c r="U28" i="36"/>
  <c r="H32" i="36"/>
  <c r="AB32" i="36"/>
  <c r="J32" i="36"/>
  <c r="J11" i="36"/>
  <c r="W11" i="36" s="1"/>
  <c r="H13" i="36"/>
  <c r="AB13" i="36" s="1"/>
  <c r="J13" i="36"/>
  <c r="F13" i="36"/>
  <c r="S13" i="36" s="1"/>
  <c r="E89" i="37"/>
  <c r="F89" i="37" s="1"/>
  <c r="G89" i="37"/>
  <c r="H89" i="37" s="1"/>
  <c r="I89" i="37" s="1"/>
  <c r="J89" i="37" s="1"/>
  <c r="K89" i="37" s="1"/>
  <c r="L89" i="37" s="1"/>
  <c r="M89" i="37"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A38" i="37"/>
  <c r="AB13" i="35"/>
  <c r="U30" i="33"/>
  <c r="J36" i="37"/>
  <c r="AC36" i="37" s="1"/>
  <c r="G105" i="37"/>
  <c r="AB28" i="36"/>
  <c r="AB31" i="21"/>
  <c r="AC30" i="21"/>
  <c r="AB14" i="21"/>
  <c r="U36" i="37"/>
  <c r="AB45" i="33"/>
  <c r="AA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A13" i="33"/>
  <c r="AC45" i="33"/>
  <c r="AC33" i="21"/>
  <c r="S39" i="33"/>
  <c r="F43" i="33"/>
  <c r="AA43" i="33" s="1"/>
  <c r="AA23" i="37"/>
  <c r="AB44" i="33"/>
  <c r="H107" i="37"/>
  <c r="I107" i="37" s="1"/>
  <c r="J107" i="37"/>
  <c r="K107" i="37" s="1"/>
  <c r="L107" i="37" s="1"/>
  <c r="M107" i="37" s="1"/>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BL571" i="3"/>
  <c r="BA571" i="3"/>
  <c r="AZ571" i="3" s="1"/>
  <c r="BL570" i="3"/>
  <c r="AZ570" i="3" s="1"/>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W12" i="21"/>
  <c r="AB33" i="21"/>
  <c r="AB10" i="21"/>
  <c r="U8" i="21"/>
  <c r="AB8" i="21"/>
  <c r="S34" i="21"/>
  <c r="AB8" i="33"/>
  <c r="U8" i="33"/>
  <c r="E106" i="33"/>
  <c r="H34" i="33"/>
  <c r="U34" i="33"/>
  <c r="F34" i="33"/>
  <c r="S34" i="33"/>
  <c r="E121" i="33"/>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27" i="39"/>
  <c r="AA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U42" i="40" s="1"/>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66" i="9"/>
  <c r="P72" i="9" s="1"/>
  <c r="F72" i="9"/>
  <c r="W35" i="40"/>
  <c r="AB32" i="40"/>
  <c r="AC47" i="39"/>
  <c r="S47" i="39"/>
  <c r="U37" i="34"/>
  <c r="AB37" i="34"/>
  <c r="W41" i="40"/>
  <c r="J23" i="40"/>
  <c r="AC23" i="40" s="1"/>
  <c r="F23" i="40"/>
  <c r="S23" i="40"/>
  <c r="AC15" i="40"/>
  <c r="W15" i="40"/>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AZ486" i="3"/>
  <c r="AZ504" i="3"/>
  <c r="AZ529" i="3"/>
  <c r="AZ537" i="3"/>
  <c r="AZ548" i="3"/>
  <c r="AB37" i="39"/>
  <c r="U39" i="39"/>
  <c r="J29" i="39"/>
  <c r="AC29" i="39" s="1"/>
  <c r="AB21" i="39"/>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AC16" i="40"/>
  <c r="H25" i="40"/>
  <c r="AB25" i="40" s="1"/>
  <c r="F94" i="40"/>
  <c r="G94" i="40" s="1"/>
  <c r="U47" i="39"/>
  <c r="J37" i="34"/>
  <c r="AC37" i="34" s="1"/>
  <c r="J36" i="33"/>
  <c r="W36" i="33" s="1"/>
  <c r="S41" i="40"/>
  <c r="F97" i="39"/>
  <c r="F23" i="39" s="1"/>
  <c r="AA23" i="39" s="1"/>
  <c r="S16" i="39"/>
  <c r="S15" i="34"/>
  <c r="AA41" i="33"/>
  <c r="AA34" i="33"/>
  <c r="F106" i="33"/>
  <c r="G106" i="33" s="1"/>
  <c r="H106" i="33" s="1"/>
  <c r="I106" i="33" s="1"/>
  <c r="J106" i="33" s="1"/>
  <c r="K106" i="33" s="1"/>
  <c r="L106" i="33" s="1"/>
  <c r="M106" i="33" s="1"/>
  <c r="J34" i="33"/>
  <c r="AC34" i="33" s="1"/>
  <c r="U30" i="40"/>
  <c r="W29" i="35"/>
  <c r="AC39" i="39"/>
  <c r="AA39" i="39"/>
  <c r="U34"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U20" i="35"/>
  <c r="AB20" i="35"/>
  <c r="D73" i="9"/>
  <c r="N73" i="9" s="1"/>
  <c r="AP11" i="1"/>
  <c r="B11" i="1"/>
  <c r="E11" i="1" s="1"/>
  <c r="K11" i="1"/>
  <c r="M11" i="1" s="1"/>
  <c r="B9" i="1"/>
  <c r="E9" i="1" s="1"/>
  <c r="K9" i="1"/>
  <c r="M9" i="1" s="1"/>
  <c r="B7" i="1"/>
  <c r="E7" i="1" s="1"/>
  <c r="K7" i="1"/>
  <c r="M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W32" i="21"/>
  <c r="AC46" i="21"/>
  <c r="AC26" i="21"/>
  <c r="W13"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AA21" i="39"/>
  <c r="AB15" i="39"/>
  <c r="U11" i="39"/>
  <c r="U41" i="39"/>
  <c r="U31" i="39"/>
  <c r="AB31" i="39"/>
  <c r="M20" i="15"/>
  <c r="D96" i="9"/>
  <c r="F28" i="15"/>
  <c r="M18" i="15"/>
  <c r="BA16" i="3"/>
  <c r="BA17" i="3"/>
  <c r="AZ17" i="3" s="1"/>
  <c r="F3" i="35"/>
  <c r="K1" i="43"/>
  <c r="K1" i="12"/>
  <c r="G1" i="44"/>
  <c r="AZ15" i="3"/>
  <c r="G5" i="3"/>
  <c r="B3" i="3" s="1"/>
  <c r="BK5" i="3"/>
  <c r="BO5" i="3"/>
  <c r="BP5" i="3"/>
  <c r="BN5" i="3"/>
  <c r="BL18" i="3"/>
  <c r="AZ18" i="3" s="1"/>
  <c r="BC5" i="3"/>
  <c r="E8" i="6" s="1"/>
  <c r="E58" i="39" s="1"/>
  <c r="BD5" i="3"/>
  <c r="BR5" i="3"/>
  <c r="BS5" i="3"/>
  <c r="BQ5" i="3"/>
  <c r="F28" i="6" s="1"/>
  <c r="F30" i="6" s="1"/>
  <c r="BL16" i="3"/>
  <c r="BM5"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51" s="1"/>
  <c r="B9" i="63" s="1"/>
  <c r="I100" i="46"/>
  <c r="C24" i="46"/>
  <c r="N100" i="46"/>
  <c r="H100" i="46"/>
  <c r="F108" i="46"/>
  <c r="H80" i="46"/>
  <c r="E100" i="46"/>
  <c r="G100" i="46"/>
  <c r="H84" i="46"/>
  <c r="C100" i="46"/>
  <c r="J100" i="46"/>
  <c r="M100" i="46"/>
  <c r="U12" i="35"/>
  <c r="AB12" i="35"/>
  <c r="W11" i="35"/>
  <c r="AA11" i="35"/>
  <c r="S14" i="37"/>
  <c r="U13" i="37"/>
  <c r="S13" i="21"/>
  <c r="G9" i="1"/>
  <c r="I20" i="46"/>
  <c r="B46" i="50"/>
  <c r="B4" i="63" s="1"/>
  <c r="C46" i="36"/>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A29" i="21"/>
  <c r="U27" i="21"/>
  <c r="W31" i="21"/>
  <c r="S27" i="21"/>
  <c r="AC27" i="21"/>
  <c r="W29" i="21"/>
  <c r="G96" i="40"/>
  <c r="J27" i="40"/>
  <c r="AC27" i="40" s="1"/>
  <c r="W37" i="40"/>
  <c r="S17" i="40"/>
  <c r="W30" i="40"/>
  <c r="S34" i="40"/>
  <c r="U17" i="40"/>
  <c r="U38" i="40"/>
  <c r="S40" i="40"/>
  <c r="S42" i="40"/>
  <c r="J31" i="39"/>
  <c r="AC31" i="39" s="1"/>
  <c r="S45" i="39"/>
  <c r="W41" i="39"/>
  <c r="AC46" i="39"/>
  <c r="W42" i="39"/>
  <c r="W36" i="39"/>
  <c r="AC37" i="39"/>
  <c r="W16"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E283" i="3"/>
  <c r="E156" i="3"/>
  <c r="E49" i="3"/>
  <c r="E193" i="3"/>
  <c r="E104" i="3"/>
  <c r="E5" i="6"/>
  <c r="D21" i="12" s="1"/>
  <c r="C21" i="12" s="1"/>
  <c r="E149" i="3"/>
  <c r="E249" i="3"/>
  <c r="E549" i="3"/>
  <c r="E460" i="3"/>
  <c r="I3" i="6"/>
  <c r="E463" i="3"/>
  <c r="E292" i="3"/>
  <c r="E426" i="3"/>
  <c r="E60" i="3"/>
  <c r="E75" i="3"/>
  <c r="E178" i="3"/>
  <c r="J6" i="3"/>
  <c r="E48" i="3"/>
  <c r="E438" i="3"/>
  <c r="E455" i="3"/>
  <c r="E293" i="3"/>
  <c r="E190"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s="1"/>
  <c r="K15" i="1" s="1"/>
  <c r="AZ16" i="3"/>
  <c r="A9" i="64"/>
  <c r="G66" i="36"/>
  <c r="J18" i="36"/>
  <c r="AE8" i="1"/>
  <c r="AE6" i="1"/>
  <c r="W18" i="36"/>
  <c r="AC18" i="36"/>
  <c r="AG6" i="1"/>
  <c r="L20" i="6"/>
  <c r="L19" i="6"/>
  <c r="S8" i="1"/>
  <c r="S9" i="1"/>
  <c r="R9" i="1"/>
  <c r="R8" i="1"/>
  <c r="K31" i="9"/>
  <c r="K32" i="9"/>
  <c r="N76" i="9"/>
  <c r="C46" i="9"/>
  <c r="K33" i="9" s="1"/>
  <c r="K34" i="9" s="1"/>
  <c r="O41" i="9"/>
  <c r="R8" i="54" s="1"/>
  <c r="B54" i="63" s="1"/>
  <c r="M26" i="44"/>
  <c r="F40" i="15"/>
  <c r="F8" i="67"/>
  <c r="E11" i="67"/>
  <c r="B11" i="67"/>
  <c r="F28" i="44"/>
  <c r="F9" i="15"/>
  <c r="F43" i="44"/>
  <c r="F18" i="44"/>
  <c r="E9" i="67"/>
  <c r="M28" i="44"/>
  <c r="F45" i="44"/>
  <c r="F12" i="67"/>
  <c r="F39" i="44"/>
  <c r="M29" i="44"/>
  <c r="M23" i="15"/>
  <c r="M26" i="15"/>
  <c r="E12" i="67"/>
  <c r="M24" i="44"/>
  <c r="F9" i="44"/>
  <c r="B9" i="67"/>
  <c r="J36" i="15"/>
  <c r="N7" i="65"/>
  <c r="B12" i="67"/>
  <c r="J17" i="44"/>
  <c r="E14" i="67"/>
  <c r="F9" i="67"/>
  <c r="F38" i="44"/>
  <c r="J15" i="15"/>
  <c r="F38" i="15"/>
  <c r="F13" i="15"/>
  <c r="L48" i="15"/>
  <c r="M31" i="44"/>
  <c r="M8" i="15"/>
  <c r="F11" i="67"/>
  <c r="E13" i="67"/>
  <c r="M6" i="15"/>
  <c r="F6" i="15"/>
  <c r="M25" i="44"/>
  <c r="M8" i="44"/>
  <c r="M9" i="15"/>
  <c r="F26" i="15"/>
  <c r="N4" i="65"/>
  <c r="B14" i="67"/>
  <c r="F8" i="15"/>
  <c r="F7" i="15"/>
  <c r="N3" i="65"/>
  <c r="F40" i="44"/>
  <c r="B10" i="67"/>
  <c r="F42" i="15"/>
  <c r="E10" i="67"/>
  <c r="M28" i="15"/>
  <c r="L48" i="44"/>
  <c r="F36" i="15"/>
  <c r="M10" i="44"/>
  <c r="N6" i="65"/>
  <c r="B8" i="67"/>
  <c r="M27" i="15"/>
  <c r="M30" i="44"/>
  <c r="F10" i="44"/>
  <c r="F13" i="67"/>
  <c r="F43" i="15"/>
  <c r="M23" i="44"/>
  <c r="M24" i="15"/>
  <c r="F15" i="44"/>
  <c r="F14" i="67"/>
  <c r="N5" i="65"/>
  <c r="F8" i="44"/>
  <c r="L47" i="15"/>
  <c r="M29" i="15"/>
  <c r="F46" i="44"/>
  <c r="F37" i="44"/>
  <c r="M22" i="15"/>
  <c r="F37" i="15"/>
  <c r="F11" i="44"/>
  <c r="M11" i="44"/>
  <c r="L49" i="44"/>
  <c r="E8" i="67"/>
  <c r="C19" i="44"/>
  <c r="B13" i="67"/>
  <c r="F16" i="15"/>
  <c r="F10" i="67"/>
  <c r="AA19" i="39" l="1"/>
  <c r="AC19" i="39"/>
  <c r="AC21" i="39"/>
  <c r="AZ345" i="3"/>
  <c r="AZ329" i="3"/>
  <c r="AZ305" i="3"/>
  <c r="AA10" i="35"/>
  <c r="S10" i="35"/>
  <c r="AZ542" i="3"/>
  <c r="AZ502" i="3"/>
  <c r="AZ540" i="3"/>
  <c r="W31" i="34"/>
  <c r="AA27" i="37"/>
  <c r="S27" i="37"/>
  <c r="AC35" i="35"/>
  <c r="W35" i="35"/>
  <c r="AC46" i="33"/>
  <c r="W46" i="33"/>
  <c r="U40" i="37"/>
  <c r="AB40" i="37"/>
  <c r="W13" i="36"/>
  <c r="AC13" i="36"/>
  <c r="W28" i="33"/>
  <c r="AC28" i="33"/>
  <c r="AB46" i="21"/>
  <c r="U46" i="21"/>
  <c r="AA28" i="21"/>
  <c r="S28" i="21"/>
  <c r="W14" i="21"/>
  <c r="AC14" i="21"/>
  <c r="W28" i="34"/>
  <c r="AC28" i="34"/>
  <c r="AZ572" i="3"/>
  <c r="U27" i="33"/>
  <c r="AB27" i="33"/>
  <c r="AZ393" i="3"/>
  <c r="AZ396" i="3"/>
  <c r="W27" i="40"/>
  <c r="I14" i="66"/>
  <c r="B8" i="66" s="1"/>
  <c r="BA5" i="3"/>
  <c r="U25" i="33"/>
  <c r="W34" i="33"/>
  <c r="W37" i="34"/>
  <c r="AA32" i="37"/>
  <c r="AA20" i="35"/>
  <c r="F30" i="44"/>
  <c r="M20" i="44"/>
  <c r="F70" i="9"/>
  <c r="F32" i="15"/>
  <c r="F59" i="15" s="1"/>
  <c r="W23" i="40"/>
  <c r="AB44" i="39"/>
  <c r="AA37" i="39"/>
  <c r="AB23" i="40"/>
  <c r="W15" i="39"/>
  <c r="W32" i="40"/>
  <c r="AA29" i="35"/>
  <c r="AB38" i="34"/>
  <c r="U41" i="40"/>
  <c r="S33" i="40"/>
  <c r="AC14" i="40"/>
  <c r="F71" i="9"/>
  <c r="W41" i="34"/>
  <c r="AC41" i="34"/>
  <c r="AZ484" i="3"/>
  <c r="AZ556" i="3"/>
  <c r="AA46" i="33"/>
  <c r="S46" i="33"/>
  <c r="U31" i="33"/>
  <c r="AB31" i="33"/>
  <c r="W37" i="33"/>
  <c r="AC37" i="33"/>
  <c r="AC24" i="35"/>
  <c r="W24" i="35"/>
  <c r="AZ389" i="3"/>
  <c r="AZ404" i="3"/>
  <c r="F44" i="21"/>
  <c r="J28" i="21"/>
  <c r="W40" i="33"/>
  <c r="AA28" i="34"/>
  <c r="S10" i="36"/>
  <c r="F12" i="36"/>
  <c r="U24" i="36"/>
  <c r="C23" i="39"/>
  <c r="S8" i="21"/>
  <c r="W33" i="33"/>
  <c r="U33" i="33"/>
  <c r="W39" i="34"/>
  <c r="U26" i="36"/>
  <c r="W23" i="36"/>
  <c r="H12" i="21"/>
  <c r="BT5" i="3"/>
  <c r="G28" i="6" s="1"/>
  <c r="BL13" i="3"/>
  <c r="BI5" i="3"/>
  <c r="BG5" i="3"/>
  <c r="I4" i="6"/>
  <c r="F34" i="35"/>
  <c r="H34" i="35"/>
  <c r="F25" i="37"/>
  <c r="J25" i="37"/>
  <c r="AZ413" i="3"/>
  <c r="AZ424" i="3"/>
  <c r="AZ437" i="3"/>
  <c r="AZ451" i="3"/>
  <c r="AZ457" i="3"/>
  <c r="AZ470" i="3"/>
  <c r="AZ473" i="3"/>
  <c r="AZ318" i="3"/>
  <c r="AZ334" i="3"/>
  <c r="AZ350" i="3"/>
  <c r="AZ208" i="3"/>
  <c r="AZ211" i="3"/>
  <c r="AZ224" i="3"/>
  <c r="AZ227" i="3"/>
  <c r="AZ240" i="3"/>
  <c r="AZ243" i="3"/>
  <c r="AZ256" i="3"/>
  <c r="AZ259" i="3"/>
  <c r="AZ275" i="3"/>
  <c r="AZ279" i="3"/>
  <c r="AZ291" i="3"/>
  <c r="AZ294" i="3"/>
  <c r="H5" i="3"/>
  <c r="AZ129" i="3"/>
  <c r="AZ132" i="3"/>
  <c r="AZ145" i="3"/>
  <c r="AZ148" i="3"/>
  <c r="AZ25" i="3"/>
  <c r="AZ30" i="3"/>
  <c r="AZ104" i="3"/>
  <c r="AZ108" i="3"/>
  <c r="AZ111" i="3"/>
  <c r="I21" i="57"/>
  <c r="D1" i="57"/>
  <c r="E10" i="57" s="1"/>
  <c r="AZ53" i="3"/>
  <c r="AZ57" i="3"/>
  <c r="AZ60" i="3"/>
  <c r="AZ62" i="3"/>
  <c r="AZ68" i="3"/>
  <c r="AZ72" i="3"/>
  <c r="AZ75" i="3"/>
  <c r="AZ77" i="3"/>
  <c r="AZ81" i="3"/>
  <c r="AZ88" i="3"/>
  <c r="B54" i="46"/>
  <c r="C27" i="40"/>
  <c r="S21" i="34"/>
  <c r="S18" i="35"/>
  <c r="F31" i="39"/>
  <c r="AA31" i="39" s="1"/>
  <c r="P53" i="59"/>
  <c r="L16" i="4"/>
  <c r="AB13" i="59"/>
  <c r="AB3" i="59"/>
  <c r="Y3" i="59"/>
  <c r="Z3" i="59" s="1"/>
  <c r="Y15" i="59"/>
  <c r="Z15" i="59" s="1"/>
  <c r="Y14" i="59"/>
  <c r="Z14" i="59" s="1"/>
  <c r="Y13" i="59"/>
  <c r="Z13" i="59" s="1"/>
  <c r="Y12" i="59"/>
  <c r="Z12" i="59" s="1"/>
  <c r="AA14" i="59"/>
  <c r="AA12" i="59"/>
  <c r="X15" i="59"/>
  <c r="X13" i="59"/>
  <c r="X3" i="59"/>
  <c r="B17" i="59"/>
  <c r="B18" i="59" s="1"/>
  <c r="B19" i="59" s="1"/>
  <c r="S19" i="59" s="1"/>
  <c r="C17"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X22" i="59"/>
  <c r="AA22" i="59"/>
  <c r="X23" i="59"/>
  <c r="AA23" i="59"/>
  <c r="B25" i="59"/>
  <c r="B26" i="59" s="1"/>
  <c r="B27" i="59" s="1"/>
  <c r="S27" i="59" s="1"/>
  <c r="C25" i="59"/>
  <c r="AA24" i="59"/>
  <c r="Y25" i="59"/>
  <c r="Z25" i="59" s="1"/>
  <c r="X5" i="59"/>
  <c r="AA5" i="59"/>
  <c r="AB5" i="59"/>
  <c r="B14" i="59"/>
  <c r="B13" i="59" s="1"/>
  <c r="S15" i="59"/>
  <c r="U15" i="59"/>
  <c r="E14" i="59"/>
  <c r="E13" i="59" s="1"/>
  <c r="Y5" i="59"/>
  <c r="Q53" i="59"/>
  <c r="Q52" i="59"/>
  <c r="T15" i="59"/>
  <c r="C14" i="59"/>
  <c r="D15" i="59"/>
  <c r="V15" i="59"/>
  <c r="F14" i="59"/>
  <c r="F13" i="59" s="1"/>
  <c r="B21" i="63"/>
  <c r="N4" i="63"/>
  <c r="X10" i="59"/>
  <c r="Y11" i="59"/>
  <c r="Z11" i="59" s="1"/>
  <c r="AB11" i="59"/>
  <c r="A28" i="64"/>
  <c r="C11" i="59"/>
  <c r="S11" i="59"/>
  <c r="F11" i="59"/>
  <c r="V11" i="59" s="1"/>
  <c r="X11" i="59"/>
  <c r="AA10" i="59"/>
  <c r="X8" i="59"/>
  <c r="AA8" i="59"/>
  <c r="B54" i="59"/>
  <c r="Y10" i="59"/>
  <c r="Z10" i="59" s="1"/>
  <c r="AB10" i="59"/>
  <c r="C18" i="9"/>
  <c r="M43" i="9" s="1"/>
  <c r="C92" i="9"/>
  <c r="L76" i="9"/>
  <c r="H29" i="39"/>
  <c r="U29" i="39" s="1"/>
  <c r="H27" i="39"/>
  <c r="AB27" i="39" s="1"/>
  <c r="F29" i="39"/>
  <c r="AA29" i="39" s="1"/>
  <c r="E561" i="3"/>
  <c r="E535" i="3"/>
  <c r="E381" i="3"/>
  <c r="E427" i="3"/>
  <c r="E278" i="3"/>
  <c r="E94" i="3"/>
  <c r="E492" i="3"/>
  <c r="E295" i="3"/>
  <c r="E89" i="3"/>
  <c r="E201" i="3"/>
  <c r="E170" i="3"/>
  <c r="E274" i="3"/>
  <c r="E32" i="3"/>
  <c r="E547" i="3"/>
  <c r="E447" i="3"/>
  <c r="E33" i="3"/>
  <c r="Q6" i="3"/>
  <c r="E119" i="3"/>
  <c r="E500" i="3"/>
  <c r="E97" i="3"/>
  <c r="AE6" i="3"/>
  <c r="E289" i="3"/>
  <c r="E533"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G3" i="46"/>
  <c r="C13" i="39"/>
  <c r="F13" i="39" s="1"/>
  <c r="C11" i="21"/>
  <c r="AA33" i="21"/>
  <c r="F91" i="39"/>
  <c r="H17" i="39"/>
  <c r="U17" i="39" s="1"/>
  <c r="H43" i="21"/>
  <c r="F43" i="21"/>
  <c r="S43" i="21" s="1"/>
  <c r="J43" i="21"/>
  <c r="G123" i="21"/>
  <c r="H123" i="21" s="1"/>
  <c r="I123" i="21" s="1"/>
  <c r="J123" i="21" s="1"/>
  <c r="K123" i="21" s="1"/>
  <c r="L123" i="21" s="1"/>
  <c r="M123" i="21" s="1"/>
  <c r="F42" i="21"/>
  <c r="AA42" i="21" s="1"/>
  <c r="J42" i="21"/>
  <c r="H42" i="21"/>
  <c r="J37" i="21"/>
  <c r="H37" i="21"/>
  <c r="H113" i="21"/>
  <c r="F37" i="21"/>
  <c r="J35" i="21"/>
  <c r="W35" i="21" s="1"/>
  <c r="H35" i="21"/>
  <c r="AB35" i="21" s="1"/>
  <c r="F108" i="21"/>
  <c r="G108" i="21" s="1"/>
  <c r="H108" i="21" s="1"/>
  <c r="I108" i="21" s="1"/>
  <c r="J108" i="21" s="1"/>
  <c r="K108" i="21" s="1"/>
  <c r="L108" i="21" s="1"/>
  <c r="M108" i="21" s="1"/>
  <c r="F35" i="21"/>
  <c r="AA35" i="21" s="1"/>
  <c r="U40" i="21"/>
  <c r="S46" i="21"/>
  <c r="AA43" i="21"/>
  <c r="AC40" i="21"/>
  <c r="AC38" i="21"/>
  <c r="U38" i="21"/>
  <c r="AA38" i="21"/>
  <c r="S42" i="21"/>
  <c r="U39" i="21"/>
  <c r="AC36" i="21"/>
  <c r="AA36" i="21"/>
  <c r="AB36" i="21"/>
  <c r="AC35" i="21"/>
  <c r="AC34" i="21"/>
  <c r="AB34" i="21"/>
  <c r="AB32" i="21"/>
  <c r="W25" i="21"/>
  <c r="AB25" i="21"/>
  <c r="U28" i="21"/>
  <c r="AB30" i="21"/>
  <c r="AB13" i="21"/>
  <c r="J23" i="21"/>
  <c r="W23" i="21" s="1"/>
  <c r="H23" i="21"/>
  <c r="G85" i="21"/>
  <c r="F23" i="21"/>
  <c r="AA23" i="21" s="1"/>
  <c r="F19" i="21"/>
  <c r="AA19" i="21" s="1"/>
  <c r="J19" i="21"/>
  <c r="W19" i="21" s="1"/>
  <c r="G81" i="21"/>
  <c r="H19" i="21"/>
  <c r="AB19" i="21" s="1"/>
  <c r="G79" i="21"/>
  <c r="H17" i="21"/>
  <c r="F17" i="21"/>
  <c r="S17" i="21" s="1"/>
  <c r="J17" i="21"/>
  <c r="AC17" i="21" s="1"/>
  <c r="F15" i="21"/>
  <c r="G77" i="21"/>
  <c r="H15" i="21"/>
  <c r="U15" i="21" s="1"/>
  <c r="J15" i="21"/>
  <c r="AC15" i="21" s="1"/>
  <c r="AC23" i="21"/>
  <c r="S23" i="21"/>
  <c r="S21" i="21"/>
  <c r="S19" i="21"/>
  <c r="AC19" i="21"/>
  <c r="U19" i="21"/>
  <c r="AA17" i="21"/>
  <c r="W15" i="21"/>
  <c r="S10" i="21"/>
  <c r="W9" i="21"/>
  <c r="U9" i="21"/>
  <c r="W8" i="21"/>
  <c r="A30" i="51"/>
  <c r="B22" i="63" s="1"/>
  <c r="A30" i="64"/>
  <c r="AC43" i="39"/>
  <c r="W34" i="39"/>
  <c r="S36" i="39"/>
  <c r="W14" i="39"/>
  <c r="AB43" i="39"/>
  <c r="S27" i="39"/>
  <c r="S31" i="39"/>
  <c r="AA38" i="39"/>
  <c r="S38" i="39"/>
  <c r="S34" i="39"/>
  <c r="AB33" i="39"/>
  <c r="H38" i="39"/>
  <c r="J38" i="39"/>
  <c r="W31" i="39"/>
  <c r="W29" i="39"/>
  <c r="W27" i="39"/>
  <c r="H25" i="39"/>
  <c r="U25" i="39" s="1"/>
  <c r="F25" i="39"/>
  <c r="F99" i="39"/>
  <c r="G99" i="39" s="1"/>
  <c r="J25" i="39"/>
  <c r="AC25" i="39" s="1"/>
  <c r="G97" i="39"/>
  <c r="J23" i="39"/>
  <c r="AC23" i="39" s="1"/>
  <c r="H23" i="39"/>
  <c r="W25" i="39"/>
  <c r="AB25" i="39"/>
  <c r="W23" i="39"/>
  <c r="S23" i="39"/>
  <c r="S15" i="39"/>
  <c r="U14" i="39"/>
  <c r="S14" i="39"/>
  <c r="AB16" i="39"/>
  <c r="P75" i="15"/>
  <c r="G7" i="1"/>
  <c r="L27" i="6"/>
  <c r="E113" i="3"/>
  <c r="E136" i="3"/>
  <c r="E363" i="3"/>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96" i="3"/>
  <c r="E158" i="3"/>
  <c r="E390" i="3"/>
  <c r="E337" i="3"/>
  <c r="E78" i="3"/>
  <c r="AM6" i="3"/>
  <c r="E194" i="3"/>
  <c r="E265" i="3"/>
  <c r="E443" i="3"/>
  <c r="E23" i="3"/>
  <c r="E53" i="40"/>
  <c r="F27" i="6"/>
  <c r="E27" i="6" s="1"/>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D12" i="11"/>
  <c r="C12" i="11" s="1"/>
  <c r="H16" i="1"/>
  <c r="BL5" i="3"/>
  <c r="AZ13" i="3"/>
  <c r="AZ5" i="3" s="1"/>
  <c r="E3" i="6" s="1"/>
  <c r="C21" i="4" s="1"/>
  <c r="O5" i="54" s="1"/>
  <c r="B45" i="63" s="1"/>
  <c r="A18" i="64"/>
  <c r="B74" i="63" s="1"/>
  <c r="C53" i="10"/>
  <c r="A25" i="64" s="1"/>
  <c r="L5" i="54"/>
  <c r="B39" i="63" s="1"/>
  <c r="T41" i="4"/>
  <c r="A17" i="64" s="1"/>
  <c r="A18" i="51"/>
  <c r="B14" i="63" s="1"/>
  <c r="K5" i="54"/>
  <c r="B38" i="63" s="1"/>
  <c r="A11" i="55"/>
  <c r="B62" i="63" s="1"/>
  <c r="K17" i="4"/>
  <c r="A22" i="51" s="1"/>
  <c r="B16" i="63" s="1"/>
  <c r="G8" i="1"/>
  <c r="C45" i="9"/>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E6" i="59"/>
  <c r="E5" i="59" s="1"/>
  <c r="U7" i="59"/>
  <c r="F10" i="59"/>
  <c r="F9" i="59" s="1"/>
  <c r="F8" i="59" s="1"/>
  <c r="F7" i="59" s="1"/>
  <c r="Y9" i="59"/>
  <c r="Z9" i="59" s="1"/>
  <c r="AA9" i="59"/>
  <c r="AB9" i="59"/>
  <c r="Y8" i="59"/>
  <c r="Z8" i="59" s="1"/>
  <c r="Y7" i="59"/>
  <c r="Z7" i="59" s="1"/>
  <c r="Z5" i="59"/>
  <c r="Y6" i="59"/>
  <c r="Z6" i="59" s="1"/>
  <c r="AB8" i="59"/>
  <c r="AB7" i="59"/>
  <c r="AB6" i="59"/>
  <c r="AA11" i="59"/>
  <c r="X9" i="59"/>
  <c r="X7" i="59"/>
  <c r="X6" i="59"/>
  <c r="AA7" i="59"/>
  <c r="AA6" i="59"/>
  <c r="E14" i="52"/>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O12" i="1"/>
  <c r="P12" i="1" s="1"/>
  <c r="AY6" i="3"/>
  <c r="AP7" i="1"/>
  <c r="G13" i="1"/>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E11" i="46"/>
  <c r="AE13" i="46" s="1"/>
  <c r="H60" i="46"/>
  <c r="H59" i="46"/>
  <c r="H74" i="46"/>
  <c r="H65" i="46"/>
  <c r="AB11" i="46"/>
  <c r="H75" i="46"/>
  <c r="E10" i="46"/>
  <c r="E9" i="46"/>
  <c r="E11" i="46"/>
  <c r="E8" i="46"/>
  <c r="H72" i="46"/>
  <c r="H69" i="46"/>
  <c r="H77" i="46"/>
  <c r="H76" i="46"/>
  <c r="H55" i="46"/>
  <c r="H54" i="46"/>
  <c r="H52" i="46"/>
  <c r="H47" i="46"/>
  <c r="AD12" i="46"/>
  <c r="AH12" i="46"/>
  <c r="B6" i="52"/>
  <c r="E7" i="52"/>
  <c r="C4" i="4" s="1"/>
  <c r="B20" i="55" s="1"/>
  <c r="E6" i="52"/>
  <c r="E4" i="52"/>
  <c r="B7" i="52"/>
  <c r="E5" i="52"/>
  <c r="P21" i="46"/>
  <c r="B8" i="59"/>
  <c r="B7" i="59" s="1"/>
  <c r="S7"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M17" i="15"/>
  <c r="F31" i="15"/>
  <c r="F33" i="44"/>
  <c r="F58" i="15"/>
  <c r="M19" i="44"/>
  <c r="I3" i="65"/>
  <c r="C18" i="44"/>
  <c r="I7" i="65"/>
  <c r="J6" i="65"/>
  <c r="I6" i="65"/>
  <c r="I5" i="65"/>
  <c r="J3" i="65"/>
  <c r="J4" i="65"/>
  <c r="J5" i="65"/>
  <c r="C16" i="15"/>
  <c r="I4" i="65"/>
  <c r="J7" i="65"/>
  <c r="E28" i="6" l="1"/>
  <c r="G30" i="6"/>
  <c r="G31" i="6" s="1"/>
  <c r="AF13" i="46"/>
  <c r="H7" i="21"/>
  <c r="C10" i="59"/>
  <c r="T11" i="59"/>
  <c r="D11" i="59"/>
  <c r="D14" i="59"/>
  <c r="C13" i="59"/>
  <c r="D13" i="59" s="1"/>
  <c r="C26" i="59"/>
  <c r="D25" i="59"/>
  <c r="C18" i="59"/>
  <c r="D17" i="59"/>
  <c r="AA25" i="37"/>
  <c r="S25" i="37"/>
  <c r="AA34" i="35"/>
  <c r="S34" i="35"/>
  <c r="U12" i="21"/>
  <c r="AB12" i="21"/>
  <c r="AA44" i="21"/>
  <c r="S44" i="21"/>
  <c r="N54" i="59"/>
  <c r="B53" i="59"/>
  <c r="W25" i="37"/>
  <c r="AC25" i="37"/>
  <c r="AB34" i="35"/>
  <c r="U34" i="35"/>
  <c r="S12" i="36"/>
  <c r="AA12" i="36"/>
  <c r="AC28" i="21"/>
  <c r="W28" i="21"/>
  <c r="D18" i="9"/>
  <c r="M44" i="9" s="1"/>
  <c r="U35" i="21"/>
  <c r="B73" i="39"/>
  <c r="J7" i="33"/>
  <c r="AB17" i="39"/>
  <c r="B72" i="63"/>
  <c r="B70" i="63"/>
  <c r="AB29" i="39"/>
  <c r="U27" i="39"/>
  <c r="S29" i="39"/>
  <c r="J13" i="39"/>
  <c r="H13" i="39"/>
  <c r="F11" i="21"/>
  <c r="J11" i="21"/>
  <c r="H11" i="21"/>
  <c r="AB15" i="21"/>
  <c r="W17" i="21"/>
  <c r="S13" i="39"/>
  <c r="AA13" i="39"/>
  <c r="G91" i="39"/>
  <c r="F17" i="39"/>
  <c r="J17" i="39"/>
  <c r="AC43" i="21"/>
  <c r="W43" i="21"/>
  <c r="AB43" i="21"/>
  <c r="U43" i="21"/>
  <c r="AB42" i="21"/>
  <c r="U42" i="21"/>
  <c r="AC42" i="21"/>
  <c r="W42" i="21"/>
  <c r="S37" i="21"/>
  <c r="AA37" i="21"/>
  <c r="U37" i="21"/>
  <c r="AB37" i="21"/>
  <c r="W37" i="21"/>
  <c r="AC37" i="21"/>
  <c r="S35" i="21"/>
  <c r="AB23" i="21"/>
  <c r="U23" i="21"/>
  <c r="AB17" i="21"/>
  <c r="U17" i="21"/>
  <c r="S15" i="21"/>
  <c r="AA15" i="21"/>
  <c r="AC38" i="39"/>
  <c r="W38" i="39"/>
  <c r="AB38" i="39"/>
  <c r="U38" i="39"/>
  <c r="AA25" i="39"/>
  <c r="S25" i="39"/>
  <c r="AB23" i="39"/>
  <c r="U23" i="39"/>
  <c r="G17" i="46"/>
  <c r="C16" i="46" s="1"/>
  <c r="AH13" i="46"/>
  <c r="H103" i="46"/>
  <c r="M109" i="46"/>
  <c r="M103" i="46"/>
  <c r="I106" i="46"/>
  <c r="F103" i="46"/>
  <c r="F102" i="46"/>
  <c r="F109" i="46"/>
  <c r="H6" i="3"/>
  <c r="AC6" i="3"/>
  <c r="D16" i="43"/>
  <c r="C16" i="43" s="1"/>
  <c r="E6" i="6"/>
  <c r="D16" i="12"/>
  <c r="L38" i="9"/>
  <c r="B14" i="66" s="1"/>
  <c r="D46" i="9"/>
  <c r="A17" i="51"/>
  <c r="B13" i="63" s="1"/>
  <c r="A25" i="51"/>
  <c r="B18" i="63" s="1"/>
  <c r="A3" i="55"/>
  <c r="B56" i="63" s="1"/>
  <c r="H14" i="66"/>
  <c r="B7" i="66" s="1"/>
  <c r="O40" i="9"/>
  <c r="R7" i="54" s="1"/>
  <c r="B52" i="63" s="1"/>
  <c r="D45" i="9"/>
  <c r="E65" i="40"/>
  <c r="D67" i="40"/>
  <c r="F7" i="21"/>
  <c r="E70" i="39"/>
  <c r="D72" i="39"/>
  <c r="AB7" i="21"/>
  <c r="U7" i="21"/>
  <c r="F6" i="59"/>
  <c r="F5" i="59" s="1"/>
  <c r="V7" i="59"/>
  <c r="C34" i="12"/>
  <c r="D33" i="12" s="1"/>
  <c r="B6" i="59"/>
  <c r="B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B27" i="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s="1"/>
  <c r="C7" i="44" s="1"/>
  <c r="M11" i="15"/>
  <c r="J10" i="15" s="1"/>
  <c r="J5" i="15" s="1"/>
  <c r="F11" i="15"/>
  <c r="M13" i="44"/>
  <c r="J12" i="44" s="1"/>
  <c r="J7" i="44" s="1"/>
  <c r="F1" i="15"/>
  <c r="Q53" i="15"/>
  <c r="Q75" i="15"/>
  <c r="Q62" i="15"/>
  <c r="Q75" i="44"/>
  <c r="Q62" i="44"/>
  <c r="E3" i="65"/>
  <c r="E2" i="65"/>
  <c r="AE7" i="1"/>
  <c r="D18" i="59" l="1"/>
  <c r="C19" i="59"/>
  <c r="D26" i="59"/>
  <c r="C27" i="59"/>
  <c r="N52" i="59"/>
  <c r="N53" i="59"/>
  <c r="C9" i="59"/>
  <c r="D10" i="59"/>
  <c r="AC7" i="33"/>
  <c r="V48" i="33" s="1"/>
  <c r="I48" i="33" s="1"/>
  <c r="I52" i="33" s="1"/>
  <c r="J52" i="33" s="1"/>
  <c r="W7" i="33"/>
  <c r="B30" i="9"/>
  <c r="D27" i="9"/>
  <c r="W11" i="21"/>
  <c r="AC11" i="21"/>
  <c r="V48" i="21" s="1"/>
  <c r="I48" i="21" s="1"/>
  <c r="I52" i="21" s="1"/>
  <c r="J52" i="21" s="1"/>
  <c r="AB13" i="39"/>
  <c r="U13" i="39"/>
  <c r="E6" i="3"/>
  <c r="U11" i="21"/>
  <c r="AB11" i="21"/>
  <c r="T48" i="21" s="1"/>
  <c r="G48" i="21" s="1"/>
  <c r="G52" i="21" s="1"/>
  <c r="H52" i="21" s="1"/>
  <c r="S11" i="21"/>
  <c r="AA11" i="21"/>
  <c r="AC13" i="39"/>
  <c r="W13" i="39"/>
  <c r="AA17" i="39"/>
  <c r="S17" i="39"/>
  <c r="W17" i="39"/>
  <c r="AC17" i="39"/>
  <c r="M20" i="6"/>
  <c r="I20" i="6" s="1"/>
  <c r="S20" i="6" s="1"/>
  <c r="S7" i="1"/>
  <c r="D22" i="12"/>
  <c r="C22" i="12" s="1"/>
  <c r="C20" i="12" s="1"/>
  <c r="D13" i="11"/>
  <c r="C13" i="11" s="1"/>
  <c r="D19" i="12"/>
  <c r="C19" i="12" s="1"/>
  <c r="C16" i="12"/>
  <c r="F70" i="39"/>
  <c r="E72" i="39"/>
  <c r="AA7" i="21"/>
  <c r="S7" i="21"/>
  <c r="F65" i="40"/>
  <c r="E67" i="40"/>
  <c r="M28" i="46"/>
  <c r="G20" i="46" s="1"/>
  <c r="E41" i="46" s="1"/>
  <c r="C41" i="46" s="1"/>
  <c r="N28" i="46"/>
  <c r="B40" i="1"/>
  <c r="F24" i="15" s="1"/>
  <c r="C24" i="15"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D24" i="6"/>
  <c r="D26" i="6"/>
  <c r="D22" i="6"/>
  <c r="D11" i="6"/>
  <c r="D12" i="6"/>
  <c r="H20" i="6"/>
  <c r="H25" i="6"/>
  <c r="D9" i="6"/>
  <c r="D5" i="6"/>
  <c r="D29" i="6"/>
  <c r="H22" i="6"/>
  <c r="D15" i="6"/>
  <c r="H26" i="6"/>
  <c r="F46" i="9"/>
  <c r="E46" i="9"/>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7" i="15"/>
  <c r="L52" i="44"/>
  <c r="F41" i="15"/>
  <c r="R48" i="21" l="1"/>
  <c r="E48" i="21" s="1"/>
  <c r="T27" i="59"/>
  <c r="D27" i="59"/>
  <c r="T19" i="59"/>
  <c r="D19" i="59"/>
  <c r="D9" i="59"/>
  <c r="C8" i="59"/>
  <c r="B2" i="66"/>
  <c r="S16" i="1"/>
  <c r="C24" i="9"/>
  <c r="C25" i="9"/>
  <c r="G53" i="21"/>
  <c r="H53" i="21" s="1"/>
  <c r="F68" i="15"/>
  <c r="J29" i="15"/>
  <c r="R26" i="6"/>
  <c r="F67" i="40"/>
  <c r="G65" i="40"/>
  <c r="F72" i="39"/>
  <c r="G70" i="39"/>
  <c r="F21" i="43"/>
  <c r="C23" i="43" s="1"/>
  <c r="D21" i="43" s="1"/>
  <c r="F7" i="36"/>
  <c r="S7" i="36" s="1"/>
  <c r="C20" i="46"/>
  <c r="F26" i="12"/>
  <c r="C27" i="12" s="1"/>
  <c r="D26" i="12" s="1"/>
  <c r="C32" i="12" s="1"/>
  <c r="D30" i="12" s="1"/>
  <c r="F26" i="44"/>
  <c r="C26" i="44" s="1"/>
  <c r="R24" i="6"/>
  <c r="D16" i="6"/>
  <c r="D30" i="6"/>
  <c r="R22" i="6"/>
  <c r="R23" i="6"/>
  <c r="R25" i="6"/>
  <c r="D27" i="6"/>
  <c r="I19" i="6"/>
  <c r="M27" i="6"/>
  <c r="R20" i="6"/>
  <c r="R7" i="1" s="1"/>
  <c r="R21" i="6"/>
  <c r="A6" i="51"/>
  <c r="B7" i="63" s="1"/>
  <c r="A6" i="64"/>
  <c r="A20" i="64"/>
  <c r="A20" i="51"/>
  <c r="B15" i="63" s="1"/>
  <c r="N5" i="54"/>
  <c r="B43" i="63" s="1"/>
  <c r="T13" i="1"/>
  <c r="M16" i="1"/>
  <c r="T9" i="1"/>
  <c r="T11" i="1"/>
  <c r="T12" i="1"/>
  <c r="O14" i="1"/>
  <c r="O16" i="1" s="1"/>
  <c r="T7" i="1"/>
  <c r="T10" i="1"/>
  <c r="T6" i="1"/>
  <c r="T8" i="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C14" i="15"/>
  <c r="M21" i="15"/>
  <c r="F35" i="15"/>
  <c r="C16" i="44"/>
  <c r="R49" i="21" l="1"/>
  <c r="C48" i="21" s="1"/>
  <c r="C7" i="59"/>
  <c r="D8" i="59"/>
  <c r="J20" i="15"/>
  <c r="C34" i="15"/>
  <c r="F62" i="15"/>
  <c r="C61" i="15" s="1"/>
  <c r="D7" i="66"/>
  <c r="D8" i="66"/>
  <c r="T16" i="1"/>
  <c r="P14" i="1"/>
  <c r="P16" i="1" s="1"/>
  <c r="C13" i="12" s="1"/>
  <c r="C14" i="12" s="1"/>
  <c r="AA7" i="36"/>
  <c r="R36" i="36" s="1"/>
  <c r="H70" i="39"/>
  <c r="G72" i="39"/>
  <c r="H65" i="40"/>
  <c r="G67" i="40"/>
  <c r="E53" i="21"/>
  <c r="F53" i="21" s="1"/>
  <c r="E52" i="21"/>
  <c r="F52" i="21" s="1"/>
  <c r="I53" i="21"/>
  <c r="J53" i="21" s="1"/>
  <c r="D31" i="6"/>
  <c r="I6" i="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49" i="21" l="1"/>
  <c r="B3" i="21" s="1"/>
  <c r="C8" i="12" s="1"/>
  <c r="T7" i="59"/>
  <c r="C6" i="59"/>
  <c r="D7" i="59"/>
  <c r="B2" i="21"/>
  <c r="C10" i="12" s="1"/>
  <c r="C17" i="12"/>
  <c r="C18" i="12" s="1"/>
  <c r="C23" i="12" s="1"/>
  <c r="H67" i="40"/>
  <c r="I65" i="40"/>
  <c r="I70" i="39"/>
  <c r="H72" i="39"/>
  <c r="I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D6" i="59" l="1"/>
  <c r="C5" i="59"/>
  <c r="R27" i="6"/>
  <c r="R6" i="1"/>
  <c r="R16" i="1" s="1"/>
  <c r="J65" i="40"/>
  <c r="I67" i="40"/>
  <c r="J70" i="39"/>
  <c r="I72" i="39"/>
  <c r="C18" i="43"/>
  <c r="C19" i="43" s="1"/>
  <c r="C25" i="43" s="1"/>
  <c r="C24" i="43" s="1"/>
  <c r="C28" i="44"/>
  <c r="C31" i="44" s="1"/>
  <c r="C23" i="15"/>
  <c r="C29" i="15" s="1"/>
  <c r="C36" i="15" s="1"/>
  <c r="K48" i="35"/>
  <c r="L48" i="35" s="1"/>
  <c r="M48" i="35" s="1"/>
  <c r="N48" i="35" s="1"/>
  <c r="O48" i="35" s="1"/>
  <c r="K52" i="37"/>
  <c r="J7" i="35" l="1"/>
  <c r="W7" i="35" s="1"/>
  <c r="D5" i="59"/>
  <c r="M20" i="46"/>
  <c r="C19" i="46" s="1"/>
  <c r="J72" i="39"/>
  <c r="K70" i="39"/>
  <c r="K65" i="40"/>
  <c r="J67" i="40"/>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L52" i="37"/>
  <c r="F7" i="35"/>
  <c r="H7" i="35"/>
  <c r="T5" i="46" l="1"/>
  <c r="V5" i="46" s="1"/>
  <c r="T3" i="46"/>
  <c r="V3" i="46" s="1"/>
  <c r="C34" i="46"/>
  <c r="T8" i="46"/>
  <c r="V8" i="46" s="1"/>
  <c r="T15" i="46"/>
  <c r="V15" i="46" s="1"/>
  <c r="C38" i="46"/>
  <c r="T6" i="46"/>
  <c r="V6" i="46" s="1"/>
  <c r="T7" i="46"/>
  <c r="V7" i="46" s="1"/>
  <c r="T13" i="46"/>
  <c r="V13" i="46" s="1"/>
  <c r="T14" i="46"/>
  <c r="V14" i="46" s="1"/>
  <c r="C35" i="46"/>
  <c r="C39" i="46"/>
  <c r="T4" i="46"/>
  <c r="V4" i="46" s="1"/>
  <c r="T11" i="46"/>
  <c r="V11" i="46" s="1"/>
  <c r="C29" i="46"/>
  <c r="T9" i="46"/>
  <c r="V9" i="46" s="1"/>
  <c r="C36" i="46"/>
  <c r="C37" i="46"/>
  <c r="T10" i="46"/>
  <c r="V10" i="46" s="1"/>
  <c r="T12" i="46"/>
  <c r="V12" i="46" s="1"/>
  <c r="T16" i="46"/>
  <c r="V16" i="46" s="1"/>
  <c r="T2" i="46"/>
  <c r="V2" i="46" s="1"/>
  <c r="C33" i="46"/>
  <c r="J22" i="15"/>
  <c r="J16" i="15" s="1"/>
  <c r="J25" i="15" s="1"/>
  <c r="L70" i="39"/>
  <c r="K72" i="39"/>
  <c r="K67" i="40"/>
  <c r="L65" i="40"/>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E37" i="46" l="1"/>
  <c r="G37" i="46"/>
  <c r="I37" i="46" s="1"/>
  <c r="E39" i="46"/>
  <c r="G39" i="46"/>
  <c r="I39" i="46" s="1"/>
  <c r="E38" i="46"/>
  <c r="G38" i="46"/>
  <c r="I38" i="46" s="1"/>
  <c r="G33" i="46"/>
  <c r="I33" i="46" s="1"/>
  <c r="E33" i="46"/>
  <c r="G36" i="46"/>
  <c r="I36" i="46" s="1"/>
  <c r="E36" i="46"/>
  <c r="C30" i="46"/>
  <c r="E30" i="46" s="1"/>
  <c r="C27" i="46" s="1"/>
  <c r="E29" i="46"/>
  <c r="G35" i="46"/>
  <c r="I35" i="46" s="1"/>
  <c r="E35" i="46"/>
  <c r="E34" i="46"/>
  <c r="G34" i="46"/>
  <c r="I34" i="46" s="1"/>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R39" i="35"/>
  <c r="E38" i="35"/>
  <c r="G42" i="35"/>
  <c r="H42" i="35" s="1"/>
  <c r="G43" i="35"/>
  <c r="H43" i="35" s="1"/>
  <c r="F7" i="67"/>
  <c r="L51" i="15"/>
  <c r="E4" i="67" l="1"/>
  <c r="C26" i="46"/>
  <c r="Q68" i="15"/>
  <c r="F7" i="37"/>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E7" i="67"/>
  <c r="E3" i="67" l="1"/>
  <c r="B2" i="46"/>
  <c r="B3" i="15"/>
  <c r="D8" i="12" s="1"/>
  <c r="D10" i="12"/>
  <c r="C6" i="12" s="1"/>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B7" i="67"/>
  <c r="B2" i="67" l="1"/>
  <c r="D4" i="46"/>
  <c r="B4" i="46"/>
  <c r="B3" i="46"/>
  <c r="C24" i="12"/>
  <c r="C29"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B4" i="67" l="1"/>
  <c r="B3" i="67"/>
  <c r="C35" i="12"/>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4"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D21" i="9"/>
  <c r="F68" i="39" l="1"/>
  <c r="B2" i="39" s="1"/>
  <c r="B5" i="39" s="1"/>
  <c r="B3" i="12"/>
  <c r="B5" i="12"/>
  <c r="L44" i="9"/>
  <c r="B5" i="40"/>
  <c r="B3" i="40"/>
  <c r="B4" i="40"/>
  <c r="C19" i="9"/>
  <c r="D20" i="9"/>
  <c r="B3" i="39" l="1"/>
  <c r="B4" i="39"/>
  <c r="D22" i="9"/>
  <c r="L43" i="9"/>
  <c r="G19" i="9"/>
  <c r="G22" i="9" s="1"/>
  <c r="C20" i="9"/>
  <c r="C21" i="9"/>
  <c r="G20" i="9" l="1"/>
  <c r="N43" i="9"/>
  <c r="C32" i="9"/>
  <c r="C35" i="9" s="1"/>
  <c r="F42" i="9" s="1"/>
  <c r="G21" i="9"/>
  <c r="O38" i="9" l="1"/>
  <c r="K26" i="9" s="1"/>
  <c r="C42" i="9"/>
  <c r="D14" i="66" s="1"/>
  <c r="E14" i="66" s="1"/>
  <c r="O43" i="9"/>
  <c r="C33" i="9"/>
  <c r="R24" i="31" s="1"/>
  <c r="R27" i="31" s="1"/>
  <c r="S27" i="31" s="1"/>
  <c r="D17" i="66" s="1"/>
  <c r="G17" i="66" s="1"/>
  <c r="C34" i="9"/>
  <c r="E42" i="9" s="1"/>
  <c r="P5" i="54" s="1"/>
  <c r="B46" i="63" s="1"/>
  <c r="D63" i="9"/>
  <c r="D71" i="9" s="1"/>
  <c r="D66" i="9" s="1"/>
  <c r="N72" i="9" s="1"/>
  <c r="K25" i="9" l="1"/>
  <c r="R5" i="54"/>
  <c r="B48" i="63" s="1"/>
  <c r="D42" i="9"/>
  <c r="Q5" i="54" s="1"/>
  <c r="B47" i="63" s="1"/>
  <c r="F14" i="66"/>
  <c r="S24" i="31"/>
  <c r="N68" i="9"/>
  <c r="R28" i="31"/>
  <c r="S28" i="31" s="1"/>
  <c r="D18" i="66" s="1"/>
  <c r="G18" i="66" s="1"/>
  <c r="C44" i="9"/>
  <c r="D44" i="9" s="1"/>
  <c r="R30" i="31"/>
  <c r="S30" i="31" s="1"/>
  <c r="D20" i="66" s="1"/>
  <c r="G20" i="66" s="1"/>
  <c r="R32" i="31"/>
  <c r="S32" i="31" s="1"/>
  <c r="D22" i="66" s="1"/>
  <c r="G22" i="66" s="1"/>
  <c r="N38" i="9"/>
  <c r="K28" i="9" s="1"/>
  <c r="M38" i="9"/>
  <c r="K27" i="9" s="1"/>
  <c r="F17" i="66"/>
  <c r="E17" i="66"/>
  <c r="C96" i="9"/>
  <c r="C91" i="9" s="1"/>
  <c r="C90" i="9"/>
  <c r="C82" i="9"/>
  <c r="C81" i="9" s="1"/>
  <c r="C85" i="9" s="1"/>
  <c r="C86" i="9" s="1"/>
  <c r="D72" i="9" s="1"/>
  <c r="D70" i="9"/>
  <c r="C103" i="9"/>
  <c r="C111" i="9"/>
  <c r="C104" i="9" s="1"/>
  <c r="D77" i="9"/>
  <c r="N75" i="9" s="1"/>
  <c r="R29" i="31"/>
  <c r="S29" i="31" s="1"/>
  <c r="D19" i="66" s="1"/>
  <c r="G19" i="66" s="1"/>
  <c r="R25" i="31"/>
  <c r="R26" i="31"/>
  <c r="S26" i="31" s="1"/>
  <c r="D16" i="66" s="1"/>
  <c r="G16" i="66" s="1"/>
  <c r="R31" i="31"/>
  <c r="S31" i="31" s="1"/>
  <c r="D21" i="66" s="1"/>
  <c r="G21" i="66" s="1"/>
  <c r="R33" i="31"/>
  <c r="S33" i="31" s="1"/>
  <c r="D23" i="66" s="1"/>
  <c r="G23" i="66" s="1"/>
  <c r="E44" i="9" l="1"/>
  <c r="F20" i="66"/>
  <c r="E18" i="66"/>
  <c r="F18" i="66"/>
  <c r="O39" i="9"/>
  <c r="R6" i="54" s="1"/>
  <c r="B50" i="63" s="1"/>
  <c r="C97" i="9"/>
  <c r="C98" i="9" s="1"/>
  <c r="E98" i="9" s="1"/>
  <c r="E99" i="9" s="1"/>
  <c r="G14" i="66"/>
  <c r="F44" i="9"/>
  <c r="N69" i="9"/>
  <c r="M85" i="9" s="1"/>
  <c r="N85" i="9" s="1"/>
  <c r="E20" i="66"/>
  <c r="E22" i="66"/>
  <c r="F22" i="66"/>
  <c r="F21" i="66"/>
  <c r="E21" i="66"/>
  <c r="F23" i="66"/>
  <c r="E23" i="66"/>
  <c r="F16" i="66"/>
  <c r="E16" i="66"/>
  <c r="F19" i="66"/>
  <c r="E19" i="66"/>
  <c r="S25" i="31"/>
  <c r="D15" i="66" s="1"/>
  <c r="C113" i="9"/>
  <c r="C114" i="9" s="1"/>
  <c r="E114" i="9" s="1"/>
  <c r="E115" i="9" s="1"/>
  <c r="B1" i="66"/>
  <c r="M84" i="9" l="1"/>
  <c r="N84" i="9" s="1"/>
  <c r="K29" i="9"/>
  <c r="K30" i="9" s="1"/>
  <c r="M88" i="9"/>
  <c r="N88" i="9" s="1"/>
  <c r="M86" i="9"/>
  <c r="N86" i="9" s="1"/>
  <c r="M83" i="9"/>
  <c r="N83" i="9" s="1"/>
  <c r="M87" i="9"/>
  <c r="N87" i="9" s="1"/>
  <c r="C115" i="9"/>
  <c r="D76" i="9" s="1"/>
  <c r="D74" i="9" s="1"/>
  <c r="N74" i="9" s="1"/>
  <c r="O77" i="9" s="1"/>
  <c r="O78" i="9" s="1"/>
  <c r="S22" i="31"/>
  <c r="R22" i="31" s="1"/>
  <c r="B21" i="31" s="1"/>
  <c r="C8" i="66"/>
  <c r="C7" i="66"/>
  <c r="C99" i="9"/>
  <c r="O79" i="9" l="1"/>
  <c r="O81" i="9" s="1"/>
  <c r="N89" i="9"/>
  <c r="O89" i="9" s="1"/>
  <c r="Q77" i="9"/>
  <c r="B20" i="31"/>
  <c r="G15" i="66" s="1"/>
  <c r="B6" i="66" s="1"/>
  <c r="D6" i="66" s="1"/>
  <c r="B5" i="66"/>
  <c r="D5" i="66" s="1"/>
  <c r="F15" i="66"/>
  <c r="E15" i="66"/>
  <c r="C6" i="66" l="1"/>
  <c r="C5" i="66"/>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<sst xmlns="http://schemas.openxmlformats.org/spreadsheetml/2006/main" count="7928" uniqueCount="3342">
  <si>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</si>
  <si>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</si>
  <si>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</si>
  <si>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</si>
  <si>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</si>
  <si>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</si>
  <si>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</si>
  <si>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</si>
  <si>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</si>
  <si>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</si>
  <si>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</si>
  <si>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</si>
  <si>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</si>
  <si>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</si>
  <si>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</si>
  <si>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</si>
  <si>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</si>
  <si>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</si>
  <si>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</si>
  <si>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</si>
  <si>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</si>
  <si>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</si>
  <si>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</si>
  <si>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</si>
  <si>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</si>
  <si>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</si>
  <si>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</si>
  <si>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</si>
  <si>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</si>
  <si>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</si>
  <si>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</si>
  <si>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</si>
  <si>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</si>
  <si>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</si>
  <si>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</si>
  <si>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</si>
  <si>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</si>
  <si>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</si>
  <si>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</si>
  <si>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</si>
  <si>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</si>
  <si>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</si>
  <si>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</si>
  <si>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</si>
  <si>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</si>
  <si>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</si>
  <si>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</si>
  <si>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</si>
  <si>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</si>
  <si>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</si>
  <si>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</si>
  <si>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</si>
  <si>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</si>
  <si>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</si>
  <si>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</si>
  <si>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</si>
  <si>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</si>
  <si>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</si>
  <si>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</si>
  <si>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</si>
  <si>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</si>
  <si>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</si>
  <si>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</si>
  <si>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</si>
  <si>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</si>
  <si>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</si>
  <si>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</si>
  <si>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</si>
  <si>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</si>
  <si>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</si>
  <si>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</si>
  <si>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</si>
  <si>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</si>
  <si>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</si>
  <si>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</si>
  <si>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</si>
  <si>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</si>
  <si>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</si>
  <si>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</si>
  <si>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</si>
  <si>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</si>
  <si>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</si>
  <si>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</si>
  <si>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</si>
  <si>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</si>
  <si>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</si>
  <si>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</si>
  <si>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</si>
  <si>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</si>
  <si>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</si>
  <si>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</si>
  <si>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</si>
  <si>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</si>
  <si>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</si>
  <si>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</si>
  <si>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</si>
  <si>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</si>
  <si>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</si>
  <si>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</si>
  <si>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</si>
  <si>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</si>
  <si>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</si>
  <si>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</si>
  <si>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</si>
  <si>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</si>
  <si>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</si>
  <si>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</si>
  <si>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</si>
  <si>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</si>
  <si>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</si>
  <si>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</si>
  <si>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</si>
  <si>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</si>
  <si>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</si>
  <si>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</si>
  <si>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</si>
  <si>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</si>
  <si>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</si>
  <si>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</si>
  <si>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</si>
  <si>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</si>
  <si>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</si>
  <si>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</si>
  <si>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</si>
  <si>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</si>
  <si>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</si>
  <si>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</si>
  <si>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</si>
  <si>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</si>
  <si>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</si>
  <si>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</si>
  <si>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</si>
  <si>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</si>
  <si>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</si>
  <si>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</si>
  <si>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</si>
  <si>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</si>
  <si>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</si>
  <si>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</si>
  <si>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</si>
  <si>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</si>
  <si>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</si>
  <si>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</si>
  <si>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</si>
  <si>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</si>
  <si>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</si>
  <si>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</si>
  <si>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</si>
  <si>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</si>
  <si>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</si>
  <si>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</si>
  <si>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</si>
  <si>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</si>
  <si>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</si>
  <si>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</si>
  <si>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</si>
  <si>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</si>
  <si>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</si>
  <si>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</si>
  <si>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</si>
  <si>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</si>
  <si>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</si>
  <si>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</si>
  <si>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</si>
  <si>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</si>
  <si>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</si>
  <si>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</si>
  <si>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</si>
  <si>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</si>
  <si>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</si>
  <si>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</si>
  <si>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</si>
  <si>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</si>
  <si>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</si>
  <si>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</si>
  <si>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</si>
  <si>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</si>
  <si>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</si>
  <si>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</si>
  <si>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</si>
  <si>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</si>
  <si>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</si>
  <si>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</si>
  <si>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</si>
  <si>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</si>
  <si>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</si>
  <si>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</si>
  <si>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</si>
  <si>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</si>
  <si>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</si>
  <si>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</si>
  <si>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</si>
  <si>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</si>
  <si>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</si>
  <si>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</si>
  <si>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</si>
  <si>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</si>
  <si>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</si>
  <si>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</si>
  <si>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</si>
  <si>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</si>
  <si>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</si>
  <si>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</si>
  <si>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</si>
  <si>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</si>
  <si>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</si>
  <si>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</si>
  <si>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</si>
  <si>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</si>
  <si>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</si>
  <si>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</si>
  <si>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</si>
  <si>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</si>
  <si>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</si>
  <si>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</si>
  <si>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</si>
  <si>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</si>
  <si>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</si>
  <si>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</si>
  <si>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</si>
  <si>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</si>
  <si>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</si>
  <si>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</si>
  <si>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</si>
  <si>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</si>
  <si>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</si>
  <si>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</si>
  <si>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</si>
  <si>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</si>
  <si>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</si>
  <si>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</si>
  <si>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</si>
  <si>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</si>
  <si>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</si>
  <si>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</si>
  <si>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</si>
  <si>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</si>
  <si>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</si>
  <si>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</si>
  <si>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</si>
  <si>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</si>
  <si>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</si>
  <si>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</si>
  <si>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</si>
  <si>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</si>
  <si>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</si>
  <si>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</si>
  <si>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</si>
  <si>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</si>
  <si>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</si>
  <si>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</si>
  <si>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</si>
  <si>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</si>
  <si>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</si>
  <si>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</si>
  <si>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</si>
  <si>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</si>
  <si>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</si>
  <si>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</si>
  <si>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</si>
  <si>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</si>
  <si>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</si>
  <si>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</si>
  <si>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</si>
  <si>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</si>
  <si>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</si>
  <si>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</si>
  <si>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</si>
  <si>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</si>
  <si>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</si>
  <si>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</si>
  <si>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</si>
  <si>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</si>
  <si>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</si>
  <si>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</si>
  <si>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</si>
  <si>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</si>
  <si>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</si>
  <si>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</si>
  <si>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</si>
  <si>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</si>
  <si>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</si>
  <si>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</si>
  <si>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</si>
  <si>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</si>
  <si>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</si>
  <si>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</si>
  <si>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</si>
  <si>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</si>
  <si>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</si>
  <si>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</si>
  <si>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</si>
  <si>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</si>
  <si>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</si>
  <si>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</si>
  <si>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</si>
  <si>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</si>
  <si>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</si>
  <si>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</si>
  <si>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</si>
  <si>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</si>
  <si>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</si>
  <si>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</si>
  <si>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</si>
  <si>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</si>
  <si>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</si>
  <si>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</si>
  <si>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</si>
  <si>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</si>
  <si>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</si>
  <si>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</si>
  <si>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</si>
  <si>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</si>
  <si>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</si>
  <si>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</si>
  <si>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</si>
  <si>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</si>
  <si>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</si>
  <si>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</si>
  <si>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</si>
  <si>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</si>
  <si>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</si>
  <si>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</si>
  <si>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</si>
  <si>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</si>
  <si>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</si>
  <si>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</si>
  <si>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</si>
  <si>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</si>
  <si>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</si>
  <si>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</si>
  <si>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</si>
  <si>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</si>
  <si>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</si>
  <si>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</si>
  <si>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</si>
  <si>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</si>
  <si>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</si>
  <si>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</si>
  <si>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</si>
  <si>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</si>
  <si>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</si>
  <si>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</si>
  <si>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</si>
  <si>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</si>
  <si>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</si>
  <si>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</si>
  <si>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</si>
  <si>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</si>
  <si>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</si>
  <si>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</si>
  <si>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</si>
  <si>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</si>
  <si>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</si>
  <si>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</si>
  <si>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</si>
  <si>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</si>
  <si>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</si>
  <si>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</si>
  <si>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</si>
  <si>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</si>
  <si>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</si>
  <si>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</si>
  <si>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</si>
  <si>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</si>
  <si>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</si>
  <si>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</si>
  <si>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</si>
  <si>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</si>
  <si>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</si>
  <si>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</si>
  <si>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</si>
  <si>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</si>
  <si>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</si>
  <si>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</si>
  <si>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</si>
  <si>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</si>
  <si>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</si>
  <si>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</si>
  <si>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</si>
  <si>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</si>
  <si>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</si>
  <si>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</si>
  <si>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</si>
  <si>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</si>
  <si>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</si>
  <si>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</si>
  <si>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</si>
  <si>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</si>
  <si>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</si>
  <si>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</si>
  <si>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</si>
  <si>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</si>
  <si>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</si>
  <si>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</si>
  <si>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</si>
  <si>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</si>
  <si>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</si>
  <si>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</si>
  <si>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</si>
  <si>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</si>
  <si>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</si>
  <si>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</si>
  <si>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</si>
  <si>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</si>
  <si>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</si>
  <si>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</si>
  <si>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</si>
  <si>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</si>
  <si>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</si>
  <si>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</si>
  <si>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</si>
  <si>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</si>
  <si>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</si>
  <si>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</si>
  <si>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</si>
  <si>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</si>
  <si>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</si>
  <si>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</si>
  <si>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</si>
  <si>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</si>
  <si>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</si>
  <si>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</si>
  <si>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</si>
  <si>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</si>
  <si>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</si>
  <si>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</si>
  <si>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</si>
  <si>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</si>
  <si>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</si>
  <si>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</si>
  <si>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</si>
  <si>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</si>
  <si>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</si>
  <si>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</si>
  <si>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</si>
  <si>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</si>
  <si>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</si>
  <si>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</si>
  <si>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</si>
  <si>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</si>
  <si>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</si>
  <si>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</si>
  <si>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</si>
  <si>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</si>
  <si>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</si>
  <si>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</si>
  <si>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</si>
  <si>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</si>
  <si>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</si>
  <si>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</si>
  <si>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</si>
  <si>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</si>
  <si>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</si>
  <si>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</si>
  <si>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</si>
  <si>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</si>
  <si>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</si>
  <si>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</si>
  <si>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</si>
  <si>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</si>
  <si>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</si>
  <si>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</si>
  <si>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</si>
  <si>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</si>
  <si>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</si>
  <si>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</si>
  <si>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</si>
  <si>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</si>
  <si>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</si>
  <si>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</si>
  <si>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</si>
  <si>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</si>
  <si>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</si>
  <si>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</si>
  <si>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</si>
  <si>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</si>
  <si>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</si>
  <si>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</si>
  <si>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</si>
  <si>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</si>
  <si>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</si>
  <si>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</si>
  <si>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</si>
  <si>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</si>
  <si>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</si>
  <si>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</si>
  <si>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</si>
  <si>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</si>
  <si>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</si>
  <si>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</si>
  <si>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</si>
  <si>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</si>
  <si>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</si>
  <si>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</si>
  <si>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</si>
  <si>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</si>
  <si>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</si>
  <si>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</si>
  <si>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</si>
  <si>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</si>
  <si>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</si>
  <si>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</si>
  <si>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</si>
  <si>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</si>
  <si>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</si>
  <si>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</si>
  <si>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</si>
  <si>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</si>
  <si>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</si>
  <si>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</si>
  <si>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</si>
  <si>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</si>
  <si>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</si>
  <si>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</si>
  <si>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</si>
  <si>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</si>
  <si>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</si>
  <si>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</si>
  <si>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</si>
  <si>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</si>
  <si>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</si>
  <si>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</si>
  <si>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</si>
  <si>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</si>
  <si>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</si>
  <si>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</si>
  <si>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</si>
  <si>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</si>
  <si>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</si>
  <si>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</si>
  <si>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</si>
  <si>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</si>
  <si>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</si>
  <si>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</si>
  <si>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</si>
  <si>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</si>
  <si>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</si>
  <si>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</si>
  <si>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</si>
  <si>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</si>
  <si>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</si>
  <si>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</si>
  <si>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</si>
  <si>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</si>
  <si>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</si>
  <si>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</si>
  <si>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</si>
  <si>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</si>
  <si>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</si>
  <si>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</si>
  <si>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</si>
  <si>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</si>
  <si>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</si>
  <si>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</si>
  <si>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</si>
  <si>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</si>
  <si>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</si>
  <si>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</si>
  <si>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</si>
  <si>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</si>
  <si>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</si>
  <si>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</si>
  <si>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</si>
  <si>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</si>
  <si>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</si>
  <si>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</si>
  <si>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</si>
  <si>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</si>
  <si>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</si>
  <si>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</si>
  <si>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</si>
  <si>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</si>
  <si>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</si>
  <si>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</si>
  <si>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</si>
  <si>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</si>
  <si>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</si>
  <si>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</si>
  <si>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</si>
  <si>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</si>
  <si>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</si>
  <si>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</si>
  <si>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</si>
  <si>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</si>
  <si>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</si>
  <si>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</si>
  <si>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</si>
  <si>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</si>
  <si>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</si>
  <si>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</si>
  <si>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</si>
  <si>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</si>
  <si>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</si>
  <si>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</si>
  <si>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</si>
  <si>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</si>
  <si>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</si>
  <si>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</si>
  <si>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</si>
  <si>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</si>
  <si>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</si>
  <si>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</si>
  <si>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</si>
  <si>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</si>
  <si>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</si>
  <si>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</si>
  <si>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</si>
  <si>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</si>
  <si>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</si>
  <si>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</si>
  <si>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</si>
  <si>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</si>
  <si>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</si>
  <si>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</si>
  <si>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</si>
  <si>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</si>
  <si>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</si>
  <si>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</si>
  <si>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</si>
  <si>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</si>
  <si>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</si>
  <si>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</si>
  <si>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</si>
  <si>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</si>
  <si>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</si>
  <si>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</si>
  <si>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</si>
  <si>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</si>
  <si>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</si>
  <si>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</si>
  <si>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</si>
  <si>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</si>
  <si>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</si>
  <si>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</si>
  <si>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</si>
  <si>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</si>
  <si>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</si>
  <si>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</si>
  <si>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</si>
  <si>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</si>
  <si>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</si>
  <si>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</si>
  <si>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</si>
  <si>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</si>
  <si>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</si>
  <si>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</si>
  <si>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</si>
  <si>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</si>
  <si>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</si>
  <si>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</si>
  <si>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</si>
  <si>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</si>
  <si>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</si>
  <si>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</si>
  <si>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</si>
  <si>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</si>
  <si>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</si>
  <si>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</si>
  <si>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</si>
  <si>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</si>
  <si>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</si>
  <si>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</si>
  <si>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</si>
  <si>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</si>
  <si>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</si>
  <si>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</si>
  <si>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</si>
  <si>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</si>
  <si>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</si>
  <si>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</si>
  <si>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</si>
  <si>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</si>
  <si>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</si>
  <si>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</si>
  <si>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</si>
  <si>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</si>
  <si>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</si>
  <si>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</si>
  <si>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</si>
  <si>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</si>
  <si>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</si>
  <si>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</si>
  <si>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</si>
  <si>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</si>
  <si>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</si>
  <si>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</si>
  <si>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</si>
  <si>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</si>
  <si>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</si>
  <si>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</si>
  <si>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</si>
  <si>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</si>
  <si>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</si>
  <si>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</si>
  <si>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</si>
  <si>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</si>
  <si>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</si>
  <si>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</si>
  <si>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</si>
  <si>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</si>
  <si>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</si>
  <si>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</si>
  <si>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</si>
  <si>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</si>
  <si>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</si>
  <si>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</si>
  <si>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</si>
  <si>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</si>
  <si>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</si>
  <si>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</si>
  <si>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</si>
  <si>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</si>
  <si>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</si>
  <si>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</si>
  <si>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</si>
  <si>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</si>
  <si>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</si>
  <si>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</si>
  <si>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</si>
  <si>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</si>
  <si>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</si>
  <si>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</si>
  <si>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</si>
  <si>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</si>
  <si>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</si>
  <si>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</si>
  <si>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</si>
  <si>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</si>
  <si>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</si>
  <si>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</si>
  <si>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</si>
  <si>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</si>
  <si>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</si>
  <si>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</si>
  <si>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</si>
  <si>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</si>
  <si>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</si>
  <si>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</si>
  <si>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</si>
  <si>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</si>
  <si>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</si>
  <si>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</si>
  <si>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</si>
  <si>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</si>
  <si>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</si>
  <si>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</si>
  <si>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</si>
  <si>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</si>
  <si>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</si>
  <si>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</si>
  <si>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</si>
  <si>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</si>
  <si>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</si>
  <si>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</si>
  <si>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</si>
  <si>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</si>
  <si>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</si>
  <si>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</si>
  <si>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</si>
  <si>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</si>
  <si>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</si>
  <si>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</si>
  <si>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</si>
  <si>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</si>
  <si>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</si>
  <si>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</si>
  <si>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</si>
  <si>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</si>
  <si>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</si>
  <si>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</si>
  <si>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</si>
  <si>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</si>
  <si>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</si>
  <si>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</si>
  <si>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</si>
  <si>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</si>
  <si>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</si>
  <si>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</si>
  <si>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</si>
  <si>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</si>
  <si>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</si>
  <si>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</si>
  <si>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</si>
  <si>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</si>
  <si>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</si>
  <si>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</si>
  <si>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</si>
  <si>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</si>
  <si>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</si>
  <si>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</si>
  <si>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</si>
  <si>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</si>
  <si>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</si>
  <si>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</si>
  <si>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</si>
  <si>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</si>
  <si>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</si>
  <si>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</si>
  <si>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</si>
  <si>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</si>
  <si>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</si>
  <si>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</si>
  <si>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</si>
  <si>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</si>
  <si>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</si>
  <si>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</si>
  <si>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</si>
  <si>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</si>
  <si>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</si>
  <si>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</si>
  <si>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</si>
  <si>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</si>
  <si>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</si>
  <si>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</si>
  <si>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</si>
  <si>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</si>
  <si>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</si>
  <si>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</si>
  <si>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</si>
  <si>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</si>
  <si>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</si>
  <si>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</si>
  <si>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</si>
  <si>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</si>
  <si>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</si>
  <si>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</si>
  <si>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</si>
  <si>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</si>
  <si>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</si>
  <si>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</si>
  <si>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</si>
  <si>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</si>
  <si>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</si>
  <si>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</si>
  <si>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</si>
  <si>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</si>
  <si>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</si>
  <si>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</si>
  <si>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</si>
  <si>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</si>
  <si>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</si>
  <si>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</si>
  <si>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</si>
  <si>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</si>
  <si>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</si>
  <si>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</si>
  <si>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</si>
  <si>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</si>
  <si>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</si>
  <si>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</si>
  <si>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</si>
  <si>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</si>
  <si>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</si>
  <si>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</si>
  <si>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</si>
  <si>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</si>
  <si>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</si>
  <si>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</si>
  <si>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</si>
  <si>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</si>
  <si>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</si>
  <si>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</si>
  <si>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</si>
  <si>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</si>
  <si>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</si>
  <si>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</si>
  <si>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</si>
  <si>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</si>
  <si>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</si>
  <si>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</si>
  <si>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</si>
  <si>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</si>
  <si>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</si>
  <si>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</si>
  <si>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</si>
  <si>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</si>
  <si>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</si>
  <si>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</si>
  <si>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</si>
  <si>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</si>
  <si>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</si>
  <si>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</si>
  <si>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</si>
  <si>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</si>
  <si>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</si>
  <si>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</si>
  <si>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</si>
  <si>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</si>
  <si>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</si>
  <si>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</si>
  <si>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</si>
  <si>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</si>
  <si>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</si>
  <si>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</si>
  <si>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</si>
  <si>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</si>
  <si>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</si>
  <si>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</si>
  <si>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</si>
  <si>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</si>
  <si>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</si>
  <si>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</si>
  <si>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</si>
  <si>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</si>
  <si>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</si>
  <si>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</si>
  <si>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</si>
  <si>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</si>
  <si>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</si>
  <si>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</si>
  <si>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</si>
  <si>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</si>
  <si>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</si>
  <si>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</si>
  <si>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</si>
  <si>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</si>
  <si>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</si>
  <si>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</si>
  <si>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</si>
  <si>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</si>
  <si>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</si>
  <si>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</si>
  <si>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</si>
  <si>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</si>
  <si>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</si>
  <si>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</si>
  <si>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</si>
  <si>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</si>
  <si>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</si>
  <si>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</si>
  <si>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</si>
  <si>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</si>
  <si>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</si>
  <si>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</si>
  <si>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</si>
  <si>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</si>
  <si>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</si>
  <si>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</si>
  <si>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</si>
  <si>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</si>
  <si>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</si>
  <si>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</si>
  <si>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</si>
  <si>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</si>
  <si>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</si>
  <si>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</si>
  <si>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</si>
  <si>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</si>
  <si>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</si>
  <si>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</si>
  <si>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</si>
  <si>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</si>
  <si>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</si>
  <si>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</si>
  <si>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</si>
  <si>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</si>
  <si>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</si>
  <si>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</si>
  <si>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</si>
  <si>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</si>
  <si>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</si>
  <si>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</si>
  <si>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</si>
  <si>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</si>
  <si>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</si>
  <si>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</si>
  <si>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</si>
  <si>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</si>
  <si>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</si>
  <si>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</si>
  <si>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</si>
  <si>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</si>
  <si>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</si>
  <si>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</si>
  <si>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</si>
  <si>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</si>
  <si>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</si>
  <si>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</si>
  <si>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</si>
  <si>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</si>
  <si>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</si>
  <si>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</si>
  <si>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</si>
  <si>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</si>
  <si>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</si>
  <si>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</si>
  <si>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</si>
  <si>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</si>
  <si>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</si>
  <si>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</si>
  <si>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</si>
  <si>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</si>
  <si>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</si>
  <si>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</si>
  <si>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</si>
  <si>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</si>
  <si>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</si>
  <si>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</si>
  <si>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</si>
  <si>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</si>
  <si>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</si>
  <si>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</si>
  <si>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</si>
  <si>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</si>
  <si>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</si>
  <si>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</si>
  <si>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</si>
  <si>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</si>
  <si>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</si>
  <si>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</si>
  <si>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</si>
  <si>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</si>
  <si>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</si>
  <si>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</si>
  <si>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</si>
  <si>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</si>
  <si>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</si>
  <si>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</si>
  <si>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</si>
  <si>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</si>
  <si>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</si>
  <si>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</si>
  <si>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</si>
  <si>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</si>
  <si>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</si>
  <si>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</si>
  <si>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</si>
  <si>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</si>
  <si>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</si>
  <si>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</si>
  <si>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</si>
  <si>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</si>
  <si>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</si>
  <si>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</si>
  <si>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</si>
  <si>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</si>
  <si>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</si>
  <si>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</si>
  <si>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</si>
  <si>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</si>
  <si>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</si>
  <si>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</si>
  <si>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</si>
  <si>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</si>
  <si>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</si>
  <si>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</si>
  <si>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</si>
  <si>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</si>
  <si>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</si>
  <si>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</si>
  <si>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</si>
  <si>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</si>
  <si>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</si>
  <si>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</si>
  <si>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</si>
  <si>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</si>
  <si>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</si>
  <si>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</si>
  <si>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</si>
  <si>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</si>
  <si>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</si>
  <si>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</si>
  <si>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</si>
  <si>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</si>
  <si>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</si>
  <si>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</si>
  <si>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</si>
  <si>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</si>
  <si>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</si>
  <si>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</si>
  <si>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</si>
  <si>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</si>
  <si>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</si>
  <si>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</si>
  <si>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</si>
  <si>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</si>
  <si>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</si>
  <si>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</si>
  <si>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</si>
  <si>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</si>
  <si>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</si>
  <si>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</si>
  <si>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</si>
  <si>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</si>
  <si>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</si>
  <si>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</si>
  <si>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</si>
  <si>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</si>
  <si>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</si>
  <si>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</si>
  <si>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</si>
  <si>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</si>
  <si>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</si>
  <si>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</si>
  <si>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</si>
  <si>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</si>
  <si>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</si>
  <si>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</si>
  <si>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</si>
  <si>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</si>
  <si>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</si>
  <si>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</si>
  <si>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</si>
  <si>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</si>
  <si>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</si>
  <si>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</si>
  <si>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</si>
  <si>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</si>
  <si>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</si>
  <si>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</si>
  <si>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</si>
  <si>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</si>
  <si>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</si>
  <si>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</si>
  <si>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</si>
  <si>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</si>
  <si>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</si>
  <si>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</si>
  <si>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</si>
  <si>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</si>
  <si>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</si>
  <si>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</si>
  <si>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</si>
  <si>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</si>
  <si>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</si>
  <si>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</si>
  <si>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</si>
  <si>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</si>
  <si>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</si>
  <si>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</si>
  <si>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</si>
  <si>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</si>
  <si>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</si>
  <si>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</si>
  <si>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</si>
  <si>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</si>
  <si>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</si>
  <si>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</si>
  <si>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</si>
  <si>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</si>
  <si>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</si>
  <si>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</si>
  <si>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</si>
  <si>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</si>
  <si>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</si>
  <si>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</si>
  <si>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</si>
  <si>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</si>
  <si>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</si>
  <si>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</si>
  <si>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</si>
  <si>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</si>
  <si>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</si>
  <si>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</si>
  <si>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</si>
  <si>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</si>
  <si>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</si>
  <si>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</si>
  <si>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</si>
  <si>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</si>
  <si>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</si>
  <si>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</si>
  <si>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</si>
  <si>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</si>
  <si>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</si>
  <si>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</si>
  <si>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</si>
  <si>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</si>
  <si>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</si>
  <si>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</si>
  <si>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</si>
  <si>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</si>
  <si>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</si>
  <si>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</si>
  <si>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</si>
  <si>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</si>
  <si>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</si>
  <si>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</si>
  <si>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</si>
  <si>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</si>
  <si>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</si>
  <si>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</si>
  <si>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</si>
  <si>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</si>
  <si>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</si>
  <si>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</si>
  <si>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</si>
  <si>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</si>
  <si>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</si>
  <si>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</si>
  <si>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</si>
  <si>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</si>
  <si>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</si>
  <si>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</si>
  <si>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</si>
  <si>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</si>
  <si>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</si>
  <si>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</si>
  <si>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</si>
  <si>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</si>
  <si>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</si>
  <si>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</si>
  <si>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</si>
  <si>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</si>
  <si>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</si>
  <si>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</si>
  <si>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</si>
  <si>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</si>
  <si>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</si>
  <si>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</si>
  <si>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</si>
  <si>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</si>
  <si>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</si>
  <si>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</si>
  <si>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</si>
  <si>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</si>
  <si>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</si>
  <si>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</si>
  <si>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</si>
  <si>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</si>
  <si>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</si>
  <si>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</si>
  <si>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</si>
  <si>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</si>
  <si>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</si>
  <si>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</si>
  <si>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</si>
  <si>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</si>
  <si>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</si>
  <si>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</si>
  <si>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</si>
  <si>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</si>
  <si>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</si>
  <si>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</si>
  <si>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</si>
  <si>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</si>
  <si>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</si>
  <si>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</si>
  <si>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</si>
  <si>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</si>
  <si>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</si>
  <si>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</si>
  <si>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</si>
  <si>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</si>
  <si>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</si>
  <si>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</si>
  <si>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</si>
  <si>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</si>
  <si>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</si>
  <si>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</si>
  <si>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</si>
  <si>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</si>
  <si>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</si>
  <si>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</si>
  <si>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</si>
  <si>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</si>
  <si>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</si>
  <si>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</si>
  <si>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</si>
  <si>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</si>
  <si>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</si>
  <si>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</si>
  <si>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</si>
  <si>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</si>
  <si>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</si>
  <si>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</si>
  <si>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</si>
  <si>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</si>
  <si>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</si>
  <si>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</si>
  <si>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</si>
  <si>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</si>
  <si>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</si>
  <si>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</si>
  <si>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</si>
  <si>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</si>
  <si>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</si>
  <si>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</si>
  <si>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</si>
  <si>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</si>
  <si>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</si>
  <si>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</si>
  <si>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</si>
  <si>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</si>
  <si>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</si>
  <si>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</si>
  <si>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</si>
  <si>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</si>
  <si>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</si>
  <si>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</si>
  <si>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</si>
  <si>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</si>
  <si>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</si>
  <si>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</si>
  <si>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</si>
  <si>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</si>
  <si>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</si>
  <si>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</si>
  <si>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</si>
  <si>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</si>
  <si>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</si>
  <si>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</si>
  <si>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</si>
  <si>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</si>
  <si>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</si>
  <si>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</si>
  <si>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</si>
  <si>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</si>
  <si>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</si>
  <si>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</si>
  <si>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</si>
  <si>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</si>
  <si>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</si>
  <si>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</si>
  <si>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</si>
  <si>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</si>
  <si>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</si>
  <si>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</si>
  <si>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</si>
  <si>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</si>
  <si>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</si>
  <si>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</si>
  <si>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</si>
  <si>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</si>
  <si>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</si>
  <si>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</si>
  <si>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</si>
  <si>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</si>
  <si>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</si>
  <si>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</si>
  <si>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</si>
  <si>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</si>
  <si>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</si>
  <si>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</si>
  <si>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</si>
  <si>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</si>
  <si>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</si>
  <si>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</si>
  <si>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</si>
  <si>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</si>
  <si>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</si>
  <si>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</si>
  <si>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</si>
  <si>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</si>
  <si>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</si>
  <si>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</si>
  <si>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</si>
  <si>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</si>
  <si>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</si>
  <si>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</si>
  <si>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</si>
  <si>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</si>
  <si>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</si>
  <si>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</si>
  <si>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</si>
  <si>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</si>
  <si>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</si>
  <si>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</si>
  <si>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</si>
  <si>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</si>
  <si>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</si>
  <si>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</si>
  <si>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</si>
  <si>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</si>
  <si>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</si>
  <si>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</si>
  <si>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</si>
  <si>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</si>
  <si>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</si>
  <si>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</si>
  <si>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</si>
  <si>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</si>
  <si>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</si>
  <si>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</si>
  <si>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</si>
  <si>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</si>
  <si>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</si>
  <si>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</si>
  <si>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</si>
  <si>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</si>
  <si>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</si>
  <si>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</si>
  <si>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</si>
  <si>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</si>
  <si>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</si>
  <si>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</si>
  <si>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</si>
  <si>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</si>
  <si>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</si>
  <si>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</si>
  <si>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</si>
  <si>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</si>
  <si>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</si>
  <si>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</si>
  <si>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</si>
  <si>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</si>
  <si>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</si>
  <si>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</si>
  <si>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</si>
  <si>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</si>
  <si>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</si>
  <si>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</si>
  <si>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</si>
  <si>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</si>
  <si>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</si>
  <si>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</si>
  <si>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</si>
  <si>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</si>
  <si>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</si>
  <si>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</si>
  <si>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</si>
  <si>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</si>
  <si>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</si>
  <si>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</si>
  <si>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</si>
  <si>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</si>
  <si>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</si>
  <si>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</si>
  <si>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</si>
  <si>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</si>
  <si>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</si>
  <si>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</si>
  <si>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</si>
  <si>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</si>
  <si>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</si>
  <si>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</si>
  <si>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</si>
  <si>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</si>
  <si>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</si>
  <si>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</si>
  <si>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</si>
  <si>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</si>
  <si>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</si>
  <si>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</si>
  <si>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</si>
  <si>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</si>
  <si>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</si>
  <si>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</si>
  <si>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</si>
  <si>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</si>
  <si>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</si>
  <si>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</si>
  <si>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</si>
  <si>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</si>
  <si>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</si>
  <si>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</si>
  <si>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</si>
  <si>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</si>
  <si>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</si>
  <si>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</si>
  <si>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</si>
  <si>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</si>
  <si>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</si>
  <si>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</si>
  <si>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</si>
  <si>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</si>
  <si>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</si>
  <si>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</si>
  <si>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</si>
  <si>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</si>
  <si>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</si>
  <si>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</si>
  <si>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</si>
  <si>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</si>
  <si>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</si>
  <si>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</si>
  <si>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</si>
  <si>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</si>
  <si>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</si>
  <si>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</si>
  <si>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</si>
  <si>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</si>
  <si>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</si>
  <si>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</si>
  <si>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</si>
  <si>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</si>
  <si>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</si>
  <si>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</si>
  <si>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</si>
  <si>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</si>
  <si>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</si>
  <si>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</si>
  <si>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</si>
  <si>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</si>
  <si>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</si>
  <si>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</si>
  <si>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</si>
  <si>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</si>
  <si>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</si>
  <si>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</si>
  <si>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</si>
  <si>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</si>
  <si>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</si>
  <si>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</si>
  <si>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</si>
  <si>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</si>
  <si>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</si>
  <si>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</si>
  <si>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</si>
  <si>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</si>
  <si>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</si>
  <si>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</si>
  <si>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</si>
  <si>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</si>
  <si>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</si>
  <si>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</si>
  <si>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</si>
  <si>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</si>
  <si>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</si>
  <si>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</si>
  <si>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</si>
  <si>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</si>
  <si>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</si>
  <si>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</si>
  <si>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</si>
  <si>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</si>
  <si>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</si>
  <si>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</si>
  <si>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</si>
  <si>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</si>
  <si>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</si>
  <si>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</si>
  <si>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</si>
  <si>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</si>
  <si>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</si>
  <si>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</si>
  <si>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</si>
  <si>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</si>
  <si>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</si>
  <si>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</si>
  <si>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</si>
  <si>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</si>
  <si>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</si>
  <si>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</si>
  <si>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</si>
  <si>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</si>
  <si>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</si>
  <si>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</si>
  <si>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</si>
  <si>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</si>
  <si>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</si>
  <si>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</si>
  <si>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</si>
  <si>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</si>
  <si>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</si>
  <si>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</si>
  <si>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</si>
  <si>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</si>
  <si>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</si>
  <si>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</si>
  <si>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</si>
  <si>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</si>
  <si>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</si>
  <si>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</si>
  <si>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</si>
  <si>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</si>
  <si>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</si>
  <si>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</si>
  <si>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</si>
  <si>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</si>
  <si>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</si>
  <si>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</si>
  <si>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</si>
  <si>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</si>
  <si>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</si>
  <si>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</si>
  <si>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</si>
  <si>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</si>
  <si>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</si>
  <si>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</si>
  <si>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</si>
  <si>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</si>
  <si>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</si>
  <si>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</si>
  <si>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</si>
  <si>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</si>
  <si>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</si>
  <si>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</si>
  <si>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</si>
  <si>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</si>
  <si>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</si>
  <si>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</si>
  <si>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</si>
  <si>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</si>
  <si>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</si>
  <si>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</si>
  <si>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</si>
  <si>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</si>
  <si>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</si>
  <si>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</si>
  <si>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</si>
  <si>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</si>
  <si>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</si>
  <si>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</si>
  <si>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</si>
  <si>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</si>
  <si>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</si>
  <si>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</si>
  <si>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</si>
  <si>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</si>
  <si>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</si>
  <si>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</si>
  <si>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</si>
  <si>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</si>
  <si>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</si>
  <si>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</si>
  <si>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</si>
  <si>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</si>
  <si>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</si>
  <si>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</si>
  <si>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</si>
  <si>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</si>
  <si>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</si>
  <si>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</si>
  <si>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</si>
  <si>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</si>
  <si>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</si>
  <si>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</si>
  <si>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</si>
  <si>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</si>
  <si>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</si>
  <si>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</si>
  <si>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</si>
  <si>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</si>
  <si>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</si>
  <si>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</si>
  <si>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</si>
  <si>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</si>
  <si>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</si>
  <si>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</si>
  <si>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</si>
  <si>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</si>
  <si>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</si>
  <si>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</si>
  <si>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</si>
  <si>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</si>
  <si>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</si>
  <si>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</si>
  <si>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</si>
  <si>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</si>
  <si>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</si>
  <si>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</si>
  <si>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</si>
  <si>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</si>
  <si>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</si>
  <si>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</si>
  <si>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</si>
  <si>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</si>
  <si>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</si>
  <si>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</si>
  <si>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</si>
  <si>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</si>
  <si>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</si>
  <si>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</si>
  <si>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</si>
  <si>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</si>
  <si>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</si>
  <si>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</si>
  <si>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</si>
  <si>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</si>
  <si>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</si>
  <si>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</si>
  <si>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</si>
  <si>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</si>
  <si>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</si>
  <si>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</si>
  <si>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</si>
  <si>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</si>
  <si>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</si>
  <si>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</si>
  <si>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</si>
  <si>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</si>
  <si>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</si>
  <si>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</si>
  <si>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</si>
  <si>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</si>
  <si>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</si>
  <si>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</si>
  <si>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</si>
  <si>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</si>
  <si>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</si>
  <si>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</si>
  <si>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</si>
  <si>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</si>
  <si>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</si>
  <si>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</si>
  <si>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</si>
  <si>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</si>
  <si>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</si>
  <si>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</si>
  <si>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</si>
  <si>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</si>
  <si>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</si>
  <si>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</si>
  <si>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</si>
  <si>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</si>
  <si>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</si>
  <si>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</si>
  <si>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</si>
  <si>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</si>
  <si>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</si>
  <si>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</si>
  <si>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</si>
  <si>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</si>
  <si>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</si>
  <si>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</si>
  <si>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</si>
  <si>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</si>
  <si>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</si>
  <si>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</si>
  <si>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</si>
  <si>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</si>
  <si>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</si>
  <si>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</si>
  <si>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</si>
  <si>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</si>
  <si>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</si>
  <si>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</si>
  <si>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</si>
  <si>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</si>
  <si>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</si>
  <si>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</si>
  <si>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</si>
  <si>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</si>
  <si>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</si>
  <si>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</si>
  <si>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</si>
  <si>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</si>
  <si>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</si>
  <si>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</si>
  <si>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</si>
  <si>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</si>
  <si>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</si>
  <si>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</si>
  <si>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</si>
  <si>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</si>
  <si>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</si>
  <si>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</si>
  <si>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</si>
  <si>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</si>
  <si>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</si>
  <si>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</si>
  <si>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</si>
  <si>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</si>
  <si>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</si>
  <si>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</si>
  <si>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</si>
  <si>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</si>
  <si>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</si>
  <si>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</si>
  <si>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</si>
  <si>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</si>
  <si>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</si>
  <si>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</si>
  <si>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</si>
  <si>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</si>
  <si>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</si>
  <si>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</si>
  <si>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</si>
  <si>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</si>
  <si>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</si>
  <si>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</si>
  <si>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</si>
  <si>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</si>
  <si>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</si>
  <si>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</si>
  <si>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</si>
  <si>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</si>
  <si>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</si>
  <si>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</si>
  <si>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</si>
  <si>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</si>
  <si>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</si>
  <si>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</si>
  <si>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</si>
  <si>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</si>
  <si>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</si>
  <si>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</si>
  <si>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</si>
  <si>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</si>
  <si>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</si>
  <si>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</si>
  <si>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</si>
  <si>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</si>
  <si>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</si>
  <si>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</si>
  <si>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</si>
  <si>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</si>
  <si>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</si>
  <si>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</si>
  <si>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</si>
  <si>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</si>
  <si>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</si>
  <si>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</si>
  <si>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</si>
  <si>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</si>
  <si>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</si>
  <si>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</si>
  <si>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</si>
  <si>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</si>
  <si>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</si>
  <si>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</si>
  <si>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</si>
  <si>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</si>
  <si>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</si>
  <si>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</si>
  <si>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</si>
  <si>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</si>
  <si>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</si>
  <si>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</si>
  <si>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</si>
  <si>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</si>
  <si>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</si>
  <si>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</si>
  <si>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</si>
  <si>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</si>
  <si>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</si>
  <si>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</si>
  <si>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</si>
  <si>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</si>
  <si>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</si>
  <si>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</si>
  <si>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</si>
  <si>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</si>
  <si>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</si>
  <si>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</si>
  <si>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</si>
  <si>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</si>
  <si>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</si>
  <si>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</si>
  <si>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</si>
  <si>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</si>
  <si>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</si>
  <si>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</si>
  <si>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</si>
  <si>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</si>
  <si>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</si>
  <si>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</si>
  <si>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</si>
  <si>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</si>
  <si>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</si>
  <si>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</si>
  <si>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</si>
  <si>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</si>
  <si>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</si>
  <si>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</si>
  <si>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</si>
  <si>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</si>
  <si>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</si>
  <si>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</si>
  <si>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</si>
  <si>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</si>
  <si>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</si>
  <si>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</si>
  <si>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</si>
  <si>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</si>
  <si>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</si>
  <si>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</si>
  <si>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</si>
  <si>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</si>
  <si>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</si>
  <si>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</si>
  <si>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</si>
  <si>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</si>
  <si>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</si>
  <si>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</si>
  <si>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</si>
  <si>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</si>
  <si>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</si>
  <si>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</si>
  <si>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</si>
  <si>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</si>
  <si>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</si>
  <si>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</si>
  <si>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</si>
  <si>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</si>
  <si>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</si>
  <si>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</si>
  <si>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</si>
  <si>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</si>
  <si>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</si>
  <si>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</si>
  <si>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</si>
  <si>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</si>
  <si>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</si>
  <si>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</si>
  <si>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</si>
  <si>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</si>
  <si>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</si>
  <si>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</si>
  <si>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</si>
  <si>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</si>
  <si>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</si>
  <si>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</si>
  <si>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</si>
  <si>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</si>
  <si>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</si>
  <si>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</si>
  <si>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</si>
  <si>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</si>
  <si>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</si>
  <si>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</si>
  <si>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</si>
  <si>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</si>
  <si>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</si>
  <si>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</si>
  <si>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</si>
  <si>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</si>
  <si>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</si>
  <si>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</si>
  <si>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</si>
  <si>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</si>
  <si>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</si>
  <si>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</si>
  <si>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</si>
  <si>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</si>
  <si>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</si>
  <si>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</si>
  <si>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</si>
  <si>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</si>
  <si>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</si>
  <si>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</si>
  <si>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</si>
  <si>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</si>
  <si>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</si>
  <si>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</si>
  <si>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</si>
  <si>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</si>
  <si>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</si>
  <si>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</si>
  <si>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</si>
  <si>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</si>
  <si>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</si>
  <si>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</si>
  <si>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</si>
  <si>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</si>
  <si>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</si>
  <si>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</si>
  <si>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</si>
  <si>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</si>
  <si>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</si>
  <si>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</si>
  <si>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</si>
  <si>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</si>
  <si>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</si>
  <si>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</si>
  <si>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</si>
  <si>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</si>
  <si>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</si>
  <si>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</si>
  <si>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</si>
  <si>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</si>
  <si>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</si>
  <si>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</si>
  <si>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</si>
  <si>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</si>
  <si>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</si>
  <si>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</si>
  <si>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</si>
  <si>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</si>
  <si>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</si>
  <si>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</si>
  <si>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</si>
  <si>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</si>
  <si>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</si>
  <si>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</si>
  <si>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</si>
  <si>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</si>
  <si>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</si>
  <si>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</si>
  <si>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</si>
  <si>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</si>
  <si>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</si>
  <si>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</si>
  <si>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</si>
  <si>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</si>
  <si>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</si>
  <si>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</si>
  <si>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</si>
  <si>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</si>
  <si>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</si>
  <si>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</si>
  <si>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</si>
  <si>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</si>
  <si>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</si>
  <si>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</si>
  <si>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</si>
  <si>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</si>
  <si>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</si>
  <si>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</si>
  <si>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</si>
  <si>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</si>
  <si>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</si>
  <si>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</si>
  <si>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</si>
  <si>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</si>
  <si>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</si>
  <si>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</si>
  <si>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</si>
  <si>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</si>
  <si>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</si>
  <si>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</si>
  <si>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</si>
  <si>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</si>
  <si>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</si>
  <si>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</si>
  <si>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</si>
  <si>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</si>
  <si>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</si>
  <si>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</si>
  <si>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</si>
  <si>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</si>
  <si>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</si>
  <si>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</si>
  <si>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</si>
  <si>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</si>
  <si>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</si>
  <si>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</si>
  <si>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</si>
  <si>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</si>
  <si>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</si>
  <si>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</si>
  <si>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</si>
  <si>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</si>
  <si>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</si>
  <si>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</si>
  <si>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</si>
  <si>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</si>
  <si>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</si>
  <si>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</si>
  <si>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</si>
  <si>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</si>
  <si>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</si>
  <si>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</si>
  <si>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</si>
  <si>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</si>
  <si>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</si>
  <si>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</si>
  <si>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</si>
  <si>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</si>
  <si>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</si>
  <si>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</si>
  <si>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</si>
  <si>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</si>
  <si>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</si>
  <si>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</si>
  <si>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</si>
  <si>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</si>
  <si>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</si>
  <si>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</si>
  <si>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</si>
  <si>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</si>
  <si>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</si>
  <si>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</si>
  <si>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</si>
  <si>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</si>
  <si>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</si>
  <si>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</si>
  <si>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</si>
  <si>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</si>
  <si>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</si>
  <si>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</si>
  <si>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</si>
  <si>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</si>
  <si>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</si>
  <si>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</si>
  <si>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</si>
  <si>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</si>
  <si>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</si>
  <si>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</si>
  <si>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</si>
  <si>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</si>
  <si>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</si>
  <si>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</si>
  <si>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</si>
  <si>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</si>
  <si>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</si>
  <si>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</si>
  <si>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</si>
  <si>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</si>
  <si>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</si>
  <si>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</si>
  <si>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</si>
  <si>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</si>
  <si>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</si>
  <si>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</si>
  <si>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</si>
  <si>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</si>
  <si>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</si>
  <si>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</si>
  <si>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</si>
  <si>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</si>
  <si>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</si>
  <si>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</si>
  <si>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</si>
  <si>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</si>
  <si>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</si>
  <si>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</si>
  <si>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</si>
  <si>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</si>
  <si>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</si>
  <si>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</si>
  <si>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</si>
  <si>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</si>
  <si>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</si>
  <si>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</si>
  <si>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</si>
  <si>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</si>
  <si>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</si>
  <si>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</si>
  <si>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</si>
  <si>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</si>
  <si>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</si>
  <si>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</si>
  <si>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</si>
  <si>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</si>
  <si>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</si>
  <si>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</si>
  <si>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</si>
  <si>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</si>
  <si>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</si>
  <si>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</si>
  <si>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</si>
  <si>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</si>
  <si>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</si>
  <si>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</si>
  <si>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</si>
  <si>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</si>
  <si>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</si>
  <si>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</si>
  <si>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</si>
  <si>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</si>
  <si>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</si>
  <si>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</si>
  <si>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</si>
  <si>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</si>
  <si>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</si>
  <si>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</si>
  <si>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</si>
  <si>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</si>
  <si>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</si>
  <si>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</si>
  <si>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</si>
  <si>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</si>
  <si>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</si>
  <si>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</si>
  <si>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</si>
  <si>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</si>
  <si>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</si>
  <si>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</si>
  <si>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</si>
  <si>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</si>
  <si>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</si>
  <si>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</si>
  <si>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</si>
  <si>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</si>
  <si>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</si>
  <si>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</si>
  <si>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</si>
  <si>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</si>
  <si>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</si>
  <si>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</si>
  <si>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</si>
  <si>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</si>
  <si>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</si>
  <si>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</si>
  <si>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</si>
  <si>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</si>
  <si>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</si>
  <si>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</si>
  <si>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</si>
  <si>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</si>
  <si>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</si>
  <si>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</si>
  <si>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</si>
  <si>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</si>
  <si>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</si>
  <si>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</si>
  <si>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</si>
  <si>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</si>
  <si>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</si>
  <si>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</si>
  <si>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</si>
  <si>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</si>
  <si>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</si>
  <si>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</si>
  <si>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</si>
  <si>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</si>
  <si>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</si>
  <si>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</si>
  <si>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</si>
  <si>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</si>
  <si>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</si>
  <si>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</si>
  <si>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</si>
  <si>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</si>
  <si>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</si>
  <si>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</si>
  <si>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</si>
  <si>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</si>
  <si>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</si>
  <si>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</si>
  <si>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</si>
  <si>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</si>
  <si>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</si>
  <si>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</si>
  <si>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</si>
  <si>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</si>
  <si>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</si>
  <si>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</si>
  <si>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</si>
  <si>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</si>
  <si>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</si>
  <si>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</si>
  <si>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</si>
  <si>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</si>
  <si>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</si>
  <si>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</si>
  <si>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</si>
  <si>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</si>
  <si>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</si>
  <si>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</si>
  <si>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</si>
  <si>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</si>
  <si>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</si>
  <si>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</si>
  <si>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</si>
  <si>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</si>
  <si>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</si>
  <si>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</si>
  <si>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</si>
  <si>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</si>
  <si>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</si>
  <si>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</si>
  <si>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</si>
  <si>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</si>
  <si>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</si>
  <si>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</si>
  <si>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</si>
  <si>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</si>
  <si>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</si>
  <si>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</si>
  <si>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</si>
  <si>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</si>
  <si>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</si>
  <si>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</si>
  <si>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</si>
  <si>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</si>
  <si>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</si>
  <si>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</si>
  <si>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</si>
  <si>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</si>
  <si>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</si>
  <si>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</si>
  <si>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</si>
  <si>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</si>
  <si>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</si>
  <si>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</si>
  <si>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</si>
  <si>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</si>
  <si>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</si>
  <si>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</si>
  <si>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</si>
  <si>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</si>
  <si>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</si>
  <si>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</si>
  <si>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</si>
  <si>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</si>
  <si>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</si>
  <si>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</si>
  <si>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</si>
  <si>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</si>
  <si>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</si>
  <si>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</si>
  <si>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</si>
  <si>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</si>
  <si>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</si>
  <si>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</si>
  <si>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</si>
  <si>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</si>
  <si>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</si>
  <si>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</si>
  <si>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</si>
  <si>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</si>
  <si>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</si>
  <si>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</si>
  <si>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</si>
  <si>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</si>
  <si>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</si>
  <si>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</si>
  <si>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</si>
  <si>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</si>
  <si>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</si>
  <si>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</si>
  <si>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</si>
  <si>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</si>
  <si>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</si>
  <si>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</si>
  <si>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</si>
  <si>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</si>
  <si>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</si>
  <si>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</si>
  <si>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</si>
  <si>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</si>
  <si>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</si>
  <si>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</si>
  <si>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</si>
  <si>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</si>
  <si>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</si>
  <si>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</si>
  <si>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</si>
  <si>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</si>
  <si>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</si>
  <si>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</si>
  <si>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</si>
  <si>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</si>
  <si>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</si>
  <si>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</si>
  <si>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</si>
  <si>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</si>
  <si>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</si>
  <si>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</si>
  <si>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</si>
  <si>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</si>
  <si>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</si>
  <si>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</si>
  <si>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</si>
  <si>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</si>
  <si>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</si>
  <si>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</si>
  <si>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</si>
  <si>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</si>
  <si>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</si>
  <si>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</si>
  <si>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</si>
  <si>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</si>
  <si>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</si>
  <si>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</si>
  <si>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</si>
  <si>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</si>
  <si>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</si>
  <si>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</si>
  <si>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</si>
  <si>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</si>
  <si>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</si>
  <si>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</si>
  <si>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</si>
  <si>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</si>
  <si>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</si>
  <si>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</si>
  <si>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</si>
  <si>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</si>
  <si>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</si>
  <si>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</si>
  <si>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</si>
  <si>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</si>
  <si>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</si>
  <si>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</si>
  <si>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</si>
  <si>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</si>
  <si>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</si>
  <si>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</si>
  <si>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</si>
  <si>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</si>
  <si>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</si>
  <si>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</si>
  <si>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</si>
  <si>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</si>
  <si>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</si>
  <si>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</si>
  <si>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</si>
  <si>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</si>
  <si>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</si>
  <si>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</si>
  <si>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</si>
  <si>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</si>
  <si>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</si>
  <si>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</si>
  <si>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</si>
  <si>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</si>
  <si>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</si>
  <si>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</si>
  <si>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</si>
  <si>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</si>
  <si>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</si>
  <si>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</si>
  <si>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</si>
  <si>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</si>
  <si>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</si>
  <si>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</si>
  <si>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</si>
  <si>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</si>
  <si>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</si>
  <si>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</si>
  <si>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</si>
  <si>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</si>
  <si>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</si>
  <si>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</si>
  <si>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</si>
  <si>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</si>
  <si>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</si>
  <si>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</si>
  <si>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</si>
  <si>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</si>
  <si>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</si>
  <si>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</si>
  <si>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</si>
  <si>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</si>
  <si>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</si>
  <si>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</si>
  <si>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</si>
  <si>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</si>
  <si>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</si>
  <si>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</si>
  <si>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</si>
  <si>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</si>
  <si>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</si>
  <si>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</si>
  <si>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</si>
  <si>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</si>
  <si>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</si>
  <si>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</si>
  <si>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</si>
  <si>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</si>
  <si>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</si>
  <si>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</si>
  <si>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</si>
  <si>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</si>
  <si>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</si>
  <si>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</si>
  <si>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</si>
  <si>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</si>
  <si>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</si>
  <si>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</si>
  <si>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</si>
  <si>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</si>
  <si>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</si>
  <si>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</si>
  <si>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</si>
  <si>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</si>
  <si>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</si>
  <si>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</si>
  <si>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</si>
  <si>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</si>
  <si>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</si>
  <si>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</si>
  <si>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</si>
  <si>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</si>
  <si>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</si>
  <si>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</si>
  <si>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</si>
  <si>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</si>
  <si>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</si>
  <si>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</si>
  <si>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</si>
  <si>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</si>
  <si>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</si>
  <si>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</si>
  <si>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</si>
  <si>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</si>
  <si>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</si>
  <si>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</si>
  <si>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</si>
  <si>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</si>
  <si>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</si>
  <si>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</si>
  <si>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</si>
  <si>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</si>
  <si>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</si>
  <si>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</si>
  <si>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</si>
  <si>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</si>
  <si>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</si>
  <si>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</si>
  <si>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</si>
  <si>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</si>
  <si>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</si>
  <si>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</si>
  <si>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</si>
  <si>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</si>
  <si>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</si>
  <si>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</si>
  <si>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</si>
  <si>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</si>
  <si>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</si>
  <si>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</si>
  <si>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</si>
  <si>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</si>
  <si>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</si>
  <si>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</si>
  <si>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</si>
  <si>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</si>
  <si>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</si>
  <si>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</si>
  <si>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</si>
  <si>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</si>
  <si>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</si>
  <si>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</si>
  <si>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</si>
  <si>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</si>
  <si>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</si>
  <si>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</si>
  <si>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</si>
  <si>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</si>
  <si>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</si>
  <si>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</si>
  <si>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</si>
  <si>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</si>
  <si>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</si>
  <si>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</si>
  <si>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</si>
  <si>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</si>
  <si>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</si>
  <si>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</si>
  <si>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</si>
  <si>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</si>
  <si>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</si>
  <si>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</si>
  <si>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</si>
  <si>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</si>
  <si>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</si>
  <si>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</si>
  <si>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</si>
  <si>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</si>
  <si>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</si>
  <si>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</si>
  <si>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</si>
  <si>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</si>
  <si>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</si>
  <si>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</si>
  <si>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</si>
  <si>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</si>
  <si>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</si>
  <si>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</si>
  <si>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</si>
  <si>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</si>
  <si>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</si>
  <si>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</si>
  <si>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</si>
  <si>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</si>
  <si>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</si>
  <si>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</si>
  <si>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</si>
  <si>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</si>
  <si>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</si>
  <si>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</si>
  <si>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</si>
  <si>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</si>
  <si>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</si>
  <si>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</si>
  <si>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</si>
  <si>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</si>
  <si>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</si>
  <si>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</si>
  <si>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</si>
  <si>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</si>
  <si>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</si>
  <si>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</si>
  <si>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</si>
  <si>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</si>
  <si>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</si>
  <si>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</si>
  <si>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</si>
  <si>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</si>
  <si>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</si>
  <si>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</si>
  <si>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</si>
  <si>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</si>
  <si>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</si>
  <si>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</si>
  <si>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</si>
  <si>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</si>
  <si>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</si>
  <si>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</si>
  <si>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</si>
  <si>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</si>
  <si>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</si>
  <si>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</si>
  <si>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</si>
  <si>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</si>
  <si>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</si>
  <si>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</si>
  <si>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</si>
  <si>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</si>
  <si>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</si>
  <si>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</si>
  <si>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</si>
  <si>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</si>
  <si>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</si>
  <si>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</si>
  <si>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</si>
  <si>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</si>
  <si>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</si>
  <si>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</si>
  <si>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</si>
  <si>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</si>
  <si>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</si>
  <si>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</si>
  <si>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</si>
  <si>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</si>
  <si>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</si>
  <si>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</si>
  <si>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</si>
  <si>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</si>
  <si>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</si>
  <si>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</si>
  <si>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</si>
  <si>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</si>
  <si>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</si>
  <si>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</si>
  <si>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</si>
  <si>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</si>
  <si>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</si>
  <si>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</si>
  <si>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</si>
  <si>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</si>
  <si>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</si>
  <si>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</si>
  <si>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</si>
  <si>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</si>
  <si>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</si>
  <si>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</si>
  <si>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</si>
  <si>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</si>
  <si>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</si>
  <si>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</si>
  <si>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</si>
  <si>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</si>
  <si>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</si>
  <si>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</si>
  <si>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</si>
  <si>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</si>
  <si>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</si>
  <si>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</si>
  <si>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</si>
  <si>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</si>
  <si>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</si>
  <si>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</si>
  <si>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</si>
  <si>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</si>
  <si>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</si>
  <si>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</si>
  <si>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</si>
  <si>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</si>
  <si>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</si>
  <si>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</si>
  <si>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</si>
  <si>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</si>
  <si>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</si>
  <si>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</si>
  <si>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</si>
  <si>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</si>
  <si>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</si>
  <si>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</si>
  <si>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</si>
  <si>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</si>
  <si>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</si>
  <si>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</si>
  <si>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</si>
  <si>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</si>
  <si>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</si>
  <si>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</si>
  <si>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</si>
  <si>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</si>
  <si>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</si>
  <si>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</si>
  <si>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</si>
  <si>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</si>
  <si>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</si>
  <si>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</si>
  <si>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</si>
  <si>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</si>
  <si>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</si>
  <si>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</si>
  <si>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</si>
  <si>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</si>
  <si>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</si>
  <si>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</si>
  <si>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</si>
  <si>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</si>
  <si>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</si>
  <si>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</si>
  <si>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</si>
  <si>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</si>
  <si>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</si>
  <si>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</si>
  <si>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</si>
  <si>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</si>
  <si>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</si>
  <si>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</si>
  <si>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</si>
  <si>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</si>
  <si>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</si>
  <si>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</si>
  <si>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</si>
  <si>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</si>
  <si>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</si>
  <si>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</si>
  <si>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</si>
  <si>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</si>
  <si>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</si>
  <si>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</si>
  <si>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</si>
  <si>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</si>
  <si>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</si>
  <si>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</si>
  <si>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</si>
  <si>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</si>
  <si>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</si>
  <si>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</si>
  <si>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</si>
  <si>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</si>
  <si>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</si>
  <si>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</si>
  <si>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</si>
  <si>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</si>
  <si>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</si>
  <si>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</si>
  <si>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</si>
  <si>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</si>
  <si>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</si>
  <si>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</si>
  <si>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</si>
  <si>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</si>
  <si>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</si>
  <si>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</si>
  <si>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</si>
  <si>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</si>
  <si>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</si>
  <si>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</si>
  <si>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</si>
  <si>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</si>
  <si>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</si>
  <si>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</si>
  <si>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</si>
  <si>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</si>
  <si>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</si>
  <si>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</si>
  <si>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</si>
  <si>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</si>
  <si>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</si>
  <si>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</si>
  <si>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</si>
  <si>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</si>
  <si>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</si>
  <si>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</si>
  <si>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</si>
  <si>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</si>
  <si>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</si>
  <si>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</si>
  <si>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</si>
  <si>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</si>
  <si>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</si>
  <si>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</si>
  <si>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</si>
  <si>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</si>
  <si>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</si>
  <si>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</si>
  <si>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</si>
  <si>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</si>
  <si>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</si>
  <si>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</si>
  <si>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</si>
  <si>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</si>
  <si>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</si>
  <si>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</si>
  <si>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</si>
  <si>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</si>
  <si>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</si>
  <si>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</si>
  <si>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</si>
  <si>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</si>
  <si>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</si>
  <si>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</si>
  <si>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</si>
  <si>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</si>
  <si>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</si>
  <si>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</si>
  <si>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</si>
  <si>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</si>
  <si>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</si>
  <si>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</si>
  <si>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</si>
  <si>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</si>
  <si>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</si>
  <si>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</si>
  <si>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</si>
  <si>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</si>
  <si>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</si>
  <si>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</si>
  <si>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</si>
  <si>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</si>
  <si>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</si>
  <si>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</si>
  <si>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</si>
  <si>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</si>
  <si>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</si>
  <si>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</si>
  <si>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</si>
  <si>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</si>
  <si>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</si>
  <si>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</si>
  <si>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</si>
  <si>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</si>
  <si>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</si>
  <si>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</si>
  <si>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</si>
  <si>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</si>
  <si>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</si>
  <si>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</si>
  <si>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</si>
  <si>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</si>
  <si>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</si>
  <si>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</si>
  <si>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</si>
  <si>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</si>
  <si>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</si>
  <si>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</si>
  <si>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</si>
  <si>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</si>
  <si>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</si>
  <si>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</si>
  <si>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</si>
  <si>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</si>
  <si>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</si>
  <si>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</si>
  <si>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</si>
  <si>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</si>
  <si>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</si>
  <si>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</si>
  <si>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</si>
  <si>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</si>
  <si>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</si>
  <si>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</si>
  <si>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</si>
  <si>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</si>
  <si>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</si>
  <si>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</si>
  <si>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</si>
  <si>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</si>
  <si>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</si>
  <si>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</si>
  <si>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</si>
  <si>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</si>
  <si>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</si>
  <si>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</si>
  <si>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</si>
  <si>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</si>
  <si>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</si>
  <si>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</si>
  <si>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</si>
  <si>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</si>
  <si>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</si>
  <si>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</si>
  <si>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</si>
  <si>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</si>
  <si>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</si>
  <si>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</si>
  <si>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</si>
  <si>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</si>
  <si>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</si>
  <si>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</si>
  <si>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</si>
  <si>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</si>
  <si>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</si>
  <si>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</si>
  <si>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</si>
  <si>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</si>
  <si>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</si>
  <si>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</si>
  <si>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</si>
  <si>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</si>
  <si>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</si>
  <si>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</si>
  <si>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</si>
  <si>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</si>
  <si>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</si>
  <si>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</si>
  <si>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</si>
  <si>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</si>
  <si>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</si>
  <si>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</si>
  <si>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</si>
  <si>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</si>
  <si>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</si>
  <si>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</si>
  <si>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</si>
  <si>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</si>
  <si>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</si>
  <si>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</si>
  <si>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</si>
  <si>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</si>
  <si>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</si>
  <si>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</si>
  <si>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</si>
  <si>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</si>
  <si>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</si>
  <si>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</si>
  <si>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</si>
  <si>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</si>
  <si>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</si>
  <si>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</si>
  <si>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</si>
  <si>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</si>
  <si>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</si>
  <si>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</si>
  <si>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</si>
  <si>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</si>
  <si>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</si>
  <si>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</si>
  <si>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</si>
  <si>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</si>
  <si>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</si>
  <si>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</si>
  <si>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</si>
  <si>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</si>
  <si>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</si>
  <si>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</si>
  <si>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</si>
  <si>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</si>
  <si>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</si>
  <si>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</si>
  <si>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</si>
  <si>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</si>
  <si>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</si>
  <si>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</si>
  <si>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</si>
  <si>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</si>
  <si>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</si>
  <si>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</si>
  <si>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</si>
  <si>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</si>
  <si>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</si>
  <si>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</si>
  <si>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</si>
  <si>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</si>
  <si>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</si>
  <si>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</si>
  <si>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</si>
  <si>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</si>
  <si>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</si>
  <si>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</si>
  <si>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</si>
  <si>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</si>
  <si>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</si>
  <si>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</si>
  <si>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</si>
  <si>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</si>
  <si>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</si>
  <si>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</si>
  <si>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</si>
  <si>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</si>
  <si>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</si>
  <si>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</si>
  <si>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</si>
  <si>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</si>
  <si>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</si>
  <si>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</si>
  <si>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</si>
  <si>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</si>
  <si>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</si>
  <si>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</si>
  <si>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</si>
  <si>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</si>
  <si>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</si>
  <si>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</si>
  <si>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</si>
  <si>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</si>
  <si>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</si>
  <si>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</si>
  <si>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</si>
  <si>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</si>
  <si>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</si>
  <si>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</si>
  <si>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</si>
  <si>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</si>
  <si>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</si>
  <si>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</si>
  <si>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</si>
  <si>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</si>
  <si>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</si>
  <si>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</si>
  <si>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</si>
  <si>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</si>
  <si>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</si>
  <si>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</si>
  <si>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</si>
  <si>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</si>
  <si>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</si>
  <si>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</si>
  <si>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</si>
  <si>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</si>
  <si>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</si>
  <si>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国通信托有限责任公司</t>
    <phoneticPr fontId="3" type="noConversion"/>
  </si>
  <si>
    <t>马鞍山明坤实业有限公司</t>
    <phoneticPr fontId="3" type="noConversion"/>
  </si>
  <si>
    <t>抵押价格</t>
  </si>
  <si>
    <t>安徽省马鞍山市</t>
    <phoneticPr fontId="3" type="noConversion"/>
  </si>
  <si>
    <t>马鞍山明坤实业有限公司</t>
    <phoneticPr fontId="3" type="noConversion"/>
  </si>
  <si>
    <t>企业</t>
  </si>
  <si>
    <t>和县乌江镇四联社区十宗住宅用地</t>
    <phoneticPr fontId="3" type="noConversion"/>
  </si>
  <si>
    <t>住宅</t>
    <phoneticPr fontId="3" type="noConversion"/>
  </si>
  <si>
    <t>一致</t>
  </si>
  <si>
    <t>符合</t>
  </si>
  <si>
    <t>商业</t>
  </si>
  <si>
    <t>否</t>
  </si>
  <si>
    <t>居住项目</t>
  </si>
  <si>
    <t>无</t>
  </si>
  <si>
    <t>场地平整</t>
  </si>
  <si>
    <t>平整</t>
  </si>
  <si>
    <t>通路</t>
  </si>
  <si>
    <t>通电</t>
  </si>
  <si>
    <t>通讯</t>
  </si>
  <si>
    <t>通上水</t>
  </si>
  <si>
    <t>通下水</t>
  </si>
  <si>
    <t>燃气</t>
  </si>
  <si>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</si>
  <si>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</si>
  <si>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</si>
  <si>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</si>
  <si>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</si>
  <si>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</si>
  <si>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</si>
  <si>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</si>
  <si>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</si>
  <si>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</si>
  <si>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</si>
  <si>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</si>
  <si>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</si>
  <si>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</si>
  <si>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</si>
  <si>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</si>
  <si>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</si>
  <si>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</si>
  <si>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</si>
  <si>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</si>
  <si>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住宅（高层）</t>
    <phoneticPr fontId="228" type="noConversion"/>
  </si>
  <si>
    <t>商业（占10%）</t>
    <phoneticPr fontId="228" type="noConversion"/>
  </si>
  <si>
    <t>马鞍山明坤实业有限公司</t>
    <phoneticPr fontId="228" type="noConversion"/>
  </si>
  <si>
    <t>和县乌江镇四联社区</t>
    <phoneticPr fontId="275" type="noConversion"/>
  </si>
  <si>
    <t>和县国用（2018）第0115号</t>
    <phoneticPr fontId="228" type="noConversion"/>
  </si>
  <si>
    <t>住宅</t>
    <phoneticPr fontId="228" type="noConversion"/>
  </si>
  <si>
    <t>和土出[2017]35</t>
  </si>
  <si>
    <t>3414242017B01118</t>
    <phoneticPr fontId="275" type="noConversion"/>
  </si>
  <si>
    <t>2017-15</t>
  </si>
  <si>
    <t>马鞍山明坤实业有限公司</t>
    <phoneticPr fontId="228" type="noConversion"/>
  </si>
  <si>
    <t>和县乌江镇四联社区</t>
    <phoneticPr fontId="228" type="noConversion"/>
  </si>
  <si>
    <t>和县国用（2018）第0116号</t>
    <phoneticPr fontId="228" type="noConversion"/>
  </si>
  <si>
    <t>住宅</t>
    <phoneticPr fontId="228" type="noConversion"/>
  </si>
  <si>
    <t>和土出[2017]32　</t>
  </si>
  <si>
    <t>2017-12</t>
  </si>
  <si>
    <t>和县国用（2018）第0117号</t>
    <phoneticPr fontId="228" type="noConversion"/>
  </si>
  <si>
    <t>和土出[2017]33　</t>
  </si>
  <si>
    <t>3414242017B01096</t>
    <phoneticPr fontId="275" type="noConversion"/>
  </si>
  <si>
    <t>2017-13</t>
  </si>
  <si>
    <t>和县国用（2018）第0118号</t>
    <phoneticPr fontId="228" type="noConversion"/>
  </si>
  <si>
    <t>和土出[2017]34</t>
  </si>
  <si>
    <t>3414242017B01101</t>
    <phoneticPr fontId="275" type="noConversion"/>
  </si>
  <si>
    <t>2017-14</t>
  </si>
  <si>
    <t>和县国用（2018）第0119号</t>
    <phoneticPr fontId="228" type="noConversion"/>
  </si>
  <si>
    <t>和土出[2017]29</t>
  </si>
  <si>
    <t>3414242017B01057</t>
    <phoneticPr fontId="275" type="noConversion"/>
  </si>
  <si>
    <t>2017-09</t>
  </si>
  <si>
    <t>和县国用（2018）第0120号</t>
    <phoneticPr fontId="228" type="noConversion"/>
  </si>
  <si>
    <t>和土出[2017]30</t>
  </si>
  <si>
    <t>3414242017B01064</t>
    <phoneticPr fontId="275" type="noConversion"/>
  </si>
  <si>
    <t>2017-10</t>
  </si>
  <si>
    <t>马鞍山明坤实业有限公司</t>
    <phoneticPr fontId="228" type="noConversion"/>
  </si>
  <si>
    <t>和县乌江镇四联社区</t>
    <phoneticPr fontId="275" type="noConversion"/>
  </si>
  <si>
    <t>和县国用（2018）第0121号</t>
    <phoneticPr fontId="228" type="noConversion"/>
  </si>
  <si>
    <t>住宅</t>
    <phoneticPr fontId="228" type="noConversion"/>
  </si>
  <si>
    <t>和土出[2017]22</t>
  </si>
  <si>
    <t>3414242017B00986</t>
    <phoneticPr fontId="275" type="noConversion"/>
  </si>
  <si>
    <t>2017-02</t>
  </si>
  <si>
    <t>马鞍山明昭实业有限公司</t>
    <phoneticPr fontId="228" type="noConversion"/>
  </si>
  <si>
    <t>和县国用（2018）第0126号</t>
    <phoneticPr fontId="228" type="noConversion"/>
  </si>
  <si>
    <t>和土出[2017]23</t>
  </si>
  <si>
    <t>3414242017B00990</t>
    <phoneticPr fontId="275" type="noConversion"/>
  </si>
  <si>
    <t>2017-03</t>
  </si>
  <si>
    <t>和县国用（2018）第0127号</t>
    <phoneticPr fontId="228" type="noConversion"/>
  </si>
  <si>
    <t>和土出[2017]24</t>
  </si>
  <si>
    <t>3414242017B01006</t>
    <phoneticPr fontId="275" type="noConversion"/>
  </si>
  <si>
    <t>2017-04</t>
  </si>
  <si>
    <t>马鞍山明章实业有限公司</t>
    <phoneticPr fontId="228" type="noConversion"/>
  </si>
  <si>
    <t>和县国用（2018）第0140号</t>
    <phoneticPr fontId="228" type="noConversion"/>
  </si>
  <si>
    <t>和土出[2017]44　</t>
  </si>
  <si>
    <t>3414242017B01209</t>
    <phoneticPr fontId="275" type="noConversion"/>
  </si>
  <si>
    <t>2016-04</t>
  </si>
  <si>
    <t>合计</t>
    <phoneticPr fontId="228" type="noConversion"/>
  </si>
  <si>
    <t>地上</t>
  </si>
  <si>
    <t>住宅</t>
    <phoneticPr fontId="7" type="noConversion"/>
  </si>
  <si>
    <t>商业</t>
    <phoneticPr fontId="7" type="noConversion"/>
  </si>
  <si>
    <t>不动产收益法</t>
  </si>
  <si>
    <t>http://www.doc88.com/p-3317970484095.html</t>
  </si>
  <si>
    <t>土地（套用方法）</t>
  </si>
  <si>
    <t>押一</t>
  </si>
  <si>
    <t>按租金收入计税</t>
  </si>
  <si>
    <t>钢混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</si>
  <si>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</si>
  <si>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</si>
  <si>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</si>
  <si>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</si>
  <si>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</si>
  <si>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</si>
  <si>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</si>
  <si>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</si>
  <si>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</si>
  <si>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</si>
  <si>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</si>
  <si>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</si>
  <si>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</si>
  <si>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土地星级</t>
  </si>
  <si>
    <t>郑蒲港新区镇淮路与经一路交叉口东南角</t>
    <phoneticPr fontId="228" type="noConversion"/>
  </si>
  <si>
    <t>马鞍山市</t>
  </si>
  <si>
    <t>住宅用地</t>
  </si>
  <si>
    <t>郑蒲港新区镇淮路与经一路交叉口东南角</t>
  </si>
  <si>
    <t>拍卖</t>
  </si>
  <si>
    <t>大于或等于1并且小于或等于2</t>
  </si>
  <si>
    <t>2018-11-08</t>
  </si>
  <si>
    <t>芜湖祥生房地产开发有限公司</t>
  </si>
  <si>
    <t>0星</t>
  </si>
  <si>
    <t>郑蒲港新区和州大道与镇淮路交叉口西南角</t>
    <phoneticPr fontId="228" type="noConversion"/>
  </si>
  <si>
    <t>郑蒲港新区和州大道与镇淮路交叉口西南角</t>
  </si>
  <si>
    <t>≥1,≤2</t>
  </si>
  <si>
    <t>2018-05-15</t>
  </si>
  <si>
    <t>马鞍山志城投资有限公司</t>
  </si>
  <si>
    <t>2星</t>
  </si>
  <si>
    <t>县经济开发区石跋河路北侧</t>
  </si>
  <si>
    <t>大于1并且小于或等于2</t>
  </si>
  <si>
    <t>2018-01-11</t>
  </si>
  <si>
    <t>明发集团南京房地产开发有限公司</t>
  </si>
  <si>
    <t>郑蒲港新区镇淮路与和州大道交叉口西北角</t>
    <phoneticPr fontId="228" type="noConversion"/>
  </si>
  <si>
    <t>郑蒲港新区镇淮路与和州大道交叉口西北角</t>
  </si>
  <si>
    <t>大于或等于1并且小于或等于2.2</t>
  </si>
  <si>
    <t>2018-01-04</t>
  </si>
  <si>
    <t>芜湖市万恒置业有限公司</t>
  </si>
  <si>
    <t>乌江镇忻州路西侧</t>
    <phoneticPr fontId="228" type="noConversion"/>
  </si>
  <si>
    <t>乌江镇忻州路西侧</t>
  </si>
  <si>
    <t>2017-12-25</t>
  </si>
  <si>
    <t>和县孔雀湖房地产开发有限公司</t>
  </si>
  <si>
    <t>乌江镇乌香路北侧</t>
    <phoneticPr fontId="228" type="noConversion"/>
  </si>
  <si>
    <t>乌江镇乌香路北侧</t>
  </si>
  <si>
    <t>香泉镇香泉社区</t>
  </si>
  <si>
    <t>招标</t>
  </si>
  <si>
    <t>2017-12-18</t>
  </si>
  <si>
    <t>安徽祥云涧置业有限公司</t>
  </si>
  <si>
    <r>
      <rPr>
        <sz val="10"/>
        <rFont val="宋体"/>
        <family val="3"/>
        <charset val="134"/>
      </rPr>
      <t>郑蒲港新区镇淮路南侧</t>
    </r>
    <r>
      <rPr>
        <sz val="10"/>
        <rFont val="Arial"/>
        <family val="2"/>
      </rPr>
      <t>,</t>
    </r>
    <r>
      <rPr>
        <sz val="10"/>
        <rFont val="宋体"/>
        <family val="3"/>
        <charset val="134"/>
      </rPr>
      <t>锦绣华府东侧</t>
    </r>
    <phoneticPr fontId="228" type="noConversion"/>
  </si>
  <si>
    <t>郑蒲港新区镇淮路南侧,锦绣华府东侧</t>
  </si>
  <si>
    <t>2017-11-16</t>
  </si>
  <si>
    <t>乌江镇四联社区</t>
  </si>
  <si>
    <t>挂牌</t>
  </si>
  <si>
    <t>大于1并且小于或等于2.5</t>
  </si>
  <si>
    <t>2017-10-31</t>
  </si>
  <si>
    <t>大于1并且小于或等于3</t>
  </si>
  <si>
    <t>明发集团南京房地产开发有限公</t>
  </si>
  <si>
    <t>大于1并且小于或等于2.9</t>
  </si>
  <si>
    <t>大于或等于2并且小于或等于3.5</t>
  </si>
  <si>
    <t>乌江镇滨水路东侧</t>
  </si>
  <si>
    <t>＞1,≤2</t>
  </si>
  <si>
    <t>2017-05-26</t>
  </si>
  <si>
    <t>和县孔雀城房地产开发有限公司</t>
  </si>
  <si>
    <t>1星</t>
  </si>
  <si>
    <t>郑蒲港新区白桥镇陈桥洲村内</t>
  </si>
  <si>
    <t>2017-01-06</t>
  </si>
  <si>
    <t>马鞍山郑蒲港新区建设投资有限公司</t>
  </si>
  <si>
    <t>郑蒲港新区白桥镇高庙村内</t>
  </si>
  <si>
    <t>2016-12-26</t>
  </si>
  <si>
    <t>王军</t>
  </si>
  <si>
    <t>县开发区如方山路东侧</t>
  </si>
  <si>
    <t>大于或等于1并且小于或等于1.4</t>
  </si>
  <si>
    <t>2016-12-20</t>
  </si>
  <si>
    <t>和县和盛投资有限公司</t>
  </si>
  <si>
    <t>郑蒲港新区联合路与新陶路交叉口西南角</t>
  </si>
  <si>
    <t>2016-11-18</t>
  </si>
  <si>
    <t>马鞍山九州通达置业有限公司</t>
  </si>
  <si>
    <t>郑蒲港新区和州大道与镇淮路交叉口东南角</t>
  </si>
  <si>
    <t>新区置信北路以南,公租房以东</t>
  </si>
  <si>
    <t>大于或等于1.5并且小于或等于2.5</t>
  </si>
  <si>
    <t>2016-07-29</t>
  </si>
  <si>
    <t>安徽省农垦建筑工程有限公司</t>
  </si>
  <si>
    <t>位于河海路与和州大道交叉口西北角</t>
  </si>
  <si>
    <t>2016-05-11</t>
  </si>
  <si>
    <t>位于姥下河路与青山湖西路交叉口东北角</t>
  </si>
  <si>
    <t>2016-04-19</t>
  </si>
  <si>
    <t>明发集团(马鞍山)实业有限公司</t>
  </si>
  <si>
    <t>2016-03-09</t>
  </si>
  <si>
    <t>功桥镇功桥社区</t>
  </si>
  <si>
    <t>大于或等于1并且小于或等于1.5</t>
  </si>
  <si>
    <t>2016-01-19</t>
  </si>
  <si>
    <t>和县新海房地产开发有限公司</t>
  </si>
  <si>
    <t>位于新区联合路与镇淮路交叉口东北角</t>
  </si>
  <si>
    <t>2016-01-11</t>
  </si>
  <si>
    <t>大于或等于1并且小于或等于3</t>
  </si>
  <si>
    <t>2015-12-18</t>
  </si>
  <si>
    <t>https://j.map.baidu.com/54ri-</t>
    <phoneticPr fontId="228" type="noConversion"/>
  </si>
  <si>
    <t>住宅</t>
    <phoneticPr fontId="26" type="noConversion"/>
  </si>
  <si>
    <t>楼面地价</t>
  </si>
  <si>
    <t>70</t>
    <phoneticPr fontId="26" type="noConversion"/>
  </si>
  <si>
    <t>较差</t>
  </si>
  <si>
    <t>一般</t>
  </si>
  <si>
    <t>六通</t>
  </si>
  <si>
    <t>较规则</t>
  </si>
  <si>
    <t>较适宜</t>
    <phoneticPr fontId="3" type="noConversion"/>
  </si>
  <si>
    <t>六通</t>
    <phoneticPr fontId="3" type="noConversion"/>
  </si>
  <si>
    <t>较好</t>
    <phoneticPr fontId="3" type="noConversion"/>
  </si>
  <si>
    <t>住宅</t>
    <phoneticPr fontId="26" type="noConversion"/>
  </si>
  <si>
    <t>较规则</t>
    <phoneticPr fontId="3" type="noConversion"/>
  </si>
  <si>
    <t>较不规则</t>
    <phoneticPr fontId="3" type="noConversion"/>
  </si>
  <si>
    <t>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</si>
  <si>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</si>
  <si>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</si>
  <si>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</si>
  <si>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</si>
  <si>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</si>
  <si>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</si>
  <si>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</si>
  <si>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较适宜</t>
    <phoneticPr fontId="26" type="noConversion"/>
  </si>
  <si>
    <t>售价</t>
  </si>
  <si>
    <t>项目局部</t>
  </si>
  <si>
    <t>土地</t>
  </si>
  <si>
    <t>比较法-住宅、综合</t>
  </si>
  <si>
    <t>剩余法-待开发</t>
  </si>
  <si>
    <t>平整费</t>
    <phoneticPr fontId="9" type="noConversion"/>
  </si>
  <si>
    <t>正常</t>
  </si>
  <si>
    <t>住宅</t>
    <phoneticPr fontId="21" type="noConversion"/>
  </si>
  <si>
    <t>住宅</t>
    <phoneticPr fontId="21" type="noConversion"/>
  </si>
  <si>
    <t>60-70（含）</t>
  </si>
  <si>
    <t>高层</t>
  </si>
  <si>
    <t>高层</t>
    <phoneticPr fontId="21" type="noConversion"/>
  </si>
  <si>
    <t>钢混</t>
    <phoneticPr fontId="21" type="noConversion"/>
  </si>
  <si>
    <t>中档</t>
    <phoneticPr fontId="21" type="noConversion"/>
  </si>
  <si>
    <t>高档</t>
    <phoneticPr fontId="21" type="noConversion"/>
  </si>
  <si>
    <t>中高档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</si>
  <si>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</si>
  <si>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</si>
  <si>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</si>
  <si>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</si>
  <si>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</si>
  <si>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</si>
  <si>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</si>
  <si>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</si>
  <si>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</si>
  <si>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容积率</t>
    <phoneticPr fontId="3" type="noConversion"/>
  </si>
  <si>
    <t>桃源官邸南侧</t>
  </si>
  <si>
    <t>2018-04-18</t>
  </si>
  <si>
    <t>含山县城市建设投资有限公司</t>
  </si>
  <si>
    <t>东山路西侧、凌家滩路南侧</t>
    <phoneticPr fontId="228" type="noConversion"/>
  </si>
  <si>
    <t>2018-03-14</t>
  </si>
  <si>
    <t>含山县宇鑫房地产开发有限公司</t>
  </si>
  <si>
    <t>运漕路西侧、铜闸路东侧</t>
  </si>
  <si>
    <t>大于或等于1并且小于或等于1.7</t>
  </si>
  <si>
    <t>2017-12-11</t>
  </si>
  <si>
    <t>南京市高淳区碧桂园房地产开发有限公司</t>
  </si>
  <si>
    <t>环峰二小西侧</t>
  </si>
  <si>
    <t>2017-12-06</t>
  </si>
  <si>
    <t>环峰西路北侧</t>
  </si>
  <si>
    <t>环峰二小西北侧</t>
  </si>
  <si>
    <t>环峰二小北侧</t>
  </si>
  <si>
    <t>人保大厦东侧</t>
    <phoneticPr fontId="228" type="noConversion"/>
  </si>
  <si>
    <t>含山县龙亢置业有限公司</t>
  </si>
  <si>
    <t>含城幼儿园西侧</t>
  </si>
  <si>
    <t>老林业局东南侧</t>
  </si>
  <si>
    <t>望梅路与华阳东路交叉口西南侧</t>
  </si>
  <si>
    <t>环峰二小操场院外居民区西侧</t>
  </si>
  <si>
    <t>环峰东路南侧</t>
  </si>
  <si>
    <t>环峰镇谢墩村</t>
  </si>
  <si>
    <t>2017-11-01</t>
  </si>
  <si>
    <t>儿童福利院西侧</t>
  </si>
  <si>
    <t>环峰镇丁庄村</t>
  </si>
  <si>
    <t>含城新区昭关路北侧、仙踪路东侧、枫香路西侧</t>
  </si>
  <si>
    <t>大于或等于1并且小于或等于2.3</t>
  </si>
  <si>
    <t>2016-09-26</t>
  </si>
  <si>
    <t>上海东紫房地产发展有限公司</t>
  </si>
  <si>
    <t>https://map.baidu.com/?newmap=1&amp;shareurl=1&amp;l=10&amp;tn=B_NORMAL_MAP&amp;c=13192771,3709836&amp;s=s%26da_src%3DsearchBox.button%26wd%3D%E4%B8%AD%E5%9B%BD%E4%BA%BA%E5%AF%BF%E4%BF%9D%E9%99%A9%E8%82%A1%E4%BB%BD%E6%9C%89%E9%99%90%E5%85%AC%E5%8F%B8(%E5%90%AB%E5%B1%B1%E6%94%AF%E5%85%AC%E5%8F%B8)%26c%3D179%26src%3D0%26wd2%3D%E9%A9%AC%E9%9E%8D%E5%B1%B1%E5%B8%82%E5%90%AB%E5%B1%B1%E5%8E%BF%26pn%3D0%26sug%3D1%26l%3D11%26from%3Dwebmap%26biz_forward%3D%7B%22scaler%22%3A1%2C%22styles%22%3A%22pl%22%7D%26sug_forward%3D005861085f87f5db46e27405%26auth%3DP%3D7FQK7SSJgUwVUz3x1DW3NHyEK6ZESHuxHHTHHEENNtDpnSCE%40%40By1uVt1GgvPUDZYOYIZuztexZFTHrwGv2gz4yQWxUuuouKi3PWv3GuzVBtWykiO%3DUixAC123N5T7XwcEWe1GD8zv7u%40ZPuVteuEztghxehwzJJVJG6WPWvnrRR1P6DGllhIKXZ%26device_ratio%3D1&amp;mapShareId=7be04118238530bcea12e451</t>
    <phoneticPr fontId="228" type="noConversion"/>
  </si>
  <si>
    <t>小高层</t>
    <phoneticPr fontId="21" type="noConversion"/>
  </si>
  <si>
    <t>合肥</t>
    <phoneticPr fontId="3" type="noConversion"/>
  </si>
  <si>
    <t>多层</t>
    <phoneticPr fontId="3" type="noConversion"/>
  </si>
  <si>
    <t>小高层</t>
    <phoneticPr fontId="3" type="noConversion"/>
  </si>
  <si>
    <t>高层</t>
    <phoneticPr fontId="3" type="noConversion"/>
  </si>
  <si>
    <t>深业华府</t>
    <phoneticPr fontId="3" type="noConversion"/>
  </si>
  <si>
    <t>太白大道和九华路交汇处（马钢总部对面）</t>
    <phoneticPr fontId="3" type="noConversion"/>
  </si>
  <si>
    <t>安徽省马鞍山市宁乌公路与盘乌线交汇处</t>
    <phoneticPr fontId="3" type="noConversion"/>
  </si>
  <si>
    <t>3414242017B01085</t>
    <phoneticPr fontId="275" type="noConversion"/>
  </si>
  <si>
    <t>https://j.map.baidu.com/2e/xj</t>
    <phoneticPr fontId="228" type="noConversion"/>
  </si>
  <si>
    <t>https://j.map.baidu.com/2e/xj</t>
    <phoneticPr fontId="228" type="noConversion"/>
  </si>
  <si>
    <t>楼面单价（元/㎡）</t>
    <phoneticPr fontId="228" type="noConversion"/>
  </si>
  <si>
    <t>地面单价（元/㎡）</t>
    <phoneticPr fontId="228" type="noConversion"/>
  </si>
  <si>
    <t>总价（万元）</t>
    <phoneticPr fontId="228" type="noConversion"/>
  </si>
  <si>
    <t>和县乌江镇四联社区</t>
    <phoneticPr fontId="275" type="noConversion"/>
  </si>
  <si>
    <t>http://www.anhuitudi.com/m/display.php?id=7206</t>
    <phoneticPr fontId="228" type="noConversion"/>
  </si>
  <si>
    <t>明发江湾新城</t>
    <phoneticPr fontId="3" type="noConversion"/>
  </si>
  <si>
    <t>估价对象距离南京中心区域直线距离约为47公里，周边区域尚未开发，仅有项目本身与 “孔雀城”居住项目；综合评价估价对象所处区域目前的居住社区成熟度较差。</t>
    <phoneticPr fontId="3" type="noConversion"/>
  </si>
  <si>
    <t>估价对象周边无大型商业，整体商业氛围较差，人流量少且构成多为本地居民；综合评价估价对象所处区域目前的商业繁华程度较差。</t>
    <phoneticPr fontId="3" type="noConversion"/>
  </si>
  <si>
    <t>http://www.mas.gov.cn/4/801121.html</t>
    <phoneticPr fontId="3" type="noConversion"/>
  </si>
  <si>
    <t>县经济开发区石跋河路北侧</t>
    <phoneticPr fontId="228" type="noConversion"/>
  </si>
  <si>
    <t>https://j.map.baidu.com/72/Sjc</t>
  </si>
  <si>
    <t>估价对象临近省道S124，周边多为乡级公路，道路密集度较差；周边有413路、612路、407路、513路等公交线路，距S3线一期终点高家冲站5.5公里，公共交通通达情况一般；综合评价交通便捷度一般。</t>
    <phoneticPr fontId="3" type="noConversion"/>
  </si>
  <si>
    <t>估价对象周边公共配套设施较少且分散，有银行（紫金农商银行）、学校（乌江镇中心幼儿园）、医院（南京市浦口区乌江社区卫生服务社区）、超市、餐饮等公共配套设施；综合评价公共配套设施齐备情况较差。</t>
    <phoneticPr fontId="3" type="noConversion"/>
  </si>
  <si>
    <t>估价对象所在区域内无公园、水系、湖泊，自然环境较差；无博物馆、科技馆、体育馆、高等学府等人文设施，人文环境较差；综合评价自然及人文环境环境较差。</t>
    <phoneticPr fontId="3" type="noConversion"/>
  </si>
  <si>
    <t>银城·孔雀城·依澜郡</t>
    <phoneticPr fontId="3" type="noConversion"/>
  </si>
  <si>
    <t>桥林南乌江S105与茆庄路交汇处</t>
    <phoneticPr fontId="3" type="noConversion"/>
  </si>
  <si>
    <t>中高档</t>
  </si>
  <si>
    <t>《国有土地使用证》证号</t>
  </si>
  <si>
    <t>土地使用权人</t>
  </si>
  <si>
    <t>宗地编号</t>
  </si>
  <si>
    <t>《国有建设用地使用权出让合同》电子监管号</t>
  </si>
  <si>
    <t>3414242017B01118</t>
  </si>
  <si>
    <t>3414242017B01085</t>
  </si>
  <si>
    <t>3414242017B01096</t>
  </si>
  <si>
    <t>3414242017B01101</t>
  </si>
  <si>
    <t>3414242017B01057</t>
  </si>
  <si>
    <t>3414242017B01064</t>
  </si>
  <si>
    <t>3414242017B00986</t>
  </si>
  <si>
    <t>3414242017B00990</t>
  </si>
  <si>
    <t>3414242017B01006</t>
  </si>
  <si>
    <t>3414242017B01209</t>
  </si>
  <si>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0115</t>
    </r>
    <r>
      <rPr>
        <sz val="7.5"/>
        <color rgb="FF000000"/>
        <rFont val="仿宋_GB2312"/>
        <family val="3"/>
        <charset val="134"/>
      </rPr>
      <t>号</t>
    </r>
  </si>
  <si>
    <r>
      <rPr>
        <sz val="7.5"/>
        <color rgb="FF000000"/>
        <rFont val="仿宋_GB2312"/>
        <family val="3"/>
        <charset val="134"/>
      </rPr>
      <t>马鞍山明坤实业有限公司</t>
    </r>
  </si>
  <si>
    <r>
      <rPr>
        <sz val="7.5"/>
        <color rgb="FF000000"/>
        <rFont val="仿宋_GB2312"/>
        <family val="3"/>
        <charset val="134"/>
      </rPr>
      <t>和土出</t>
    </r>
    <r>
      <rPr>
        <sz val="7.5"/>
        <color rgb="FF000000"/>
        <rFont val="Arial"/>
        <family val="2"/>
      </rPr>
      <t>[2017]35</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</si>
  <si>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0116</t>
    </r>
    <r>
      <rPr>
        <sz val="7.5"/>
        <color rgb="FF000000"/>
        <rFont val="仿宋_GB2312"/>
        <family val="3"/>
        <charset val="134"/>
      </rPr>
      <t>号</t>
    </r>
  </si>
  <si>
    <r>
      <rPr>
        <sz val="7.5"/>
        <color rgb="FF000000"/>
        <rFont val="仿宋_GB2312"/>
        <family val="3"/>
        <charset val="134"/>
      </rPr>
      <t>和土出</t>
    </r>
    <r>
      <rPr>
        <sz val="7.5"/>
        <color rgb="FF000000"/>
        <rFont val="Arial"/>
        <family val="2"/>
      </rPr>
      <t>[2017]32</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</si>
  <si>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0117</t>
    </r>
    <r>
      <rPr>
        <sz val="7.5"/>
        <color rgb="FF000000"/>
        <rFont val="仿宋_GB2312"/>
        <family val="3"/>
        <charset val="134"/>
      </rPr>
      <t>号</t>
    </r>
  </si>
  <si>
    <r>
      <rPr>
        <sz val="7.5"/>
        <color rgb="FF000000"/>
        <rFont val="仿宋_GB2312"/>
        <family val="3"/>
        <charset val="134"/>
      </rPr>
      <t>和土出</t>
    </r>
    <r>
      <rPr>
        <sz val="7.5"/>
        <color rgb="FF000000"/>
        <rFont val="Arial"/>
        <family val="2"/>
      </rPr>
      <t>[2017]33</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</si>
  <si>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0118</t>
    </r>
    <r>
      <rPr>
        <sz val="7.5"/>
        <color rgb="FF000000"/>
        <rFont val="仿宋_GB2312"/>
        <family val="3"/>
        <charset val="134"/>
      </rPr>
      <t>号</t>
    </r>
  </si>
  <si>
    <r>
      <rPr>
        <sz val="7.5"/>
        <color rgb="FF000000"/>
        <rFont val="仿宋_GB2312"/>
        <family val="3"/>
        <charset val="134"/>
      </rPr>
      <t>和土出</t>
    </r>
    <r>
      <rPr>
        <sz val="7.5"/>
        <color rgb="FF000000"/>
        <rFont val="Arial"/>
        <family val="2"/>
      </rPr>
      <t>[2017]34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</si>
  <si>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0119</t>
    </r>
    <r>
      <rPr>
        <sz val="7.5"/>
        <color rgb="FF000000"/>
        <rFont val="仿宋_GB2312"/>
        <family val="3"/>
        <charset val="134"/>
      </rPr>
      <t>号</t>
    </r>
  </si>
  <si>
    <r>
      <rPr>
        <sz val="7.5"/>
        <color rgb="FF000000"/>
        <rFont val="仿宋_GB2312"/>
        <family val="3"/>
        <charset val="134"/>
      </rPr>
      <t>和土出</t>
    </r>
    <r>
      <rPr>
        <sz val="7.5"/>
        <color rgb="FF000000"/>
        <rFont val="Arial"/>
        <family val="2"/>
      </rPr>
      <t>[2017]29</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</si>
  <si>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0120</t>
    </r>
    <r>
      <rPr>
        <sz val="7.5"/>
        <color rgb="FF000000"/>
        <rFont val="仿宋_GB2312"/>
        <family val="3"/>
        <charset val="134"/>
      </rPr>
      <t>号</t>
    </r>
  </si>
  <si>
    <r>
      <rPr>
        <sz val="7.5"/>
        <color rgb="FF000000"/>
        <rFont val="仿宋_GB2312"/>
        <family val="3"/>
        <charset val="134"/>
      </rPr>
      <t>和土出</t>
    </r>
    <r>
      <rPr>
        <sz val="7.5"/>
        <color rgb="FF000000"/>
        <rFont val="Arial"/>
        <family val="2"/>
      </rPr>
      <t>[2017]30</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</si>
  <si>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0121</t>
    </r>
    <r>
      <rPr>
        <sz val="7.5"/>
        <color rgb="FF000000"/>
        <rFont val="仿宋_GB2312"/>
        <family val="3"/>
        <charset val="134"/>
      </rPr>
      <t>号</t>
    </r>
  </si>
  <si>
    <r>
      <rPr>
        <sz val="7.5"/>
        <color rgb="FF000000"/>
        <rFont val="仿宋_GB2312"/>
        <family val="3"/>
        <charset val="134"/>
      </rPr>
      <t>和土出</t>
    </r>
    <r>
      <rPr>
        <sz val="7.5"/>
        <color rgb="FF000000"/>
        <rFont val="Arial"/>
        <family val="2"/>
      </rPr>
      <t>[2017]22</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</si>
  <si>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0126</t>
    </r>
    <r>
      <rPr>
        <sz val="7.5"/>
        <color rgb="FF000000"/>
        <rFont val="仿宋_GB2312"/>
        <family val="3"/>
        <charset val="134"/>
      </rPr>
      <t>号</t>
    </r>
  </si>
  <si>
    <r>
      <rPr>
        <sz val="7.5"/>
        <color rgb="FF000000"/>
        <rFont val="仿宋_GB2312"/>
        <family val="3"/>
        <charset val="134"/>
      </rPr>
      <t>马鞍山明昭实业有限公司</t>
    </r>
  </si>
  <si>
    <r>
      <rPr>
        <sz val="7.5"/>
        <color rgb="FF000000"/>
        <rFont val="仿宋_GB2312"/>
        <family val="3"/>
        <charset val="134"/>
      </rPr>
      <t>和土出</t>
    </r>
    <r>
      <rPr>
        <sz val="7.5"/>
        <color rgb="FF000000"/>
        <rFont val="Arial"/>
        <family val="2"/>
      </rPr>
      <t>[2017]23</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</si>
  <si>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0127</t>
    </r>
    <r>
      <rPr>
        <sz val="7.5"/>
        <color rgb="FF000000"/>
        <rFont val="仿宋_GB2312"/>
        <family val="3"/>
        <charset val="134"/>
      </rPr>
      <t>号</t>
    </r>
  </si>
  <si>
    <r>
      <rPr>
        <sz val="7.5"/>
        <color rgb="FF000000"/>
        <rFont val="仿宋_GB2312"/>
        <family val="3"/>
        <charset val="134"/>
      </rPr>
      <t>和土出</t>
    </r>
    <r>
      <rPr>
        <sz val="7.5"/>
        <color rgb="FF000000"/>
        <rFont val="Arial"/>
        <family val="2"/>
      </rPr>
      <t>[2017]24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</si>
  <si>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0140</t>
    </r>
    <r>
      <rPr>
        <sz val="7.5"/>
        <color rgb="FF000000"/>
        <rFont val="仿宋_GB2312"/>
        <family val="3"/>
        <charset val="134"/>
      </rPr>
      <t>号</t>
    </r>
  </si>
  <si>
    <r>
      <rPr>
        <sz val="7.5"/>
        <color rgb="FF000000"/>
        <rFont val="仿宋_GB2312"/>
        <family val="3"/>
        <charset val="134"/>
      </rPr>
      <t>马鞍山明章实业有限公司</t>
    </r>
  </si>
  <si>
    <r>
      <rPr>
        <sz val="7.5"/>
        <color rgb="FF000000"/>
        <rFont val="仿宋_GB2312"/>
        <family val="3"/>
        <charset val="134"/>
      </rPr>
      <t>和土出</t>
    </r>
    <r>
      <rPr>
        <sz val="7.5"/>
        <color rgb="FF000000"/>
        <rFont val="Arial"/>
        <family val="2"/>
      </rPr>
      <t>[2017]44</t>
    </r>
    <r>
      <rPr>
        <sz val="7.5"/>
        <color rgb="FF000000"/>
        <rFont val="仿宋_GB2312"/>
        <family val="3"/>
        <charset val="134"/>
      </rPr>
      <t>　</t>
    </r>
  </si>
  <si>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2.5</t>
    </r>
    <phoneticPr fontId="228" type="noConversion"/>
  </si>
  <si>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3</t>
    </r>
    <phoneticPr fontId="228" type="noConversion"/>
  </si>
  <si>
    <r>
      <rPr>
        <sz val="7.5"/>
        <color rgb="FF000000"/>
        <rFont val="宋体"/>
        <family val="3"/>
        <charset val="134"/>
      </rPr>
      <t>不低于</t>
    </r>
    <r>
      <rPr>
        <sz val="7.5"/>
        <color rgb="FF000000"/>
        <rFont val="Arial"/>
        <family val="2"/>
      </rPr>
      <t>2</t>
    </r>
    <r>
      <rPr>
        <sz val="7.5"/>
        <color rgb="FF000000"/>
        <rFont val="宋体"/>
        <family val="3"/>
        <charset val="134"/>
      </rPr>
      <t>，不高于</t>
    </r>
    <r>
      <rPr>
        <sz val="7.5"/>
        <color rgb="FF000000"/>
        <rFont val="Arial"/>
        <family val="2"/>
      </rPr>
      <t>3.5</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</si>
</sst>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7.5"/>
      <color rgb="FF000000"/>
      <name val="仿宋_GB2312"/>
      <family val="3"/>
      <charset val="134"/>
    </font>
    <font>
      <sz val="7.5"/>
      <color rgb="FF000000"/>
      <name val="Arial"/>
      <family val="2"/>
    </font>
    <font>
      <sz val="7.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0" fontId="164" fillId="0" borderId="2" xfId="14" applyFont="1" applyFill="1" applyBorder="1"/>
    <xf numFmtId="0" fontId="164" fillId="0" borderId="0" xfId="14" applyFont="1" applyFill="1" applyAlignment="1">
      <alignment horizontal="center"/>
    </xf>
    <xf numFmtId="180" fontId="164" fillId="0" borderId="0" xfId="14" applyNumberFormat="1" applyFont="1" applyFill="1"/>
    <xf numFmtId="0" fontId="86" fillId="0" borderId="0" xfId="16"/>
    <xf numFmtId="0" fontId="127" fillId="0" borderId="0" xfId="16" applyFont="1" applyFill="1"/>
    <xf numFmtId="0" fontId="86" fillId="0" borderId="0" xfId="16" applyFill="1"/>
    <xf numFmtId="178" fontId="86" fillId="0" borderId="0" xfId="16" applyNumberFormat="1" applyFill="1"/>
    <xf numFmtId="0" fontId="127" fillId="6" borderId="0" xfId="16" applyFont="1" applyFill="1"/>
    <xf numFmtId="0" fontId="86" fillId="6" borderId="0" xfId="16" applyFill="1"/>
    <xf numFmtId="178" fontId="86" fillId="6" borderId="0" xfId="16" applyNumberFormat="1" applyFill="1"/>
    <xf numFmtId="178" fontId="86" fillId="0" borderId="0" xfId="16" applyNumberFormat="1"/>
    <xf numFmtId="0" fontId="86" fillId="0" borderId="0" xfId="17"/>
    <xf numFmtId="0" fontId="276" fillId="0" borderId="0" xfId="18"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79" fontId="71" fillId="0" borderId="1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1">
      <alignment vertical="center"/>
    </xf>
    <xf numFmtId="0" fontId="82" fillId="5" borderId="0" xfId="0" applyFont="1" applyFill="1" applyAlignment="1" applyProtection="1">
      <alignment vertical="center"/>
      <protection locked="0"/>
    </xf>
    <xf numFmtId="0" fontId="276" fillId="0" borderId="0" xfId="18">
      <alignment vertical="center"/>
    </xf>
    <xf numFmtId="0" fontId="164" fillId="6" borderId="2" xfId="14" applyFont="1" applyFill="1" applyBorder="1" applyAlignment="1">
      <alignment horizontal="right" vertical="center"/>
    </xf>
    <xf numFmtId="180" fontId="164" fillId="6" borderId="2" xfId="14" applyNumberFormat="1" applyFont="1" applyFill="1" applyBorder="1" applyAlignment="1">
      <alignment vertical="center"/>
    </xf>
    <xf numFmtId="0" fontId="164" fillId="6" borderId="2" xfId="14" applyFont="1" applyFill="1" applyBorder="1" applyAlignment="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7" fillId="0" borderId="154" xfId="0" applyFont="1" applyBorder="1" applyAlignment="1">
      <alignment horizontal="justify" vertical="center"/>
    </xf>
    <xf numFmtId="0" fontId="277" fillId="0" borderId="155" xfId="0" applyFont="1" applyBorder="1" applyAlignment="1">
      <alignment horizontal="justify" vertical="center"/>
    </xf>
    <xf numFmtId="0" fontId="277" fillId="0" borderId="155" xfId="0" applyFont="1" applyBorder="1" applyAlignment="1">
      <alignment horizontal="justify" vertical="center" wrapText="1"/>
    </xf>
    <xf numFmtId="0" fontId="278" fillId="0" borderId="156" xfId="0" applyFont="1" applyBorder="1" applyAlignment="1">
      <alignment horizontal="justify" vertical="center"/>
    </xf>
    <xf numFmtId="0" fontId="278" fillId="0" borderId="157" xfId="0" applyFont="1" applyBorder="1" applyAlignment="1">
      <alignment horizontal="justify" vertical="center"/>
    </xf>
    <xf numFmtId="0" fontId="278" fillId="0" borderId="157" xfId="0" applyFont="1" applyBorder="1" applyAlignment="1">
      <alignment horizontal="justify" vertical="center" wrapText="1"/>
    </xf>
    <xf numFmtId="195" fontId="0" fillId="0" borderId="0" xfId="0" applyNumberFormat="1">
      <alignment vertical="center"/>
    </xf>
    <xf numFmtId="10" fontId="71" fillId="9" borderId="52" xfId="0" applyNumberFormat="1" applyFont="1" applyFill="1" applyBorder="1" applyAlignment="1" applyProtection="1">
      <alignment horizontal="center" vertical="center"/>
      <protection locked="0"/>
    </xf>
    <xf numFmtId="0" fontId="84" fillId="9" borderId="18"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63</xdr:row>
      <xdr:rowOff>0</xdr:rowOff>
    </xdr:from>
    <xdr:to>
      <xdr:col>16</xdr:col>
      <xdr:colOff>437415</xdr:colOff>
      <xdr:row>89</xdr:row>
      <xdr:rowOff>94712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543675" y="5505450"/>
          <a:ext cx="5885715" cy="4304762"/>
        </a:xfrm>
        <a:prstGeom prst="rect">
          <a:avLst/>
        </a:prstGeom>
      </xdr:spPr>
    </xdr:pic>
    <xdr:clientData/>
  </xdr:twoCellAnchor>
  <xdr:twoCellAnchor editAs="oneCell">
    <xdr:from>
      <xdr:col>0</xdr:col>
      <xdr:colOff>0</xdr:colOff>
      <xdr:row>63</xdr:row>
      <xdr:rowOff>0</xdr:rowOff>
    </xdr:from>
    <xdr:to>
      <xdr:col>7</xdr:col>
      <xdr:colOff>1551792</xdr:colOff>
      <xdr:row>89</xdr:row>
      <xdr:rowOff>132807</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0" y="5505450"/>
          <a:ext cx="6266667"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1561296</xdr:colOff>
      <xdr:row>44</xdr:row>
      <xdr:rowOff>85229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238500"/>
          <a:ext cx="6438096" cy="3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56629</xdr:colOff>
      <xdr:row>30</xdr:row>
      <xdr:rowOff>18405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171429" cy="5161905"/>
        </a:xfrm>
        <a:prstGeom prst="rect">
          <a:avLst/>
        </a:prstGeom>
      </xdr:spPr>
    </xdr:pic>
    <xdr:clientData/>
  </xdr:twoCellAnchor>
  <xdr:twoCellAnchor editAs="oneCell">
    <xdr:from>
      <xdr:col>0</xdr:col>
      <xdr:colOff>0</xdr:colOff>
      <xdr:row>30</xdr:row>
      <xdr:rowOff>0</xdr:rowOff>
    </xdr:from>
    <xdr:to>
      <xdr:col>6</xdr:col>
      <xdr:colOff>9010</xdr:colOff>
      <xdr:row>60</xdr:row>
      <xdr:rowOff>161262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143500"/>
          <a:ext cx="4123810" cy="5304762"/>
        </a:xfrm>
        <a:prstGeom prst="rect">
          <a:avLst/>
        </a:prstGeom>
      </xdr:spPr>
    </xdr:pic>
    <xdr:clientData/>
  </xdr:twoCellAnchor>
  <xdr:twoCellAnchor editAs="oneCell">
    <xdr:from>
      <xdr:col>0</xdr:col>
      <xdr:colOff>0</xdr:colOff>
      <xdr:row>61</xdr:row>
      <xdr:rowOff>0</xdr:rowOff>
    </xdr:from>
    <xdr:to>
      <xdr:col>6</xdr:col>
      <xdr:colOff>104248</xdr:colOff>
      <xdr:row>78</xdr:row>
      <xdr:rowOff>123445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458450"/>
          <a:ext cx="4219048" cy="3038095"/>
        </a:xfrm>
        <a:prstGeom prst="rect">
          <a:avLst/>
        </a:prstGeom>
      </xdr:spPr>
    </xdr:pic>
    <xdr:clientData/>
  </xdr:twoCellAnchor>
  <xdr:twoCellAnchor editAs="oneCell">
    <xdr:from>
      <xdr:col>14</xdr:col>
      <xdr:colOff>0</xdr:colOff>
      <xdr:row>0</xdr:row>
      <xdr:rowOff>0</xdr:rowOff>
    </xdr:from>
    <xdr:to>
      <xdr:col>20</xdr:col>
      <xdr:colOff>75676</xdr:colOff>
      <xdr:row>33</xdr:row>
      <xdr:rowOff>123103</xdr:rowOff>
    </xdr:to>
    <xdr:pic>
      <xdr:nvPicPr>
        <xdr:cNvPr id="8" name="图片 7"/>
        <xdr:cNvPicPr>
          <a:picLocks noChangeAspect="1"/>
        </xdr:cNvPicPr>
      </xdr:nvPicPr>
      <xdr:blipFill>
        <a:blip xmlns:r="http://schemas.openxmlformats.org/officeDocument/2006/relationships" r:embed="rId4" cstate="print"/>
        <a:stretch>
          <a:fillRect/>
        </a:stretch>
      </xdr:blipFill>
      <xdr:spPr>
        <a:xfrm>
          <a:off x="9601200" y="0"/>
          <a:ext cx="4190476" cy="5780953"/>
        </a:xfrm>
        <a:prstGeom prst="rect">
          <a:avLst/>
        </a:prstGeom>
      </xdr:spPr>
    </xdr:pic>
    <xdr:clientData/>
  </xdr:twoCellAnchor>
  <xdr:twoCellAnchor editAs="oneCell">
    <xdr:from>
      <xdr:col>14</xdr:col>
      <xdr:colOff>0</xdr:colOff>
      <xdr:row>34</xdr:row>
      <xdr:rowOff>0</xdr:rowOff>
    </xdr:from>
    <xdr:to>
      <xdr:col>20</xdr:col>
      <xdr:colOff>104248</xdr:colOff>
      <xdr:row>67</xdr:row>
      <xdr:rowOff>104055</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9601200" y="5829300"/>
          <a:ext cx="4219048" cy="5761905"/>
        </a:xfrm>
        <a:prstGeom prst="rect">
          <a:avLst/>
        </a:prstGeom>
      </xdr:spPr>
    </xdr:pic>
    <xdr:clientData/>
  </xdr:twoCellAnchor>
  <xdr:twoCellAnchor editAs="oneCell">
    <xdr:from>
      <xdr:col>0</xdr:col>
      <xdr:colOff>0</xdr:colOff>
      <xdr:row>80</xdr:row>
      <xdr:rowOff>0</xdr:rowOff>
    </xdr:from>
    <xdr:to>
      <xdr:col>9</xdr:col>
      <xdr:colOff>503991</xdr:colOff>
      <xdr:row>106</xdr:row>
      <xdr:rowOff>104205</xdr:rowOff>
    </xdr:to>
    <xdr:pic>
      <xdr:nvPicPr>
        <xdr:cNvPr id="10" name="图片 9"/>
        <xdr:cNvPicPr>
          <a:picLocks noChangeAspect="1"/>
        </xdr:cNvPicPr>
      </xdr:nvPicPr>
      <xdr:blipFill>
        <a:blip xmlns:r="http://schemas.openxmlformats.org/officeDocument/2006/relationships" r:embed="rId6" cstate="print"/>
        <a:stretch>
          <a:fillRect/>
        </a:stretch>
      </xdr:blipFill>
      <xdr:spPr>
        <a:xfrm>
          <a:off x="0" y="13716000"/>
          <a:ext cx="6676191" cy="4561905"/>
        </a:xfrm>
        <a:prstGeom prst="rect">
          <a:avLst/>
        </a:prstGeom>
      </xdr:spPr>
    </xdr:pic>
    <xdr:clientData/>
  </xdr:twoCellAnchor>
  <xdr:twoCellAnchor editAs="oneCell">
    <xdr:from>
      <xdr:col>0</xdr:col>
      <xdr:colOff>0</xdr:colOff>
      <xdr:row>107</xdr:row>
      <xdr:rowOff>0</xdr:rowOff>
    </xdr:from>
    <xdr:to>
      <xdr:col>10</xdr:col>
      <xdr:colOff>342000</xdr:colOff>
      <xdr:row>134</xdr:row>
      <xdr:rowOff>94660</xdr:rowOff>
    </xdr:to>
    <xdr:pic>
      <xdr:nvPicPr>
        <xdr:cNvPr id="11" name="图片 10"/>
        <xdr:cNvPicPr>
          <a:picLocks noChangeAspect="1"/>
        </xdr:cNvPicPr>
      </xdr:nvPicPr>
      <xdr:blipFill>
        <a:blip xmlns:r="http://schemas.openxmlformats.org/officeDocument/2006/relationships" r:embed="rId7" cstate="print"/>
        <a:stretch>
          <a:fillRect/>
        </a:stretch>
      </xdr:blipFill>
      <xdr:spPr>
        <a:xfrm>
          <a:off x="0" y="18345150"/>
          <a:ext cx="7200000" cy="4723810"/>
        </a:xfrm>
        <a:prstGeom prst="rect">
          <a:avLst/>
        </a:prstGeom>
      </xdr:spPr>
    </xdr:pic>
    <xdr:clientData/>
  </xdr:twoCellAnchor>
  <xdr:twoCellAnchor editAs="oneCell">
    <xdr:from>
      <xdr:col>0</xdr:col>
      <xdr:colOff>0</xdr:colOff>
      <xdr:row>135</xdr:row>
      <xdr:rowOff>0</xdr:rowOff>
    </xdr:from>
    <xdr:to>
      <xdr:col>9</xdr:col>
      <xdr:colOff>589705</xdr:colOff>
      <xdr:row>161</xdr:row>
      <xdr:rowOff>151824</xdr:rowOff>
    </xdr:to>
    <xdr:pic>
      <xdr:nvPicPr>
        <xdr:cNvPr id="12" name="图片 11"/>
        <xdr:cNvPicPr>
          <a:picLocks noChangeAspect="1"/>
        </xdr:cNvPicPr>
      </xdr:nvPicPr>
      <xdr:blipFill>
        <a:blip xmlns:r="http://schemas.openxmlformats.org/officeDocument/2006/relationships" r:embed="rId8" cstate="print"/>
        <a:stretch>
          <a:fillRect/>
        </a:stretch>
      </xdr:blipFill>
      <xdr:spPr>
        <a:xfrm>
          <a:off x="0" y="23145750"/>
          <a:ext cx="6761905" cy="4609524"/>
        </a:xfrm>
        <a:prstGeom prst="rect">
          <a:avLst/>
        </a:prstGeom>
      </xdr:spPr>
    </xdr:pic>
    <xdr:clientData/>
  </xdr:twoCellAnchor>
  <xdr:twoCellAnchor editAs="oneCell">
    <xdr:from>
      <xdr:col>21</xdr:col>
      <xdr:colOff>0</xdr:colOff>
      <xdr:row>0</xdr:row>
      <xdr:rowOff>0</xdr:rowOff>
    </xdr:from>
    <xdr:to>
      <xdr:col>27</xdr:col>
      <xdr:colOff>18534</xdr:colOff>
      <xdr:row>29</xdr:row>
      <xdr:rowOff>75569</xdr:rowOff>
    </xdr:to>
    <xdr:pic>
      <xdr:nvPicPr>
        <xdr:cNvPr id="13" name="图片 12"/>
        <xdr:cNvPicPr>
          <a:picLocks noChangeAspect="1"/>
        </xdr:cNvPicPr>
      </xdr:nvPicPr>
      <xdr:blipFill>
        <a:blip xmlns:r="http://schemas.openxmlformats.org/officeDocument/2006/relationships" r:embed="rId9" cstate="print"/>
        <a:stretch>
          <a:fillRect/>
        </a:stretch>
      </xdr:blipFill>
      <xdr:spPr>
        <a:xfrm>
          <a:off x="14401800" y="0"/>
          <a:ext cx="4133334" cy="5047619"/>
        </a:xfrm>
        <a:prstGeom prst="rect">
          <a:avLst/>
        </a:prstGeom>
      </xdr:spPr>
    </xdr:pic>
    <xdr:clientData/>
  </xdr:twoCellAnchor>
  <xdr:twoCellAnchor editAs="oneCell">
    <xdr:from>
      <xdr:col>21</xdr:col>
      <xdr:colOff>0</xdr:colOff>
      <xdr:row>30</xdr:row>
      <xdr:rowOff>0</xdr:rowOff>
    </xdr:from>
    <xdr:to>
      <xdr:col>27</xdr:col>
      <xdr:colOff>142343</xdr:colOff>
      <xdr:row>60</xdr:row>
      <xdr:rowOff>46977</xdr:rowOff>
    </xdr:to>
    <xdr:pic>
      <xdr:nvPicPr>
        <xdr:cNvPr id="14" name="图片 13"/>
        <xdr:cNvPicPr>
          <a:picLocks noChangeAspect="1"/>
        </xdr:cNvPicPr>
      </xdr:nvPicPr>
      <xdr:blipFill>
        <a:blip xmlns:r="http://schemas.openxmlformats.org/officeDocument/2006/relationships" r:embed="rId10" cstate="print"/>
        <a:stretch>
          <a:fillRect/>
        </a:stretch>
      </xdr:blipFill>
      <xdr:spPr>
        <a:xfrm>
          <a:off x="14401800" y="5143500"/>
          <a:ext cx="4257143" cy="5190477"/>
        </a:xfrm>
        <a:prstGeom prst="rect">
          <a:avLst/>
        </a:prstGeom>
      </xdr:spPr>
    </xdr:pic>
    <xdr:clientData/>
  </xdr:twoCellAnchor>
  <xdr:twoCellAnchor editAs="oneCell">
    <xdr:from>
      <xdr:col>21</xdr:col>
      <xdr:colOff>0</xdr:colOff>
      <xdr:row>61</xdr:row>
      <xdr:rowOff>0</xdr:rowOff>
    </xdr:from>
    <xdr:to>
      <xdr:col>27</xdr:col>
      <xdr:colOff>132819</xdr:colOff>
      <xdr:row>77</xdr:row>
      <xdr:rowOff>9181</xdr:rowOff>
    </xdr:to>
    <xdr:pic>
      <xdr:nvPicPr>
        <xdr:cNvPr id="15" name="图片 14"/>
        <xdr:cNvPicPr>
          <a:picLocks noChangeAspect="1"/>
        </xdr:cNvPicPr>
      </xdr:nvPicPr>
      <xdr:blipFill>
        <a:blip xmlns:r="http://schemas.openxmlformats.org/officeDocument/2006/relationships" r:embed="rId11" cstate="print"/>
        <a:stretch>
          <a:fillRect/>
        </a:stretch>
      </xdr:blipFill>
      <xdr:spPr>
        <a:xfrm>
          <a:off x="14401800" y="10458450"/>
          <a:ext cx="4247619" cy="2752381"/>
        </a:xfrm>
        <a:prstGeom prst="rect">
          <a:avLst/>
        </a:prstGeom>
      </xdr:spPr>
    </xdr:pic>
    <xdr:clientData/>
  </xdr:twoCellAnchor>
  <xdr:twoCellAnchor editAs="oneCell">
    <xdr:from>
      <xdr:col>7</xdr:col>
      <xdr:colOff>0</xdr:colOff>
      <xdr:row>0</xdr:row>
      <xdr:rowOff>0</xdr:rowOff>
    </xdr:from>
    <xdr:to>
      <xdr:col>13</xdr:col>
      <xdr:colOff>18534</xdr:colOff>
      <xdr:row>27</xdr:row>
      <xdr:rowOff>142279</xdr:rowOff>
    </xdr:to>
    <xdr:pic>
      <xdr:nvPicPr>
        <xdr:cNvPr id="16" name="图片 15"/>
        <xdr:cNvPicPr>
          <a:picLocks noChangeAspect="1"/>
        </xdr:cNvPicPr>
      </xdr:nvPicPr>
      <xdr:blipFill>
        <a:blip xmlns:r="http://schemas.openxmlformats.org/officeDocument/2006/relationships" r:embed="rId12" cstate="print"/>
        <a:stretch>
          <a:fillRect/>
        </a:stretch>
      </xdr:blipFill>
      <xdr:spPr>
        <a:xfrm>
          <a:off x="4800600" y="0"/>
          <a:ext cx="4133334" cy="4771429"/>
        </a:xfrm>
        <a:prstGeom prst="rect">
          <a:avLst/>
        </a:prstGeom>
      </xdr:spPr>
    </xdr:pic>
    <xdr:clientData/>
  </xdr:twoCellAnchor>
  <xdr:twoCellAnchor editAs="oneCell">
    <xdr:from>
      <xdr:col>7</xdr:col>
      <xdr:colOff>0</xdr:colOff>
      <xdr:row>28</xdr:row>
      <xdr:rowOff>0</xdr:rowOff>
    </xdr:from>
    <xdr:to>
      <xdr:col>13</xdr:col>
      <xdr:colOff>18534</xdr:colOff>
      <xdr:row>61</xdr:row>
      <xdr:rowOff>123103</xdr:rowOff>
    </xdr:to>
    <xdr:pic>
      <xdr:nvPicPr>
        <xdr:cNvPr id="17" name="图片 16"/>
        <xdr:cNvPicPr>
          <a:picLocks noChangeAspect="1"/>
        </xdr:cNvPicPr>
      </xdr:nvPicPr>
      <xdr:blipFill>
        <a:blip xmlns:r="http://schemas.openxmlformats.org/officeDocument/2006/relationships" r:embed="rId13" cstate="print"/>
        <a:stretch>
          <a:fillRect/>
        </a:stretch>
      </xdr:blipFill>
      <xdr:spPr>
        <a:xfrm>
          <a:off x="4800600" y="4800600"/>
          <a:ext cx="4133334" cy="5780953"/>
        </a:xfrm>
        <a:prstGeom prst="rect">
          <a:avLst/>
        </a:prstGeom>
      </xdr:spPr>
    </xdr:pic>
    <xdr:clientData/>
  </xdr:twoCellAnchor>
  <xdr:twoCellAnchor editAs="oneCell">
    <xdr:from>
      <xdr:col>11</xdr:col>
      <xdr:colOff>0</xdr:colOff>
      <xdr:row>80</xdr:row>
      <xdr:rowOff>0</xdr:rowOff>
    </xdr:from>
    <xdr:to>
      <xdr:col>19</xdr:col>
      <xdr:colOff>399315</xdr:colOff>
      <xdr:row>105</xdr:row>
      <xdr:rowOff>18512</xdr:rowOff>
    </xdr:to>
    <xdr:pic>
      <xdr:nvPicPr>
        <xdr:cNvPr id="5" name="图片 4"/>
        <xdr:cNvPicPr>
          <a:picLocks noChangeAspect="1"/>
        </xdr:cNvPicPr>
      </xdr:nvPicPr>
      <xdr:blipFill>
        <a:blip xmlns:r="http://schemas.openxmlformats.org/officeDocument/2006/relationships" r:embed="rId14" cstate="print"/>
        <a:stretch>
          <a:fillRect/>
        </a:stretch>
      </xdr:blipFill>
      <xdr:spPr>
        <a:xfrm>
          <a:off x="7543800" y="13716000"/>
          <a:ext cx="5885715" cy="4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275419</xdr:colOff>
      <xdr:row>23</xdr:row>
      <xdr:rowOff>47126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447619" cy="3990476"/>
        </a:xfrm>
        <a:prstGeom prst="rect">
          <a:avLst/>
        </a:prstGeom>
      </xdr:spPr>
    </xdr:pic>
    <xdr:clientData/>
  </xdr:twoCellAnchor>
  <xdr:twoCellAnchor editAs="oneCell">
    <xdr:from>
      <xdr:col>0</xdr:col>
      <xdr:colOff>0</xdr:colOff>
      <xdr:row>23</xdr:row>
      <xdr:rowOff>0</xdr:rowOff>
    </xdr:from>
    <xdr:to>
      <xdr:col>9</xdr:col>
      <xdr:colOff>380181</xdr:colOff>
      <xdr:row>53</xdr:row>
      <xdr:rowOff>151738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943350"/>
          <a:ext cx="6552381" cy="5295238"/>
        </a:xfrm>
        <a:prstGeom prst="rect">
          <a:avLst/>
        </a:prstGeom>
      </xdr:spPr>
    </xdr:pic>
    <xdr:clientData/>
  </xdr:twoCellAnchor>
  <xdr:twoCellAnchor editAs="oneCell">
    <xdr:from>
      <xdr:col>0</xdr:col>
      <xdr:colOff>0</xdr:colOff>
      <xdr:row>54</xdr:row>
      <xdr:rowOff>0</xdr:rowOff>
    </xdr:from>
    <xdr:to>
      <xdr:col>9</xdr:col>
      <xdr:colOff>456372</xdr:colOff>
      <xdr:row>77</xdr:row>
      <xdr:rowOff>161412</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258300"/>
          <a:ext cx="6628572" cy="4104762"/>
        </a:xfrm>
        <a:prstGeom prst="rect">
          <a:avLst/>
        </a:prstGeom>
      </xdr:spPr>
    </xdr:pic>
    <xdr:clientData/>
  </xdr:twoCellAnchor>
  <xdr:twoCellAnchor editAs="oneCell">
    <xdr:from>
      <xdr:col>0</xdr:col>
      <xdr:colOff>0</xdr:colOff>
      <xdr:row>78</xdr:row>
      <xdr:rowOff>0</xdr:rowOff>
    </xdr:from>
    <xdr:to>
      <xdr:col>9</xdr:col>
      <xdr:colOff>637324</xdr:colOff>
      <xdr:row>109</xdr:row>
      <xdr:rowOff>27908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373100"/>
          <a:ext cx="6809524" cy="5342858"/>
        </a:xfrm>
        <a:prstGeom prst="rect">
          <a:avLst/>
        </a:prstGeom>
      </xdr:spPr>
    </xdr:pic>
    <xdr:clientData/>
  </xdr:twoCellAnchor>
  <xdr:twoCellAnchor editAs="oneCell">
    <xdr:from>
      <xdr:col>10</xdr:col>
      <xdr:colOff>0</xdr:colOff>
      <xdr:row>0</xdr:row>
      <xdr:rowOff>0</xdr:rowOff>
    </xdr:from>
    <xdr:to>
      <xdr:col>20</xdr:col>
      <xdr:colOff>56286</xdr:colOff>
      <xdr:row>29</xdr:row>
      <xdr:rowOff>104141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858000" y="0"/>
          <a:ext cx="6914286" cy="5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437410</xdr:colOff>
      <xdr:row>33</xdr:row>
      <xdr:rowOff>142150</xdr:rowOff>
    </xdr:to>
    <xdr:pic>
      <xdr:nvPicPr>
        <xdr:cNvPr id="14" name="图片 13"/>
        <xdr:cNvPicPr>
          <a:picLocks noChangeAspect="1"/>
        </xdr:cNvPicPr>
      </xdr:nvPicPr>
      <xdr:blipFill>
        <a:blip xmlns:r="http://schemas.openxmlformats.org/officeDocument/2006/relationships" r:embed="rId1" cstate="print"/>
        <a:stretch>
          <a:fillRect/>
        </a:stretch>
      </xdr:blipFill>
      <xdr:spPr>
        <a:xfrm>
          <a:off x="0" y="0"/>
          <a:ext cx="5923810" cy="5800000"/>
        </a:xfrm>
        <a:prstGeom prst="rect">
          <a:avLst/>
        </a:prstGeom>
      </xdr:spPr>
    </xdr:pic>
    <xdr:clientData/>
  </xdr:twoCellAnchor>
  <xdr:twoCellAnchor editAs="oneCell">
    <xdr:from>
      <xdr:col>0</xdr:col>
      <xdr:colOff>0</xdr:colOff>
      <xdr:row>34</xdr:row>
      <xdr:rowOff>0</xdr:rowOff>
    </xdr:from>
    <xdr:to>
      <xdr:col>8</xdr:col>
      <xdr:colOff>427886</xdr:colOff>
      <xdr:row>63</xdr:row>
      <xdr:rowOff>113665</xdr:rowOff>
    </xdr:to>
    <xdr:pic>
      <xdr:nvPicPr>
        <xdr:cNvPr id="15" name="图片 14"/>
        <xdr:cNvPicPr>
          <a:picLocks noChangeAspect="1"/>
        </xdr:cNvPicPr>
      </xdr:nvPicPr>
      <xdr:blipFill>
        <a:blip xmlns:r="http://schemas.openxmlformats.org/officeDocument/2006/relationships" r:embed="rId2" cstate="print"/>
        <a:stretch>
          <a:fillRect/>
        </a:stretch>
      </xdr:blipFill>
      <xdr:spPr>
        <a:xfrm>
          <a:off x="0" y="5829300"/>
          <a:ext cx="5914286" cy="5085715"/>
        </a:xfrm>
        <a:prstGeom prst="rect">
          <a:avLst/>
        </a:prstGeom>
      </xdr:spPr>
    </xdr:pic>
    <xdr:clientData/>
  </xdr:twoCellAnchor>
  <xdr:twoCellAnchor editAs="oneCell">
    <xdr:from>
      <xdr:col>0</xdr:col>
      <xdr:colOff>0</xdr:colOff>
      <xdr:row>66</xdr:row>
      <xdr:rowOff>0</xdr:rowOff>
    </xdr:from>
    <xdr:to>
      <xdr:col>8</xdr:col>
      <xdr:colOff>123124</xdr:colOff>
      <xdr:row>70</xdr:row>
      <xdr:rowOff>114200</xdr:rowOff>
    </xdr:to>
    <xdr:pic>
      <xdr:nvPicPr>
        <xdr:cNvPr id="16" name="图片 15"/>
        <xdr:cNvPicPr>
          <a:picLocks noChangeAspect="1"/>
        </xdr:cNvPicPr>
      </xdr:nvPicPr>
      <xdr:blipFill>
        <a:blip xmlns:r="http://schemas.openxmlformats.org/officeDocument/2006/relationships" r:embed="rId3" cstate="print"/>
        <a:stretch>
          <a:fillRect/>
        </a:stretch>
      </xdr:blipFill>
      <xdr:spPr>
        <a:xfrm>
          <a:off x="0" y="11315700"/>
          <a:ext cx="5609524" cy="800000"/>
        </a:xfrm>
        <a:prstGeom prst="rect">
          <a:avLst/>
        </a:prstGeom>
      </xdr:spPr>
    </xdr:pic>
    <xdr:clientData/>
  </xdr:twoCellAnchor>
  <xdr:twoCellAnchor editAs="oneCell">
    <xdr:from>
      <xdr:col>0</xdr:col>
      <xdr:colOff>0</xdr:colOff>
      <xdr:row>71</xdr:row>
      <xdr:rowOff>0</xdr:rowOff>
    </xdr:from>
    <xdr:to>
      <xdr:col>8</xdr:col>
      <xdr:colOff>151696</xdr:colOff>
      <xdr:row>72</xdr:row>
      <xdr:rowOff>95217</xdr:rowOff>
    </xdr:to>
    <xdr:pic>
      <xdr:nvPicPr>
        <xdr:cNvPr id="17" name="图片 16"/>
        <xdr:cNvPicPr>
          <a:picLocks noChangeAspect="1"/>
        </xdr:cNvPicPr>
      </xdr:nvPicPr>
      <xdr:blipFill>
        <a:blip xmlns:r="http://schemas.openxmlformats.org/officeDocument/2006/relationships" r:embed="rId4" cstate="print"/>
        <a:stretch>
          <a:fillRect/>
        </a:stretch>
      </xdr:blipFill>
      <xdr:spPr>
        <a:xfrm>
          <a:off x="0" y="12172950"/>
          <a:ext cx="5638096" cy="266667"/>
        </a:xfrm>
        <a:prstGeom prst="rect">
          <a:avLst/>
        </a:prstGeom>
      </xdr:spPr>
    </xdr:pic>
    <xdr:clientData/>
  </xdr:twoCellAnchor>
  <xdr:twoCellAnchor editAs="oneCell">
    <xdr:from>
      <xdr:col>10</xdr:col>
      <xdr:colOff>0</xdr:colOff>
      <xdr:row>0</xdr:row>
      <xdr:rowOff>0</xdr:rowOff>
    </xdr:from>
    <xdr:to>
      <xdr:col>22</xdr:col>
      <xdr:colOff>303734</xdr:colOff>
      <xdr:row>30</xdr:row>
      <xdr:rowOff>104119</xdr:rowOff>
    </xdr:to>
    <xdr:pic>
      <xdr:nvPicPr>
        <xdr:cNvPr id="18" name="图片 17"/>
        <xdr:cNvPicPr>
          <a:picLocks noChangeAspect="1"/>
        </xdr:cNvPicPr>
      </xdr:nvPicPr>
      <xdr:blipFill>
        <a:blip xmlns:r="http://schemas.openxmlformats.org/officeDocument/2006/relationships" r:embed="rId5" cstate="print"/>
        <a:stretch>
          <a:fillRect/>
        </a:stretch>
      </xdr:blipFill>
      <xdr:spPr>
        <a:xfrm>
          <a:off x="6858000" y="0"/>
          <a:ext cx="8533334" cy="5247619"/>
        </a:xfrm>
        <a:prstGeom prst="rect">
          <a:avLst/>
        </a:prstGeom>
      </xdr:spPr>
    </xdr:pic>
    <xdr:clientData/>
  </xdr:twoCellAnchor>
  <xdr:twoCellAnchor editAs="oneCell">
    <xdr:from>
      <xdr:col>10</xdr:col>
      <xdr:colOff>0</xdr:colOff>
      <xdr:row>31</xdr:row>
      <xdr:rowOff>0</xdr:rowOff>
    </xdr:from>
    <xdr:to>
      <xdr:col>18</xdr:col>
      <xdr:colOff>513600</xdr:colOff>
      <xdr:row>36</xdr:row>
      <xdr:rowOff>114179</xdr:rowOff>
    </xdr:to>
    <xdr:pic>
      <xdr:nvPicPr>
        <xdr:cNvPr id="19" name="图片 18"/>
        <xdr:cNvPicPr>
          <a:picLocks noChangeAspect="1"/>
        </xdr:cNvPicPr>
      </xdr:nvPicPr>
      <xdr:blipFill>
        <a:blip xmlns:r="http://schemas.openxmlformats.org/officeDocument/2006/relationships" r:embed="rId6" cstate="print"/>
        <a:stretch>
          <a:fillRect/>
        </a:stretch>
      </xdr:blipFill>
      <xdr:spPr>
        <a:xfrm>
          <a:off x="6858000" y="5314950"/>
          <a:ext cx="6000000" cy="971429"/>
        </a:xfrm>
        <a:prstGeom prst="rect">
          <a:avLst/>
        </a:prstGeom>
      </xdr:spPr>
    </xdr:pic>
    <xdr:clientData/>
  </xdr:twoCellAnchor>
  <xdr:twoCellAnchor editAs="oneCell">
    <xdr:from>
      <xdr:col>10</xdr:col>
      <xdr:colOff>0</xdr:colOff>
      <xdr:row>37</xdr:row>
      <xdr:rowOff>0</xdr:rowOff>
    </xdr:from>
    <xdr:to>
      <xdr:col>19</xdr:col>
      <xdr:colOff>446848</xdr:colOff>
      <xdr:row>60</xdr:row>
      <xdr:rowOff>56650</xdr:rowOff>
    </xdr:to>
    <xdr:pic>
      <xdr:nvPicPr>
        <xdr:cNvPr id="20" name="图片 19"/>
        <xdr:cNvPicPr>
          <a:picLocks noChangeAspect="1"/>
        </xdr:cNvPicPr>
      </xdr:nvPicPr>
      <xdr:blipFill>
        <a:blip xmlns:r="http://schemas.openxmlformats.org/officeDocument/2006/relationships" r:embed="rId7" cstate="print"/>
        <a:stretch>
          <a:fillRect/>
        </a:stretch>
      </xdr:blipFill>
      <xdr:spPr>
        <a:xfrm>
          <a:off x="6858000" y="6343650"/>
          <a:ext cx="6619048" cy="4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84686</xdr:colOff>
      <xdr:row>14</xdr:row>
      <xdr:rowOff>9224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314286" cy="2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28</xdr:row>
      <xdr:rowOff>37496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895238" cy="4838096"/>
        </a:xfrm>
        <a:prstGeom prst="rect">
          <a:avLst/>
        </a:prstGeom>
      </xdr:spPr>
    </xdr:pic>
    <xdr:clientData/>
  </xdr:twoCellAnchor>
  <xdr:twoCellAnchor editAs="oneCell">
    <xdr:from>
      <xdr:col>0</xdr:col>
      <xdr:colOff>0</xdr:colOff>
      <xdr:row>29</xdr:row>
      <xdr:rowOff>0</xdr:rowOff>
    </xdr:from>
    <xdr:to>
      <xdr:col>8</xdr:col>
      <xdr:colOff>237410</xdr:colOff>
      <xdr:row>35</xdr:row>
      <xdr:rowOff>28443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5723810" cy="1057143"/>
        </a:xfrm>
        <a:prstGeom prst="rect">
          <a:avLst/>
        </a:prstGeom>
      </xdr:spPr>
    </xdr:pic>
    <xdr:clientData/>
  </xdr:twoCellAnchor>
  <xdr:twoCellAnchor editAs="oneCell">
    <xdr:from>
      <xdr:col>0</xdr:col>
      <xdr:colOff>0</xdr:colOff>
      <xdr:row>35</xdr:row>
      <xdr:rowOff>0</xdr:rowOff>
    </xdr:from>
    <xdr:to>
      <xdr:col>8</xdr:col>
      <xdr:colOff>427886</xdr:colOff>
      <xdr:row>64</xdr:row>
      <xdr:rowOff>94617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6000750"/>
          <a:ext cx="5914286" cy="5066667"/>
        </a:xfrm>
        <a:prstGeom prst="rect">
          <a:avLst/>
        </a:prstGeom>
      </xdr:spPr>
    </xdr:pic>
    <xdr:clientData/>
  </xdr:twoCellAnchor>
  <xdr:twoCellAnchor editAs="oneCell">
    <xdr:from>
      <xdr:col>0</xdr:col>
      <xdr:colOff>0</xdr:colOff>
      <xdr:row>65</xdr:row>
      <xdr:rowOff>0</xdr:rowOff>
    </xdr:from>
    <xdr:to>
      <xdr:col>8</xdr:col>
      <xdr:colOff>332648</xdr:colOff>
      <xdr:row>87</xdr:row>
      <xdr:rowOff>85243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144250"/>
          <a:ext cx="5819048" cy="3857143"/>
        </a:xfrm>
        <a:prstGeom prst="rect">
          <a:avLst/>
        </a:prstGeom>
      </xdr:spPr>
    </xdr:pic>
    <xdr:clientData/>
  </xdr:twoCellAnchor>
  <xdr:twoCellAnchor editAs="oneCell">
    <xdr:from>
      <xdr:col>0</xdr:col>
      <xdr:colOff>0</xdr:colOff>
      <xdr:row>88</xdr:row>
      <xdr:rowOff>0</xdr:rowOff>
    </xdr:from>
    <xdr:to>
      <xdr:col>8</xdr:col>
      <xdr:colOff>208838</xdr:colOff>
      <xdr:row>99</xdr:row>
      <xdr:rowOff>66431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5087600"/>
          <a:ext cx="5695238" cy="1952381"/>
        </a:xfrm>
        <a:prstGeom prst="rect">
          <a:avLst/>
        </a:prstGeom>
      </xdr:spPr>
    </xdr:pic>
    <xdr:clientData/>
  </xdr:twoCellAnchor>
  <xdr:twoCellAnchor editAs="oneCell">
    <xdr:from>
      <xdr:col>0</xdr:col>
      <xdr:colOff>0</xdr:colOff>
      <xdr:row>100</xdr:row>
      <xdr:rowOff>0</xdr:rowOff>
    </xdr:from>
    <xdr:to>
      <xdr:col>8</xdr:col>
      <xdr:colOff>399315</xdr:colOff>
      <xdr:row>129</xdr:row>
      <xdr:rowOff>66046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7145000"/>
          <a:ext cx="5885715" cy="5038096"/>
        </a:xfrm>
        <a:prstGeom prst="rect">
          <a:avLst/>
        </a:prstGeom>
      </xdr:spPr>
    </xdr:pic>
    <xdr:clientData/>
  </xdr:twoCellAnchor>
  <xdr:twoCellAnchor editAs="oneCell">
    <xdr:from>
      <xdr:col>9</xdr:col>
      <xdr:colOff>0</xdr:colOff>
      <xdr:row>0</xdr:row>
      <xdr:rowOff>0</xdr:rowOff>
    </xdr:from>
    <xdr:to>
      <xdr:col>17</xdr:col>
      <xdr:colOff>370743</xdr:colOff>
      <xdr:row>22</xdr:row>
      <xdr:rowOff>9053</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172200" y="0"/>
          <a:ext cx="5857143" cy="3780953"/>
        </a:xfrm>
        <a:prstGeom prst="rect">
          <a:avLst/>
        </a:prstGeom>
      </xdr:spPr>
    </xdr:pic>
    <xdr:clientData/>
  </xdr:twoCellAnchor>
  <xdr:twoCellAnchor editAs="oneCell">
    <xdr:from>
      <xdr:col>9</xdr:col>
      <xdr:colOff>0</xdr:colOff>
      <xdr:row>23</xdr:row>
      <xdr:rowOff>0</xdr:rowOff>
    </xdr:from>
    <xdr:to>
      <xdr:col>17</xdr:col>
      <xdr:colOff>256458</xdr:colOff>
      <xdr:row>55</xdr:row>
      <xdr:rowOff>104077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6172200" y="3943350"/>
          <a:ext cx="5742858" cy="5590477"/>
        </a:xfrm>
        <a:prstGeom prst="rect">
          <a:avLst/>
        </a:prstGeom>
      </xdr:spPr>
    </xdr:pic>
    <xdr:clientData/>
  </xdr:twoCellAnchor>
  <xdr:twoCellAnchor editAs="oneCell">
    <xdr:from>
      <xdr:col>9</xdr:col>
      <xdr:colOff>0</xdr:colOff>
      <xdr:row>56</xdr:row>
      <xdr:rowOff>0</xdr:rowOff>
    </xdr:from>
    <xdr:to>
      <xdr:col>17</xdr:col>
      <xdr:colOff>18362</xdr:colOff>
      <xdr:row>83</xdr:row>
      <xdr:rowOff>123231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172200" y="9601200"/>
          <a:ext cx="5504762" cy="4752381"/>
        </a:xfrm>
        <a:prstGeom prst="rect">
          <a:avLst/>
        </a:prstGeom>
      </xdr:spPr>
    </xdr:pic>
    <xdr:clientData/>
  </xdr:twoCellAnchor>
  <xdr:twoCellAnchor editAs="oneCell">
    <xdr:from>
      <xdr:col>9</xdr:col>
      <xdr:colOff>0</xdr:colOff>
      <xdr:row>84</xdr:row>
      <xdr:rowOff>0</xdr:rowOff>
    </xdr:from>
    <xdr:to>
      <xdr:col>17</xdr:col>
      <xdr:colOff>256458</xdr:colOff>
      <xdr:row>112</xdr:row>
      <xdr:rowOff>104162</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6172200" y="14401800"/>
          <a:ext cx="5742858"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19-1-0362&#23433;&#24509;&#30465;&#39532;&#38797;&#23665;&#24066;&#21644;&#21439;&#20044;&#27743;&#38215;&#22235;&#32852;&#31038;&#21306;&#21313;&#23447;&#20303;&#23429;&#29992;&#22320;&#20986;&#35753;&#22269;&#26377;&#24314;&#35774;&#29992;&#22320;&#20351;&#29992;&#26435;&#25269;&#25276;&#20215;&#26684;&#35780;&#20272;/P01/&#26368;&#32456;/&#26126;&#22372;&#20303;&#23429;-&#21644;&#21439;&#20044;&#27743;&#38215;&#22235;&#32852;&#31038;&#21306;-&#29579;&#24635;&#21516;&#248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和县土地案例"/>
      <sheetName val="含山县土地案例"/>
      <sheetName val="剩余法-待开发"/>
      <sheetName val="剩余法-现房"/>
      <sheetName val="不动产比较法-住宅"/>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销售均价"/>
      <sheetName val="二手房售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row>
        <row r="125">
          <cell r="B125" t="str">
            <v>宗地开发程度</v>
          </cell>
        </row>
        <row r="127">
          <cell r="B127" t="str">
            <v>工程地质条件</v>
          </cell>
        </row>
      </sheetData>
      <sheetData sheetId="18"/>
      <sheetData sheetId="19"/>
      <sheetData sheetId="20"/>
      <sheetData sheetId="21"/>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j.map.baidu.com/54ri-" TargetMode="External"/><Relationship Id="rId2" Type="http://schemas.openxmlformats.org/officeDocument/2006/relationships/hyperlink" Target="http://www.anhuitudi.com/m/display.php?id=7206" TargetMode="External"/><Relationship Id="rId1" Type="http://schemas.openxmlformats.org/officeDocument/2006/relationships/hyperlink" Target="https://j.map.baidu.com/2e/xj"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5.bin"/><Relationship Id="rId1" Type="http://schemas.openxmlformats.org/officeDocument/2006/relationships/hyperlink" Target="https://j.map.baidu.com/2e/xj"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28" sqref="C28"/>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2654</v>
      </c>
      <c r="B1" s="2843" t="s">
        <v>2751</v>
      </c>
    </row>
    <row r="2" spans="1:55" s="2847" customFormat="1" ht="15" thickTop="1">
      <c r="A2" s="2845" t="s">
        <v>2658</v>
      </c>
      <c r="B2" s="2846" t="str">
        <f>'预评函-封皮'!B37</f>
        <v>安徽省马鞍山市和县乌江镇四联社区十宗住宅用地出让国有建设用地使用权抵押价格预评估</v>
      </c>
      <c r="AX2" s="2848"/>
      <c r="AZ2" s="2848"/>
      <c r="BA2" s="2849"/>
      <c r="BC2" s="2849"/>
    </row>
    <row r="3" spans="1:55" s="2850" customFormat="1">
      <c r="A3" s="2829" t="s">
        <v>2659</v>
      </c>
      <c r="B3" s="2832" t="str">
        <f>'预评函-封皮'!B40</f>
        <v>国通信托有限责任公司</v>
      </c>
    </row>
    <row r="4" spans="1:55" s="2831" customFormat="1">
      <c r="A4" s="2829" t="s">
        <v>2660</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2661</v>
      </c>
      <c r="B5" s="2852" t="str">
        <f>'预评函-封皮'!B49</f>
        <v>康正预评字号</v>
      </c>
    </row>
    <row r="6" spans="1:55" s="2853" customFormat="1" ht="15" thickTop="1">
      <c r="A6" s="2845" t="s">
        <v>2703</v>
      </c>
      <c r="B6" s="2846" t="str">
        <f>'预评函-1'!A4</f>
        <v>受贵公司委托，我公司对安徽省马鞍山市和县乌江镇四联社区十宗住宅用地出让国有建设用地使用权抵押价格进行了预评估。</v>
      </c>
      <c r="AM6" s="2854"/>
    </row>
    <row r="7" spans="1:55" s="2828" customFormat="1">
      <c r="A7" s="2829" t="s">
        <v>2655</v>
      </c>
      <c r="B7" s="2830" t="str">
        <f>'预评函-1'!A6</f>
        <v>估价对象为马鞍山明坤实业有限公司使用的、位于安徽省马鞍山市和县乌江镇四联社区十宗住宅用地出让国有建设用地使用权。根据《国有土地使用证》[]，估价对象（分摊）出让国有建设用地使用权面积为27011.59平方米。根据《建设工程规划许可证》[]、《出让合同》[]，估价对象规划建筑面积为67528.97平方米。</v>
      </c>
    </row>
    <row r="8" spans="1:55" s="2828" customFormat="1">
      <c r="A8" s="2829" t="s">
        <v>2656</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2706</v>
      </c>
      <c r="B9" s="2830" t="str">
        <f>'预评函-1'!A9</f>
        <v>马鞍山明坤实业有限公司拟使用安徽省马鞍山市和县乌江镇四联社区十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828" customFormat="1">
      <c r="A10" s="2829" t="s">
        <v>2657</v>
      </c>
      <c r="B10" s="2830" t="str">
        <f>'预评函-1'!A11</f>
        <v>2019年7月10日（评估专业人员勘察现场之日）</v>
      </c>
    </row>
    <row r="11" spans="1:55" s="2828" customFormat="1">
      <c r="A11" s="2829" t="s">
        <v>2663</v>
      </c>
      <c r="B11" s="2830" t="str">
        <f>'预评函-1'!A14</f>
        <v>根据《国有土地使用证》[]，本次评估估价对象证载（地类）用途为住宅。</v>
      </c>
    </row>
    <row r="12" spans="1:55" s="2828" customFormat="1">
      <c r="A12" s="2829" t="s">
        <v>2664</v>
      </c>
      <c r="B12" s="2830" t="str">
        <f>'预评函-1'!A15</f>
        <v>本次评估设定用途即为证载用途住宅。</v>
      </c>
    </row>
    <row r="13" spans="1:55" s="2828" customFormat="1">
      <c r="A13" s="2829" t="s">
        <v>2665</v>
      </c>
      <c r="B13" s="2830" t="str">
        <f>'预评函-1'!A17</f>
        <v>根据委托估价方介绍及评估专业人员现场勘查，本次评估估价对象实际土地开发程度为红线外市政基础设施达“七通”（即通路、通电、通讯、通上水、通下水、燃气、）、宗地红线内场地平整。</v>
      </c>
    </row>
    <row r="14" spans="1:55" s="2828" customFormat="1">
      <c r="A14" s="2829" t="s">
        <v>2666</v>
      </c>
      <c r="B14" s="2830" t="str">
        <f>'预评函-1'!A18</f>
        <v>本次评估设定土地开发程度为红线外市政基础设施达“七通”、宗地红线内场地平整。</v>
      </c>
    </row>
    <row r="15" spans="1:55" s="2828" customFormat="1">
      <c r="A15" s="2829" t="s">
        <v>2662</v>
      </c>
      <c r="B15" s="2830" t="str">
        <f>'预评函-1'!A20</f>
        <v>根据《国有土地使用证》[]，估价对象（分摊）出让国有建设用地使用权面积为27011.59平方米。根据《建设工程规划许可证》[]、《出让合同》[]，估价对象规划建筑面积为67528.97平方米。</v>
      </c>
    </row>
    <row r="16" spans="1:55" s="2828" customFormat="1">
      <c r="A16" s="2829" t="s">
        <v>2667</v>
      </c>
      <c r="B16" s="2830" t="str">
        <f>'预评函-1'!A22</f>
        <v>本次估价对象为出让国有建设用地使用权，《国有土地使用证》[]证载土地终止日期为住宅2087年11月15日、商业2057年11月15日。截至估价期日，出让国有建设用地使用权剩余土地使用年限为。</v>
      </c>
    </row>
    <row r="17" spans="1:48" s="2828" customFormat="1">
      <c r="A17" s="2829" t="s">
        <v>2668</v>
      </c>
      <c r="B17" s="2830" t="str">
        <f>'预评函-1'!A23</f>
        <v>本次评估设定估价对象剩余土地使用年限为。</v>
      </c>
    </row>
    <row r="18" spans="1:48" s="2828" customFormat="1">
      <c r="A18" s="2829" t="s">
        <v>2669</v>
      </c>
      <c r="B18" s="2830" t="str">
        <f>'预评函-1'!A25</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19" spans="1:48" s="2828" customFormat="1">
      <c r="A19" s="2829" t="s">
        <v>2670</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2671</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2672</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2673</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2674</v>
      </c>
      <c r="B23" s="2830" t="str">
        <f>'预评函-2'!K2</f>
        <v>估价期日：2019年7月10日</v>
      </c>
    </row>
    <row r="24" spans="1:48">
      <c r="A24" s="2829" t="s">
        <v>2675</v>
      </c>
      <c r="B24" s="2830" t="str">
        <f>'预评函-2'!R2</f>
        <v>估价期日的国有建设用地使用权性质：出让</v>
      </c>
    </row>
    <row r="25" spans="1:48">
      <c r="A25" s="2829" t="s">
        <v>2731</v>
      </c>
      <c r="B25" s="2830" t="str">
        <f>'预评函-2'!A3</f>
        <v>估价期日土地使用者</v>
      </c>
    </row>
    <row r="26" spans="1:48">
      <c r="A26" s="2829" t="s">
        <v>2707</v>
      </c>
      <c r="B26" s="2830" t="str">
        <f>'预评函-2'!A5</f>
        <v>中信开发</v>
      </c>
    </row>
    <row r="27" spans="1:48">
      <c r="A27" s="2829" t="s">
        <v>2732</v>
      </c>
      <c r="B27" s="2830" t="str">
        <f>'预评函-2'!B3</f>
        <v>宗地编号/不动产单元号</v>
      </c>
    </row>
    <row r="28" spans="1:48">
      <c r="A28" s="2829" t="s">
        <v>2708</v>
      </c>
      <c r="B28" s="2830" t="str">
        <f>'预评函-2'!B5</f>
        <v>11111111111</v>
      </c>
    </row>
    <row r="29" spans="1:48">
      <c r="A29" s="2829" t="s">
        <v>2734</v>
      </c>
      <c r="B29" s="2830">
        <f>'预评函-2'!C5</f>
        <v>22</v>
      </c>
    </row>
    <row r="30" spans="1:48">
      <c r="A30" s="2829" t="s">
        <v>2735</v>
      </c>
      <c r="B30" s="2830" t="str">
        <f>'预评函-2'!D3</f>
        <v>土地使用证编号/不动产权证书编号</v>
      </c>
    </row>
    <row r="31" spans="1:48">
      <c r="A31" s="2829" t="s">
        <v>2709</v>
      </c>
      <c r="B31" s="2830" t="str">
        <f>'预评函-2'!D5</f>
        <v>京国土字第111号</v>
      </c>
    </row>
    <row r="32" spans="1:48">
      <c r="A32" s="2829" t="s">
        <v>2710</v>
      </c>
      <c r="B32" s="2830" t="str">
        <f>'预评函-2'!E5</f>
        <v>住宅</v>
      </c>
      <c r="AV32" s="2834"/>
    </row>
    <row r="33" spans="1:2">
      <c r="A33" s="2829" t="s">
        <v>2711</v>
      </c>
      <c r="B33" s="2830">
        <f>'预评函-2'!F5</f>
        <v>258</v>
      </c>
    </row>
    <row r="34" spans="1:2">
      <c r="A34" s="2829" t="s">
        <v>2712</v>
      </c>
      <c r="B34" s="2830" t="str">
        <f>'预评函-2'!G5</f>
        <v>住宅</v>
      </c>
    </row>
    <row r="35" spans="1:2">
      <c r="A35" s="2829" t="s">
        <v>2713</v>
      </c>
      <c r="B35" s="2830">
        <f>'预评函-2'!H5</f>
        <v>1.5</v>
      </c>
    </row>
    <row r="36" spans="1:2">
      <c r="A36" s="2829" t="s">
        <v>2714</v>
      </c>
      <c r="B36" s="2830">
        <f>'预评函-2'!I5</f>
        <v>1.5</v>
      </c>
    </row>
    <row r="37" spans="1:2">
      <c r="A37" s="2829" t="s">
        <v>2715</v>
      </c>
      <c r="B37" s="2830">
        <f>'预评函-2'!J5</f>
        <v>1.5</v>
      </c>
    </row>
    <row r="38" spans="1:2">
      <c r="A38" s="2829" t="s">
        <v>2716</v>
      </c>
      <c r="B38" s="2830" t="str">
        <f>'预评函-2'!K5</f>
        <v>红线外七通、宗地红线内场地平整</v>
      </c>
    </row>
    <row r="39" spans="1:2">
      <c r="A39" s="2829" t="s">
        <v>2717</v>
      </c>
      <c r="B39" s="2830" t="str">
        <f>'预评函-2'!L5</f>
        <v>红线外七通、宗地红线内场地平整</v>
      </c>
    </row>
    <row r="40" spans="1:2">
      <c r="A40" s="2829" t="s">
        <v>2736</v>
      </c>
      <c r="B40" s="2830" t="str">
        <f>'预评函-2'!M3</f>
        <v>（剩余）土地使用年限/年</v>
      </c>
    </row>
    <row r="41" spans="1:2">
      <c r="A41" s="2829" t="s">
        <v>2718</v>
      </c>
      <c r="B41" s="2830">
        <f>'预评函-2'!M5</f>
        <v>0</v>
      </c>
    </row>
    <row r="42" spans="1:2">
      <c r="A42" s="2829" t="s">
        <v>2737</v>
      </c>
      <c r="B42" s="2830" t="str">
        <f>'预评函-2'!N3</f>
        <v>（分摊）出让国有建设用地使用权面积/㎡</v>
      </c>
    </row>
    <row r="43" spans="1:2">
      <c r="A43" s="2829" t="s">
        <v>2719</v>
      </c>
      <c r="B43" s="2830">
        <f>'预评函-2'!N5</f>
        <v>27011.59</v>
      </c>
    </row>
    <row r="44" spans="1:2">
      <c r="A44" s="2829" t="s">
        <v>2738</v>
      </c>
      <c r="B44" s="2830" t="str">
        <f>'预评函-2'!O3</f>
        <v>规划建筑面积/㎡</v>
      </c>
    </row>
    <row r="45" spans="1:2">
      <c r="A45" s="2829" t="s">
        <v>2720</v>
      </c>
      <c r="B45" s="2830">
        <f>'预评函-2'!O5</f>
        <v>67528.97</v>
      </c>
    </row>
    <row r="46" spans="1:2">
      <c r="A46" s="2829" t="s">
        <v>2721</v>
      </c>
      <c r="B46" s="2830">
        <f ca="1">'预评函-2'!P5</f>
        <v>8099</v>
      </c>
    </row>
    <row r="47" spans="1:2">
      <c r="A47" s="2829" t="s">
        <v>2722</v>
      </c>
      <c r="B47" s="2830">
        <f ca="1">'预评函-2'!Q5</f>
        <v>3240</v>
      </c>
    </row>
    <row r="48" spans="1:2">
      <c r="A48" s="2829" t="s">
        <v>2723</v>
      </c>
      <c r="B48" s="2830">
        <f ca="1">'预评函-2'!R5</f>
        <v>21878</v>
      </c>
    </row>
    <row r="49" spans="1:2">
      <c r="A49" s="2829" t="s">
        <v>2739</v>
      </c>
      <c r="B49" s="2830" t="str">
        <f>'预评函-2'!A6</f>
        <v>抵押价格</v>
      </c>
    </row>
    <row r="50" spans="1:2">
      <c r="A50" s="2829" t="s">
        <v>2724</v>
      </c>
      <c r="B50" s="2830">
        <f ca="1">'预评函-2'!R6</f>
        <v>21878</v>
      </c>
    </row>
    <row r="51" spans="1:2">
      <c r="A51" s="2829" t="s">
        <v>2740</v>
      </c>
      <c r="B51" s="2830" t="str">
        <f>'预评函-2'!A7</f>
        <v>——</v>
      </c>
    </row>
    <row r="52" spans="1:2">
      <c r="A52" s="2829" t="s">
        <v>2725</v>
      </c>
      <c r="B52" s="2830" t="str">
        <f>'预评函-2'!R7</f>
        <v>——</v>
      </c>
    </row>
    <row r="53" spans="1:2">
      <c r="A53" s="2829" t="s">
        <v>2741</v>
      </c>
      <c r="B53" s="2830">
        <f>'预评函-2'!A8</f>
        <v>0</v>
      </c>
    </row>
    <row r="54" spans="1:2" s="2844" customFormat="1" ht="15" thickBot="1">
      <c r="A54" s="2851" t="s">
        <v>2726</v>
      </c>
      <c r="B54" s="2852" t="str">
        <f>'预评函-2'!R8</f>
        <v>——</v>
      </c>
    </row>
    <row r="55" spans="1:2" ht="15" thickTop="1">
      <c r="A55" s="2840" t="s">
        <v>2676</v>
      </c>
      <c r="B55" s="2841" t="str">
        <f>'预评函-3'!A2</f>
        <v>1.权利限制：根据估价对象《不动产权证书》原件、《国有土地使用权》复印件，截至估价期日，估价对象抵押权未见登记。未设定租赁等其他他项权利。</v>
      </c>
    </row>
    <row r="56" spans="1:2">
      <c r="A56" s="2829" t="s">
        <v>2677</v>
      </c>
      <c r="B56" s="2830" t="str">
        <f>'预评函-3'!A3</f>
        <v>2.基础设施条件：估价对象实际开发程度为红线外七通、宗地红线内场地平整；本次评估设定开发程度为红线外七通、宗地红线内场地平整。</v>
      </c>
    </row>
    <row r="57" spans="1:2">
      <c r="A57" s="2829" t="s">
        <v>2678</v>
      </c>
      <c r="B57" s="2830" t="str">
        <f>'预评函-3'!A4</f>
        <v>3.估价规划限制条件：详见《建设工程规划许可证》[]、《出让合同》[]。</v>
      </c>
    </row>
    <row r="58" spans="1:2" s="2844" customFormat="1" ht="15" thickBot="1">
      <c r="A58" s="2851" t="s">
        <v>2727</v>
      </c>
      <c r="B58" s="2852" t="str">
        <f>'预评函-3'!A5</f>
        <v>4.影响价格的其他限定条件：无。</v>
      </c>
    </row>
    <row r="59" spans="1:2" ht="15" thickTop="1">
      <c r="A59" s="2840" t="s">
        <v>2679</v>
      </c>
      <c r="B59" s="2841" t="str">
        <f>'预评函-3'!A8</f>
        <v>2.本《评估意见函》仅供金融机构进行内部审核使用，不做其他目的之用。</v>
      </c>
    </row>
    <row r="60" spans="1:2">
      <c r="A60" s="2829" t="s">
        <v>2680</v>
      </c>
      <c r="B60" s="2830" t="str">
        <f>'预评函-3'!A9</f>
        <v>3.抵押双方在办理抵押登记手续时，应使用本公司出具的正式《土地估价报告》，特提请报告使用者注意。</v>
      </c>
    </row>
    <row r="61" spans="1:2">
      <c r="A61" s="2829" t="s">
        <v>2682</v>
      </c>
      <c r="B61" s="2830" t="str">
        <f>'预评函-3'!A10</f>
        <v>4.估价师所知悉的法定优先受偿款情况为：</v>
      </c>
    </row>
    <row r="62" spans="1:2">
      <c r="A62" s="2829" t="s">
        <v>2681</v>
      </c>
      <c r="B62" s="2830" t="str">
        <f>'预评函-3'!A11</f>
        <v>（1）根据估价对象《不动产权证书》原件、《国有土地使用权》复印件，截至估价期日，估价对象抵押权未见登记。</v>
      </c>
    </row>
    <row r="63" spans="1:2">
      <c r="A63" s="2829" t="s">
        <v>2683</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2684</v>
      </c>
      <c r="B64" s="2835" t="str">
        <f>'预评函-3'!A13</f>
        <v>（3）。</v>
      </c>
    </row>
    <row r="65" spans="1:2">
      <c r="A65" s="2829" t="s">
        <v>2685</v>
      </c>
      <c r="B65" s="2836" t="str">
        <f>'预评函-3'!A14</f>
        <v>综上，本次评估不存在估价师知悉的法定优先受偿款</v>
      </c>
    </row>
    <row r="66" spans="1:2">
      <c r="A66" s="2829" t="s">
        <v>2686</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2687</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2690</v>
      </c>
      <c r="B68" s="2855">
        <f>'预评函-3'!D30</f>
        <v>42558</v>
      </c>
    </row>
    <row r="69" spans="1:2" ht="15" thickTop="1">
      <c r="A69" s="2840" t="s">
        <v>2688</v>
      </c>
      <c r="B69" s="2841" t="str">
        <f>'预评函-3'!A20</f>
        <v>王鹏</v>
      </c>
    </row>
    <row r="70" spans="1:2">
      <c r="A70" s="2829" t="s">
        <v>2688</v>
      </c>
      <c r="B70" s="2836">
        <f ca="1">'预评函-3'!B20</f>
        <v>2002110030</v>
      </c>
    </row>
    <row r="71" spans="1:2">
      <c r="A71" s="2829" t="s">
        <v>2689</v>
      </c>
      <c r="B71" s="2830" t="str">
        <f>'预评函-3'!A21</f>
        <v>郑燚</v>
      </c>
    </row>
    <row r="72" spans="1:2" s="2844" customFormat="1" ht="15" thickBot="1">
      <c r="A72" s="2851" t="s">
        <v>2689</v>
      </c>
      <c r="B72" s="2857">
        <f ca="1">'预评函-3'!B21</f>
        <v>2014110011</v>
      </c>
    </row>
    <row r="73" spans="1:2" ht="15" thickTop="1">
      <c r="A73" s="2840" t="s">
        <v>2748</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2749</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2750</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2785</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9" sqref="G19"/>
    </sheetView>
  </sheetViews>
  <sheetFormatPr defaultColWidth="10" defaultRowHeight="14.25"/>
  <cols>
    <col min="1" max="1" width="15.375" style="1671" customWidth="1"/>
    <col min="2" max="2" width="11.375" style="1671" customWidth="1"/>
    <col min="3" max="3" width="12.625" style="1671" customWidth="1"/>
    <col min="4" max="4" width="11.6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41" t="s">
        <v>1936</v>
      </c>
      <c r="B1" s="3281" t="str">
        <f>IF(B10="北京市","北京市",C10)&amp;F10&amp;B16&amp;"国有建设用地使用权"&amp;B9&amp;"预评估"</f>
        <v>安徽省马鞍山市和县乌江镇四联社区十宗住宅用地出让国有建设用地使用权抵押价格预评估</v>
      </c>
      <c r="C1" s="3282"/>
      <c r="D1" s="3282"/>
      <c r="E1" s="3282"/>
      <c r="F1" s="3282"/>
      <c r="G1" s="3282"/>
      <c r="H1" s="3282"/>
      <c r="I1" s="3283"/>
      <c r="J1" s="1674"/>
      <c r="K1" s="2415" t="str">
        <f>IF(B10="北京市","北京市",C10)&amp;F10&amp;B16&amp;"国有建设用地使用权"&amp;B9</f>
        <v>安徽省马鞍山市和县乌江镇四联社区十宗住宅用地出让国有建设用地使用权抵押价格</v>
      </c>
      <c r="L1" s="1703"/>
      <c r="M1" s="1703"/>
      <c r="N1" s="1674"/>
      <c r="O1" s="1675"/>
      <c r="P1" s="1674"/>
      <c r="Q1" s="1674"/>
      <c r="R1" s="1674"/>
      <c r="S1" s="1674"/>
      <c r="T1" s="1674"/>
      <c r="U1" s="1674"/>
    </row>
    <row r="2" spans="1:21">
      <c r="A2" s="1642" t="s">
        <v>1937</v>
      </c>
      <c r="B2" s="1822"/>
      <c r="D2" s="1674"/>
      <c r="E2" s="1674"/>
      <c r="F2" s="1674"/>
      <c r="G2" s="1674"/>
      <c r="H2" s="1642"/>
      <c r="I2" s="1675"/>
      <c r="J2" s="1674"/>
      <c r="K2" s="2415" t="str">
        <f>IF(B10="北京市","北京市",C10)&amp;F10&amp;B16&amp;"国有建设用地使用权"</f>
        <v>安徽省马鞍山市和县乌江镇四联社区十宗住宅用地出让国有建设用地使用权</v>
      </c>
      <c r="L2" s="1703"/>
      <c r="M2" s="1703"/>
      <c r="N2" s="1674"/>
      <c r="O2" s="1675"/>
      <c r="P2" s="1674"/>
      <c r="Q2" s="1674"/>
      <c r="R2" s="1674"/>
      <c r="S2" s="1674"/>
      <c r="T2" s="1674"/>
      <c r="U2" s="1674"/>
    </row>
    <row r="3" spans="1:21">
      <c r="A3" s="1643" t="s">
        <v>1938</v>
      </c>
      <c r="B3" s="1644">
        <v>43656</v>
      </c>
      <c r="C3" s="1645" t="s">
        <v>1994</v>
      </c>
      <c r="D3" s="1644">
        <f>B3</f>
        <v>43656</v>
      </c>
      <c r="E3" s="1674"/>
      <c r="F3" s="1674"/>
      <c r="G3" s="1674"/>
      <c r="H3" s="1642"/>
      <c r="I3" s="1675"/>
      <c r="J3" s="1674"/>
      <c r="K3" s="1754"/>
      <c r="L3" s="1703"/>
      <c r="M3" s="1703"/>
      <c r="N3" s="1674"/>
      <c r="O3" s="1675"/>
      <c r="P3" s="1674"/>
      <c r="Q3" s="1674"/>
      <c r="R3" s="1674"/>
      <c r="S3" s="1674"/>
      <c r="T3" s="1674"/>
      <c r="U3" s="1674"/>
    </row>
    <row r="4" spans="1:21" ht="15" thickBot="1">
      <c r="A4" s="1646" t="s">
        <v>1939</v>
      </c>
      <c r="B4" s="1823" t="s">
        <v>2992</v>
      </c>
      <c r="C4" s="1826">
        <f ca="1">SUMIF(土地估价师,B4,估价师及机构信息!E3:E24)</f>
        <v>2002110030</v>
      </c>
      <c r="D4" s="1823" t="s">
        <v>2993</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7" t="s">
        <v>1940</v>
      </c>
      <c r="B5" s="1769" t="s">
        <v>2994</v>
      </c>
      <c r="C5" s="1648"/>
      <c r="D5" s="1649"/>
      <c r="E5" s="1674"/>
      <c r="F5" s="1674"/>
      <c r="G5" s="1674"/>
      <c r="H5" s="1642"/>
      <c r="I5" s="1675"/>
      <c r="J5" s="1674"/>
      <c r="K5" s="1754"/>
      <c r="L5" s="1703"/>
      <c r="M5" s="1703"/>
      <c r="N5" s="1674"/>
      <c r="O5" s="1675"/>
      <c r="P5" s="1674"/>
      <c r="Q5" s="1674"/>
      <c r="R5" s="1674"/>
      <c r="S5" s="1674"/>
      <c r="T5" s="1674"/>
      <c r="U5" s="1674"/>
    </row>
    <row r="6" spans="1:21" ht="26.25">
      <c r="A6" s="1645" t="s">
        <v>2704</v>
      </c>
      <c r="B6" s="1769" t="str">
        <f>B5</f>
        <v>国通信托有限责任公司</v>
      </c>
      <c r="C6" s="1741"/>
      <c r="D6" s="1650"/>
      <c r="E6" s="1674"/>
      <c r="F6" s="1674"/>
      <c r="G6" s="1674"/>
      <c r="H6" s="1642"/>
      <c r="I6" s="1675"/>
      <c r="J6" s="1674"/>
      <c r="K6" s="3002" t="str">
        <f>IF(COUNTIF(B6,"*上海银行*"),"上海银行","")</f>
        <v/>
      </c>
      <c r="L6" s="1703"/>
      <c r="M6" s="1703"/>
      <c r="N6" s="1674"/>
      <c r="O6" s="1675"/>
      <c r="P6" s="1674"/>
      <c r="Q6" s="1674"/>
      <c r="R6" s="1674"/>
      <c r="S6" s="1674"/>
      <c r="T6" s="1674"/>
      <c r="U6" s="1674"/>
    </row>
    <row r="7" spans="1:21">
      <c r="A7" s="1651" t="s">
        <v>2705</v>
      </c>
      <c r="B7" s="1769" t="s">
        <v>2995</v>
      </c>
      <c r="C7" s="1741"/>
      <c r="D7" s="1650"/>
      <c r="E7" s="1674"/>
      <c r="F7" s="1674"/>
      <c r="G7" s="1674"/>
      <c r="H7" s="1642"/>
      <c r="I7" s="1675"/>
      <c r="J7" s="1674"/>
      <c r="K7" s="1754"/>
      <c r="L7" s="1703"/>
      <c r="M7" s="1703"/>
      <c r="N7" s="1674"/>
      <c r="O7" s="1675"/>
      <c r="P7" s="1674"/>
      <c r="Q7" s="1674"/>
      <c r="R7" s="1674"/>
      <c r="S7" s="1674"/>
      <c r="T7" s="1674"/>
      <c r="U7" s="1674"/>
    </row>
    <row r="8" spans="1:21">
      <c r="A8" s="1651" t="s">
        <v>1941</v>
      </c>
      <c r="B8" s="1652" t="s">
        <v>2991</v>
      </c>
      <c r="C8" s="1653"/>
      <c r="D8" s="3287" t="s">
        <v>1943</v>
      </c>
      <c r="E8" s="1824" t="s">
        <v>2996</v>
      </c>
      <c r="F8" s="1654"/>
      <c r="G8" s="1642"/>
      <c r="H8" s="1642"/>
      <c r="I8" s="1687"/>
      <c r="J8" s="1674"/>
      <c r="K8" s="1754"/>
      <c r="L8" s="1703"/>
      <c r="M8" s="1703"/>
      <c r="N8" s="1674"/>
      <c r="O8" s="1675"/>
      <c r="P8" s="1674"/>
      <c r="Q8" s="1674"/>
      <c r="R8" s="1674"/>
      <c r="S8" s="1674"/>
      <c r="T8" s="1674"/>
      <c r="U8" s="1674"/>
    </row>
    <row r="9" spans="1:21" ht="15" thickBot="1">
      <c r="A9" s="1655" t="s">
        <v>1942</v>
      </c>
      <c r="B9" s="1656" t="s">
        <v>2996</v>
      </c>
      <c r="C9" s="1657"/>
      <c r="D9" s="3288"/>
      <c r="E9" s="1656"/>
      <c r="F9" s="1727"/>
      <c r="G9" s="1722"/>
      <c r="H9" s="1722"/>
      <c r="I9" s="1723"/>
      <c r="J9" s="1674"/>
      <c r="K9" s="1754"/>
      <c r="L9" s="1703"/>
      <c r="M9" s="1703"/>
      <c r="N9" s="1674"/>
      <c r="O9" s="1675"/>
      <c r="P9" s="1674"/>
      <c r="Q9" s="1674"/>
      <c r="R9" s="1674"/>
      <c r="S9" s="1674"/>
      <c r="T9" s="1674"/>
      <c r="U9" s="1674"/>
    </row>
    <row r="10" spans="1:21" ht="15" thickTop="1">
      <c r="A10" s="1724" t="s">
        <v>1998</v>
      </c>
      <c r="B10" s="1699"/>
      <c r="C10" s="3177" t="s">
        <v>2997</v>
      </c>
      <c r="D10" s="1649"/>
      <c r="E10" s="1658" t="s">
        <v>1945</v>
      </c>
      <c r="F10" s="1659" t="s">
        <v>3000</v>
      </c>
      <c r="G10" s="1725"/>
      <c r="H10" s="1726"/>
      <c r="I10" s="1649"/>
      <c r="J10" s="1674"/>
      <c r="K10" s="1754"/>
      <c r="L10" s="1703"/>
      <c r="M10" s="1703"/>
      <c r="N10" s="1674"/>
      <c r="O10" s="1675"/>
      <c r="P10" s="1674"/>
      <c r="Q10" s="1674"/>
      <c r="R10" s="1674"/>
      <c r="S10" s="1674"/>
      <c r="T10" s="1674"/>
      <c r="U10" s="1674"/>
    </row>
    <row r="11" spans="1:21">
      <c r="A11" s="1677" t="s">
        <v>1999</v>
      </c>
      <c r="B11" s="1678" t="s">
        <v>2999</v>
      </c>
      <c r="C11" s="1769" t="s">
        <v>2998</v>
      </c>
      <c r="D11" s="1742"/>
      <c r="E11" s="1642"/>
      <c r="F11" s="1642"/>
      <c r="G11" s="1642"/>
      <c r="H11" s="1642"/>
      <c r="I11" s="1642"/>
      <c r="J11" s="1674"/>
      <c r="K11" s="1754"/>
      <c r="L11" s="1703"/>
      <c r="M11" s="1703"/>
      <c r="N11" s="1674"/>
      <c r="O11" s="1675"/>
      <c r="P11" s="1674"/>
      <c r="Q11" s="1674"/>
      <c r="R11" s="1674"/>
      <c r="S11" s="1674"/>
      <c r="T11" s="1674"/>
      <c r="U11" s="1674"/>
    </row>
    <row r="12" spans="1:21">
      <c r="A12" s="1765" t="s">
        <v>2057</v>
      </c>
      <c r="B12" s="3284" t="s">
        <v>3001</v>
      </c>
      <c r="C12" s="3285"/>
      <c r="D12" s="3286"/>
      <c r="E12" s="1679" t="s">
        <v>2060</v>
      </c>
      <c r="F12" s="3302" t="s">
        <v>2887</v>
      </c>
      <c r="G12" s="3303"/>
      <c r="H12" s="3303"/>
      <c r="I12" s="3304"/>
      <c r="J12" s="1674"/>
      <c r="K12" s="1754"/>
      <c r="L12" s="1703"/>
      <c r="M12" s="1703"/>
      <c r="N12" s="1674"/>
      <c r="O12" s="1675"/>
      <c r="P12" s="1674"/>
      <c r="Q12" s="1674"/>
      <c r="R12" s="1674"/>
      <c r="S12" s="1674"/>
      <c r="T12" s="1674"/>
      <c r="U12" s="1674"/>
    </row>
    <row r="13" spans="1:21">
      <c r="A13" s="1667" t="s">
        <v>2058</v>
      </c>
      <c r="B13" s="3284" t="s">
        <v>3001</v>
      </c>
      <c r="C13" s="3285"/>
      <c r="D13" s="3286"/>
      <c r="E13" s="1679" t="s">
        <v>2060</v>
      </c>
      <c r="F13" s="3302" t="s">
        <v>2888</v>
      </c>
      <c r="G13" s="3303"/>
      <c r="H13" s="3303"/>
      <c r="I13" s="3304"/>
      <c r="J13" s="1674"/>
      <c r="K13" s="1754"/>
      <c r="L13" s="1703"/>
      <c r="M13" s="1703"/>
      <c r="N13" s="1674"/>
      <c r="O13" s="1675"/>
      <c r="P13" s="1674"/>
      <c r="Q13" s="1674"/>
      <c r="R13" s="1674"/>
      <c r="S13" s="1674"/>
      <c r="T13" s="1674"/>
      <c r="U13" s="1674"/>
    </row>
    <row r="14" spans="1:21">
      <c r="A14" s="1643" t="s">
        <v>2061</v>
      </c>
      <c r="B14" s="1679"/>
      <c r="C14" s="1825" t="s">
        <v>3002</v>
      </c>
      <c r="D14" s="1713" t="str">
        <f>IF(C14="不一致","是否符合证载地类范围","")</f>
        <v/>
      </c>
      <c r="E14" s="1679"/>
      <c r="F14" s="1770" t="s">
        <v>3003</v>
      </c>
      <c r="G14" s="1708"/>
      <c r="H14" s="1708"/>
      <c r="I14" s="1817"/>
      <c r="J14" s="1674"/>
      <c r="K14" s="1754"/>
      <c r="L14" s="1703"/>
      <c r="M14" s="1703"/>
      <c r="N14" s="1674"/>
      <c r="O14" s="1675"/>
      <c r="P14" s="1674"/>
      <c r="Q14" s="1674"/>
      <c r="R14" s="1674"/>
      <c r="S14" s="1674"/>
      <c r="T14" s="1674"/>
      <c r="U14" s="1674"/>
    </row>
    <row r="15" spans="1:21" hidden="1">
      <c r="A15" s="2605"/>
      <c r="B15" s="1645"/>
      <c r="C15" s="1645"/>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2.75">
      <c r="A16" s="1660" t="s">
        <v>1946</v>
      </c>
      <c r="B16" s="1661" t="s">
        <v>2984</v>
      </c>
      <c r="C16" s="1679" t="s">
        <v>1947</v>
      </c>
      <c r="D16" s="2606" t="s">
        <v>1948</v>
      </c>
      <c r="E16" s="1702" t="s">
        <v>3004</v>
      </c>
      <c r="F16" s="1702"/>
      <c r="G16" s="1702"/>
      <c r="H16" s="1702"/>
      <c r="I16" s="1666" t="s">
        <v>1953</v>
      </c>
      <c r="J16" s="1674"/>
      <c r="K16" s="2416" t="str">
        <f>IF(D17="","",D16&amp;TEXT(D17,"yyyy年m月d日;;"))</f>
        <v>住宅2087年11月15日</v>
      </c>
      <c r="L16" s="1679" t="str">
        <f>IF(OR(K16="",M16=""),"","、")</f>
        <v>、</v>
      </c>
      <c r="M16" s="2416" t="str">
        <f>IF(E17="","",E16&amp;TEXT(E17,"yyyy年m月d日;;"))</f>
        <v>商业2057年11月15日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v>68621</v>
      </c>
      <c r="E17" s="1680">
        <v>57664</v>
      </c>
      <c r="F17" s="1680"/>
      <c r="G17" s="1680"/>
      <c r="H17" s="1680"/>
      <c r="I17" s="1680"/>
      <c r="J17" s="1674"/>
      <c r="K17" s="2415" t="str">
        <f>CONCATENATE(K16,L16,M16,N16,O16,P16,Q16,R16,S16,T16,,U16)</f>
        <v>住宅2087年11月15日、商业2057年11月15日</v>
      </c>
      <c r="L17" s="1703"/>
      <c r="M17" s="1703"/>
      <c r="N17" s="1674"/>
      <c r="O17" s="1675"/>
      <c r="P17" s="1674"/>
      <c r="Q17" s="1674"/>
      <c r="R17" s="1674"/>
      <c r="S17" s="1674"/>
      <c r="T17" s="1674"/>
      <c r="U17" s="1674"/>
    </row>
    <row r="18" spans="1:21">
      <c r="A18" s="1743"/>
      <c r="B18" s="1662"/>
      <c r="C18" s="1663" t="s">
        <v>1955</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2" t="s">
        <v>1956</v>
      </c>
      <c r="D19" s="1738">
        <f>IF(B16="出让",IF(D17="","",ROUNDDOWN(MIN((D17-$D$3)/365,D18),2)),D18)</f>
        <v>68.39</v>
      </c>
      <c r="E19" s="1665">
        <f>IF(B16="出让",IF(E17="","",ROUNDDOWN(MIN((E17-$D$3)/365,E18),2)),E18)</f>
        <v>38.369999999999997</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2059</v>
      </c>
      <c r="D20" s="3299"/>
      <c r="E20" s="3300"/>
      <c r="F20" s="3300"/>
      <c r="G20" s="3300"/>
      <c r="H20" s="3300"/>
      <c r="I20" s="3301"/>
      <c r="J20" s="1674"/>
      <c r="K20" s="1754"/>
      <c r="L20" s="1703"/>
      <c r="M20" s="1703"/>
      <c r="N20" s="1674"/>
      <c r="O20" s="1675"/>
      <c r="P20" s="1674"/>
      <c r="Q20" s="1674"/>
      <c r="R20" s="1674"/>
      <c r="S20" s="1674"/>
      <c r="T20" s="1674"/>
      <c r="U20" s="1674"/>
    </row>
    <row r="21" spans="1:21">
      <c r="A21" s="1743" t="s">
        <v>1957</v>
      </c>
      <c r="B21" s="1744" t="s">
        <v>1958</v>
      </c>
      <c r="C21" s="1739">
        <f>'数据-汇总表'!E3</f>
        <v>67528.97</v>
      </c>
      <c r="D21" s="1740" t="s">
        <v>1959</v>
      </c>
      <c r="E21" s="3289" t="s">
        <v>1997</v>
      </c>
      <c r="F21" s="3290"/>
      <c r="G21" s="3290"/>
      <c r="H21" s="3290"/>
      <c r="I21" s="3291"/>
      <c r="J21" s="1674"/>
      <c r="K21" s="1754"/>
      <c r="L21" s="1703"/>
      <c r="M21" s="1703"/>
      <c r="N21" s="1674"/>
      <c r="O21" s="1675"/>
      <c r="P21" s="1674"/>
      <c r="Q21" s="1674"/>
      <c r="R21" s="1674"/>
      <c r="S21" s="1674"/>
      <c r="T21" s="1674"/>
      <c r="U21" s="1674"/>
    </row>
    <row r="22" spans="1:21">
      <c r="A22" s="3091" t="s">
        <v>951</v>
      </c>
      <c r="B22" s="1643" t="s">
        <v>1960</v>
      </c>
      <c r="C22" s="1666">
        <f>'数据-汇总表'!D3</f>
        <v>27011.59</v>
      </c>
      <c r="D22" s="1667" t="s">
        <v>1959</v>
      </c>
      <c r="E22" s="3289" t="s">
        <v>2889</v>
      </c>
      <c r="F22" s="3290"/>
      <c r="G22" s="3290"/>
      <c r="H22" s="3290"/>
      <c r="I22" s="3291"/>
      <c r="J22" s="1674"/>
      <c r="K22" s="1754"/>
      <c r="L22" s="1703"/>
      <c r="M22" s="1703"/>
      <c r="N22" s="1674"/>
      <c r="O22" s="1675"/>
      <c r="P22" s="1674"/>
      <c r="Q22" s="1674"/>
      <c r="R22" s="1674"/>
      <c r="S22" s="1674"/>
      <c r="T22" s="1674"/>
      <c r="U22" s="1674"/>
    </row>
    <row r="23" spans="1:21" ht="43.5" thickBot="1">
      <c r="A23" s="1745" t="s">
        <v>1961</v>
      </c>
      <c r="B23" s="1681" t="s">
        <v>1962</v>
      </c>
      <c r="C23" s="1682" t="s">
        <v>3005</v>
      </c>
      <c r="D23" s="1683" t="s">
        <v>1963</v>
      </c>
      <c r="E23" s="1684" t="s">
        <v>3005</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92" t="s">
        <v>1965</v>
      </c>
      <c r="C24" s="3293"/>
      <c r="D24" s="3294" t="s">
        <v>1966</v>
      </c>
      <c r="E24" s="3295"/>
      <c r="F24" s="1688" t="s">
        <v>1967</v>
      </c>
      <c r="G24" s="1674"/>
      <c r="H24" s="1674"/>
      <c r="I24" s="1687"/>
      <c r="J24" s="1674"/>
      <c r="K24" s="3280" t="s">
        <v>1968</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2324</v>
      </c>
      <c r="C25" s="1689" t="s">
        <v>1969</v>
      </c>
      <c r="D25" s="1690"/>
      <c r="E25" s="1691" t="s">
        <v>951</v>
      </c>
      <c r="F25" s="1692"/>
      <c r="G25" s="1674"/>
      <c r="H25" s="1674"/>
      <c r="I25" s="1687"/>
      <c r="J25" s="1674"/>
      <c r="K25" s="328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1970</v>
      </c>
      <c r="C26" s="1689" t="s">
        <v>2325</v>
      </c>
      <c r="D26" s="1642"/>
      <c r="E26" s="1642"/>
      <c r="F26" s="1668"/>
      <c r="G26" s="1674"/>
      <c r="H26" s="1674"/>
      <c r="I26" s="1687"/>
      <c r="J26" s="1674"/>
      <c r="K26" s="328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66" t="s">
        <v>2000</v>
      </c>
      <c r="B31" s="1744" t="s">
        <v>2001</v>
      </c>
      <c r="C31" s="3305" t="s">
        <v>3006</v>
      </c>
      <c r="D31" s="3306"/>
      <c r="E31" s="1674"/>
      <c r="F31" s="1674"/>
      <c r="G31" s="1674"/>
      <c r="H31" s="1674"/>
      <c r="I31" s="1687"/>
      <c r="J31" s="1674"/>
      <c r="K31" s="2418"/>
      <c r="L31" s="1674"/>
      <c r="M31" s="1674"/>
      <c r="N31" s="1674"/>
      <c r="O31" s="1674"/>
      <c r="P31" s="1674"/>
      <c r="Q31" s="1674"/>
      <c r="R31" s="1674"/>
      <c r="S31" s="1674"/>
      <c r="T31" s="1674"/>
      <c r="U31" s="1674"/>
    </row>
    <row r="32" spans="1:21">
      <c r="A32" s="3266"/>
      <c r="B32" s="1643" t="s">
        <v>2002</v>
      </c>
      <c r="C32" s="1699" t="s">
        <v>3007</v>
      </c>
      <c r="D32" s="1700"/>
      <c r="E32" s="1674"/>
      <c r="F32" s="1674"/>
      <c r="G32" s="1674"/>
      <c r="H32" s="1674"/>
      <c r="I32" s="1687"/>
      <c r="J32" s="1674"/>
      <c r="K32" s="2418"/>
      <c r="L32" s="1674"/>
      <c r="M32" s="1674"/>
      <c r="N32" s="1674"/>
      <c r="O32" s="1674"/>
      <c r="P32" s="1674"/>
      <c r="Q32" s="1674"/>
      <c r="R32" s="1674"/>
      <c r="S32" s="1674"/>
      <c r="T32" s="1674"/>
      <c r="U32" s="1674"/>
    </row>
    <row r="33" spans="1:21">
      <c r="A33" s="3266"/>
      <c r="B33" s="1643" t="s">
        <v>2003</v>
      </c>
      <c r="C33" s="1701" t="s">
        <v>3005</v>
      </c>
      <c r="D33" s="1818"/>
      <c r="E33" s="1674"/>
      <c r="F33" s="1674"/>
      <c r="G33" s="1674"/>
      <c r="H33" s="1674"/>
      <c r="I33" s="1687"/>
      <c r="J33" s="1674"/>
      <c r="K33" s="2418"/>
      <c r="L33" s="1674"/>
      <c r="M33" s="1674"/>
      <c r="N33" s="1674"/>
      <c r="O33" s="1674"/>
      <c r="P33" s="1674"/>
      <c r="Q33" s="1674"/>
      <c r="R33" s="1674"/>
      <c r="S33" s="1674"/>
      <c r="T33" s="1674"/>
      <c r="U33" s="1674"/>
    </row>
    <row r="34" spans="1:21">
      <c r="A34" s="3267"/>
      <c r="B34" s="1643" t="s">
        <v>2004</v>
      </c>
      <c r="C34" s="3268"/>
      <c r="D34" s="3269"/>
      <c r="E34" s="1674"/>
      <c r="F34" s="1674"/>
      <c r="G34" s="1674"/>
      <c r="H34" s="1674"/>
      <c r="I34" s="1687"/>
      <c r="J34" s="1674"/>
      <c r="K34" s="2418"/>
      <c r="L34" s="1674"/>
      <c r="M34" s="1674"/>
      <c r="N34" s="1674"/>
      <c r="O34" s="1674"/>
      <c r="P34" s="1674"/>
      <c r="Q34" s="1674"/>
      <c r="R34" s="1674"/>
      <c r="S34" s="1674"/>
      <c r="T34" s="1674"/>
      <c r="U34" s="1674"/>
    </row>
    <row r="35" spans="1:21">
      <c r="A35" s="3270" t="s">
        <v>846</v>
      </c>
      <c r="B35" s="1702" t="s">
        <v>3008</v>
      </c>
      <c r="C35" s="1756" t="str">
        <f>IF(B35="场地平整","——","具体情况：")</f>
        <v>——</v>
      </c>
      <c r="D35" s="3272"/>
      <c r="E35" s="3273"/>
      <c r="F35" s="3273"/>
      <c r="G35" s="3273"/>
      <c r="H35" s="3273"/>
      <c r="I35" s="3274"/>
      <c r="J35" s="1674"/>
      <c r="K35" s="1755"/>
      <c r="L35" s="1703"/>
      <c r="M35" s="1703"/>
      <c r="N35" s="1674"/>
      <c r="O35" s="1675"/>
      <c r="P35" s="1674"/>
      <c r="Q35" s="1674"/>
      <c r="R35" s="1674"/>
      <c r="S35" s="1674"/>
      <c r="T35" s="1674"/>
      <c r="U35" s="1674"/>
    </row>
    <row r="36" spans="1:21">
      <c r="A36" s="3266"/>
      <c r="B36" s="3275" t="s">
        <v>2053</v>
      </c>
      <c r="C36" s="3276"/>
      <c r="D36" s="1772" t="s">
        <v>3009</v>
      </c>
      <c r="E36" s="3277"/>
      <c r="F36" s="3277"/>
      <c r="G36" s="1667" t="str">
        <f>IF(B35="场地未平整","估价结果处理","")</f>
        <v/>
      </c>
      <c r="H36" s="3278"/>
      <c r="I36" s="3278"/>
      <c r="J36" s="1674"/>
      <c r="K36" s="1755"/>
      <c r="L36" s="1703"/>
      <c r="M36" s="1703"/>
      <c r="N36" s="1674"/>
      <c r="O36" s="1675"/>
      <c r="P36" s="1674"/>
      <c r="Q36" s="1674"/>
      <c r="R36" s="1674"/>
      <c r="S36" s="1674"/>
      <c r="T36" s="1674"/>
      <c r="U36" s="1674"/>
    </row>
    <row r="37" spans="1:21" ht="28.5">
      <c r="A37" s="3266"/>
      <c r="B37" s="3296"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66"/>
      <c r="B38" s="3297"/>
      <c r="C38" s="1651" t="s">
        <v>849</v>
      </c>
      <c r="D38" s="1771">
        <f>ROUNDDOWN(MIN(('数据-取费表'!$B$2-D37)/365,D34),1)</f>
        <v>119.6</v>
      </c>
      <c r="E38" s="1707" t="s">
        <v>850</v>
      </c>
      <c r="F38" s="1674"/>
      <c r="G38" s="1674"/>
      <c r="H38" s="1674"/>
      <c r="I38" s="1687"/>
      <c r="J38" s="1674"/>
      <c r="K38" s="1755"/>
      <c r="L38" s="1674"/>
      <c r="M38" s="1674"/>
      <c r="N38" s="1674"/>
      <c r="O38" s="1674"/>
      <c r="P38" s="1674"/>
      <c r="Q38" s="1674"/>
      <c r="R38" s="1674"/>
      <c r="S38" s="1674"/>
      <c r="T38" s="1674"/>
      <c r="U38" s="1674"/>
    </row>
    <row r="39" spans="1:21">
      <c r="A39" s="3267"/>
      <c r="B39" s="329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3010</v>
      </c>
      <c r="C40" s="1670" t="s">
        <v>3011</v>
      </c>
      <c r="D40" s="1670" t="s">
        <v>3012</v>
      </c>
      <c r="E40" s="1670" t="s">
        <v>3013</v>
      </c>
      <c r="F40" s="1670" t="s">
        <v>3014</v>
      </c>
      <c r="G40" s="1670" t="s">
        <v>3015</v>
      </c>
      <c r="H40" s="1670"/>
      <c r="I40" s="1687"/>
      <c r="J40" s="1674"/>
      <c r="K40" s="1710">
        <f>COUNTIF(B40:H40,"——")</f>
        <v>0</v>
      </c>
      <c r="L40" s="1679" t="s">
        <v>1977</v>
      </c>
      <c r="M40" s="1676" t="s">
        <v>1978</v>
      </c>
      <c r="N40" s="1676" t="s">
        <v>1979</v>
      </c>
      <c r="O40" s="1676" t="s">
        <v>1980</v>
      </c>
      <c r="P40" s="1676" t="s">
        <v>1981</v>
      </c>
      <c r="Q40" s="1676" t="s">
        <v>1982</v>
      </c>
      <c r="R40" s="1676" t="s">
        <v>1983</v>
      </c>
      <c r="S40" s="3279" t="s">
        <v>1984</v>
      </c>
      <c r="T40" s="1711" t="str">
        <f>NUMBERSTRING(7-K40,1)&amp;"通"</f>
        <v>七通</v>
      </c>
      <c r="U40" s="1674"/>
    </row>
    <row r="41" spans="1:21" ht="28.5">
      <c r="A41" s="1645"/>
      <c r="B41" s="3271" t="s">
        <v>1720</v>
      </c>
      <c r="C41" s="3271"/>
      <c r="D41" s="3271"/>
      <c r="E41" s="3271"/>
      <c r="F41" s="1712" t="str">
        <f>C10</f>
        <v>安徽省马鞍山市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通路、通电、通讯、通上水、通下水、燃气</v>
      </c>
      <c r="R41" s="1714" t="str">
        <f>B40&amp;"、"&amp;C40&amp;"、"&amp;D40&amp;"、"&amp;E40&amp;"、"&amp;F40&amp;"、"&amp;G40&amp;"、"&amp;H40</f>
        <v>通路、通电、通讯、通上水、通下水、燃气、</v>
      </c>
      <c r="S41" s="3279"/>
      <c r="T41" s="1713" t="str">
        <f>IF(T40="一通",L41,IF(T40="二通",M41,IF(T40="三通",N41,IF(T40="四通",O41,IF(T40="五通",P41,IF(T40="六通",Q41,R41))))))</f>
        <v>通路、通电、通讯、通上水、通下水、燃气、</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2890</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2005</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2006</v>
      </c>
      <c r="B48" s="1666" t="s">
        <v>2007</v>
      </c>
      <c r="C48" s="1666" t="s">
        <v>2008</v>
      </c>
      <c r="D48" s="1666" t="s">
        <v>2009</v>
      </c>
      <c r="E48" s="1666" t="s">
        <v>2010</v>
      </c>
      <c r="F48" s="1666" t="s">
        <v>2011</v>
      </c>
      <c r="G48" s="1666" t="s">
        <v>2012</v>
      </c>
      <c r="H48" s="1666" t="s">
        <v>2013</v>
      </c>
      <c r="I48" s="1666" t="s">
        <v>2014</v>
      </c>
      <c r="J48" s="1752" t="s">
        <v>2015</v>
      </c>
      <c r="K48" s="1746" t="s">
        <v>2016</v>
      </c>
      <c r="L48" s="1746" t="s">
        <v>2017</v>
      </c>
      <c r="M48" s="1746" t="s">
        <v>2018</v>
      </c>
      <c r="N48" s="1666" t="s">
        <v>2019</v>
      </c>
      <c r="O48" s="1666" t="s">
        <v>2020</v>
      </c>
      <c r="P48" s="1666" t="s">
        <v>2021</v>
      </c>
      <c r="Q48" s="1679" t="s">
        <v>2022</v>
      </c>
      <c r="R48" s="1679" t="s">
        <v>2023</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2332</v>
      </c>
      <c r="BA2" s="2321"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面积指标!H3</f>
        <v>27011.59</v>
      </c>
      <c r="B3" s="22">
        <f>IF(C3="否",G5-AT5,G5)</f>
        <v>67528.97</v>
      </c>
      <c r="C3" s="23" t="s">
        <v>3005</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67528.97</v>
      </c>
      <c r="H5" s="27">
        <f t="shared" ref="H5:AT5" si="0">SUM(H13:H641)</f>
        <v>67528.97</v>
      </c>
      <c r="I5" s="27">
        <f t="shared" si="0"/>
        <v>60776.07</v>
      </c>
      <c r="J5" s="27">
        <f t="shared" si="0"/>
        <v>0</v>
      </c>
      <c r="K5" s="27">
        <f t="shared" si="0"/>
        <v>6752.9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67528.97</v>
      </c>
      <c r="BA5" s="29">
        <f t="shared" si="1"/>
        <v>67528.97</v>
      </c>
      <c r="BB5" s="29">
        <f t="shared" si="1"/>
        <v>60776.07</v>
      </c>
      <c r="BC5" s="29">
        <f t="shared" si="1"/>
        <v>6752.9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27011.59</v>
      </c>
      <c r="F6" s="27" t="s">
        <v>1</v>
      </c>
      <c r="G6" s="27" t="s">
        <v>2</v>
      </c>
      <c r="H6" s="33">
        <f>SUMIF(I$12:AB$12,"总值",I6:AB6)</f>
        <v>27011.59</v>
      </c>
      <c r="I6" s="27">
        <f t="shared" ref="I6:AB6" si="2">ROUND($A$3*I5/$B$3,2)</f>
        <v>24310.43</v>
      </c>
      <c r="J6" s="27">
        <f t="shared" si="2"/>
        <v>0</v>
      </c>
      <c r="K6" s="27">
        <f t="shared" si="2"/>
        <v>2701.16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27011.59</v>
      </c>
      <c r="AZ6" s="27" t="s">
        <v>3</v>
      </c>
      <c r="BA6" s="27">
        <f>ROUND($AY$6*BA5/$AZ$5,2)</f>
        <v>27011.59</v>
      </c>
      <c r="BB6" s="27">
        <f>ROUND($AY$6*BB5/$AZ$5,2)</f>
        <v>24310.43</v>
      </c>
      <c r="BC6" s="27">
        <f t="shared" ref="BC6:BH6" si="4">ROUND($AY$6*BC5/$AZ$5,2)</f>
        <v>2701.16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3089</v>
      </c>
      <c r="J9" s="51"/>
      <c r="K9" s="2966" t="s">
        <v>3089</v>
      </c>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922</v>
      </c>
      <c r="J10" s="51"/>
      <c r="K10" s="2968" t="s">
        <v>3004</v>
      </c>
      <c r="L10" s="51"/>
      <c r="M10" s="2968"/>
      <c r="N10" s="51"/>
      <c r="O10" s="66"/>
      <c r="P10" s="51"/>
      <c r="Q10" s="66"/>
      <c r="R10" s="51"/>
      <c r="S10" s="66"/>
      <c r="T10" s="51"/>
      <c r="U10" s="66"/>
      <c r="V10" s="51"/>
      <c r="W10" s="66"/>
      <c r="X10" s="51"/>
      <c r="Y10" s="66"/>
      <c r="Z10" s="51"/>
      <c r="AA10" s="66"/>
      <c r="AB10" s="51"/>
      <c r="AC10" s="55"/>
      <c r="AD10" s="2295" t="s">
        <v>2316</v>
      </c>
      <c r="AE10" s="2317"/>
      <c r="AF10" s="2295" t="s">
        <v>2316</v>
      </c>
      <c r="AG10" s="2317"/>
      <c r="AH10" s="2295" t="s">
        <v>2317</v>
      </c>
      <c r="AI10" s="2317"/>
      <c r="AJ10" s="26" t="s">
        <v>2330</v>
      </c>
      <c r="AK10" s="2314"/>
      <c r="AL10" s="2295" t="s">
        <v>2318</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2329</v>
      </c>
      <c r="AE11" s="1000"/>
      <c r="AF11" s="2315" t="s">
        <v>2329</v>
      </c>
      <c r="AG11" s="1000"/>
      <c r="AH11" s="2315" t="s">
        <v>2328</v>
      </c>
      <c r="AI11" s="2316"/>
      <c r="AJ11" s="2315" t="s">
        <v>2328</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1"/>
      <c r="B13" s="2961"/>
      <c r="C13" s="2961"/>
      <c r="D13" s="2962" t="s">
        <v>1677</v>
      </c>
      <c r="E13" s="27">
        <f t="shared" ref="E13:E20" si="6">IF($C$3="是",ROUND($A$3*G13/$B$3,2),ROUND($A$3*(G13-AT13)/$B$3,2))</f>
        <v>27011.59</v>
      </c>
      <c r="F13" s="81"/>
      <c r="G13" s="82">
        <f t="shared" ref="G13:G20" si="7">H13+AC13+AT13</f>
        <v>67528.97</v>
      </c>
      <c r="H13" s="33">
        <f t="shared" ref="H13:H20" si="8">SUMIF(I$12:AB$12,"总值",I13:AB13)</f>
        <v>67528.97</v>
      </c>
      <c r="I13" s="2965">
        <f>面积指标!K3</f>
        <v>60776.07</v>
      </c>
      <c r="J13" s="2965"/>
      <c r="K13" s="2965">
        <f>面积指标!L3</f>
        <v>6752.9</v>
      </c>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f t="shared" si="10"/>
        <v>0</v>
      </c>
      <c r="AY13" s="994">
        <f t="shared" ref="AY13:AY20" si="11">ROUND($AY$6*AZ13/$AZ$5,2)</f>
        <v>27011.59</v>
      </c>
      <c r="AZ13" s="27">
        <f t="shared" ref="AZ13:AZ20" si="12">BA13+BL13</f>
        <v>67528.97</v>
      </c>
      <c r="BA13" s="27">
        <f t="shared" ref="BA13:BA20" si="13">SUM(BB13:BK13)</f>
        <v>67528.97</v>
      </c>
      <c r="BB13" s="27">
        <f t="shared" ref="BB13:BB20" si="14">IF($D13="是",I13-J13,0)</f>
        <v>60776.07</v>
      </c>
      <c r="BC13" s="27">
        <f t="shared" ref="BC13:BC20" si="15">IF($D13="是",K13-L13,0)</f>
        <v>6752.9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
  <sheetViews>
    <sheetView topLeftCell="C1" workbookViewId="0">
      <pane ySplit="2" topLeftCell="A3" activePane="bottomLeft" state="frozen"/>
      <selection pane="bottomLeft" activeCell="K22" sqref="K22"/>
    </sheetView>
  </sheetViews>
  <sheetFormatPr defaultRowHeight="12"/>
  <cols>
    <col min="1" max="1" width="3.875" style="3189" customWidth="1"/>
    <col min="2" max="2" width="18.75" style="3179" customWidth="1"/>
    <col min="3" max="3" width="15.875" style="3179" customWidth="1"/>
    <col min="4" max="4" width="21.375" style="3179" customWidth="1"/>
    <col min="5" max="5" width="7.625" style="3179" customWidth="1"/>
    <col min="6" max="6" width="11.5" style="3179" customWidth="1"/>
    <col min="7" max="7" width="12" style="3179" customWidth="1"/>
    <col min="8" max="8" width="9.625" style="3179" customWidth="1"/>
    <col min="9" max="9" width="7.75" style="3189" customWidth="1"/>
    <col min="10" max="10" width="10.875" style="3179" customWidth="1"/>
    <col min="11" max="11" width="11.75" style="3179" customWidth="1"/>
    <col min="12" max="12" width="11.875" style="3179" customWidth="1"/>
    <col min="13" max="14" width="0" style="3179" hidden="1" customWidth="1"/>
    <col min="15" max="15" width="14.625" style="3179" customWidth="1"/>
    <col min="16" max="16" width="18.25" style="3179" customWidth="1"/>
    <col min="17" max="17" width="11.5" style="3179" customWidth="1"/>
    <col min="18" max="18" width="9.375" style="3179" bestFit="1" customWidth="1"/>
    <col min="19" max="20" width="9" style="3179"/>
    <col min="21" max="22" width="9.375" style="3179" bestFit="1" customWidth="1"/>
    <col min="23" max="16384" width="9" style="3179"/>
  </cols>
  <sheetData>
    <row r="1" spans="1:25" ht="18" customHeight="1">
      <c r="A1" s="3311" t="s">
        <v>3016</v>
      </c>
      <c r="B1" s="3311" t="s">
        <v>3017</v>
      </c>
      <c r="C1" s="3309" t="s">
        <v>3018</v>
      </c>
      <c r="D1" s="3311" t="s">
        <v>3019</v>
      </c>
      <c r="E1" s="3309" t="s">
        <v>3020</v>
      </c>
      <c r="F1" s="3312" t="s">
        <v>3021</v>
      </c>
      <c r="G1" s="3312" t="s">
        <v>3022</v>
      </c>
      <c r="H1" s="3314" t="s">
        <v>3023</v>
      </c>
      <c r="I1" s="3309" t="s">
        <v>3024</v>
      </c>
      <c r="J1" s="3314" t="s">
        <v>3025</v>
      </c>
      <c r="K1" s="3311" t="s">
        <v>3026</v>
      </c>
      <c r="L1" s="3311"/>
      <c r="M1" s="3178" t="s">
        <v>3027</v>
      </c>
      <c r="N1" s="3178"/>
      <c r="O1" s="3309" t="s">
        <v>3028</v>
      </c>
      <c r="P1" s="3312" t="s">
        <v>3029</v>
      </c>
      <c r="Q1" s="3312" t="s">
        <v>3030</v>
      </c>
      <c r="R1" s="3312" t="s">
        <v>3031</v>
      </c>
      <c r="S1" s="3312" t="s">
        <v>3032</v>
      </c>
      <c r="T1" s="3312" t="s">
        <v>3033</v>
      </c>
      <c r="U1" s="3312" t="s">
        <v>3034</v>
      </c>
      <c r="V1" s="3312" t="s">
        <v>3035</v>
      </c>
      <c r="W1" s="3312" t="s">
        <v>3285</v>
      </c>
      <c r="X1" s="3312" t="s">
        <v>3286</v>
      </c>
      <c r="Y1" s="3312" t="s">
        <v>3287</v>
      </c>
    </row>
    <row r="2" spans="1:25" ht="18" customHeight="1">
      <c r="A2" s="3311"/>
      <c r="B2" s="3311"/>
      <c r="C2" s="3310"/>
      <c r="D2" s="3311"/>
      <c r="E2" s="3310"/>
      <c r="F2" s="3313"/>
      <c r="G2" s="3313"/>
      <c r="H2" s="3315"/>
      <c r="I2" s="3310"/>
      <c r="J2" s="3315"/>
      <c r="K2" s="3180" t="s">
        <v>3036</v>
      </c>
      <c r="L2" s="3181" t="s">
        <v>3037</v>
      </c>
      <c r="M2" s="3178"/>
      <c r="N2" s="3178"/>
      <c r="O2" s="3310"/>
      <c r="P2" s="3313"/>
      <c r="Q2" s="3313"/>
      <c r="R2" s="3313"/>
      <c r="S2" s="3313"/>
      <c r="T2" s="3313"/>
      <c r="U2" s="3313"/>
      <c r="V2" s="3313"/>
      <c r="W2" s="3313"/>
      <c r="X2" s="3313"/>
      <c r="Y2" s="3313"/>
    </row>
    <row r="3" spans="1:25" ht="18" customHeight="1">
      <c r="A3" s="3181">
        <v>1</v>
      </c>
      <c r="B3" s="3178" t="s">
        <v>3038</v>
      </c>
      <c r="C3" s="3182" t="s">
        <v>3288</v>
      </c>
      <c r="D3" s="3178" t="s">
        <v>3040</v>
      </c>
      <c r="E3" s="3181" t="s">
        <v>3041</v>
      </c>
      <c r="F3" s="3183">
        <v>43129</v>
      </c>
      <c r="G3" s="3183">
        <v>68621</v>
      </c>
      <c r="H3" s="3219">
        <v>27011.59</v>
      </c>
      <c r="I3" s="3181">
        <v>2.5</v>
      </c>
      <c r="J3" s="3217">
        <v>67528.97</v>
      </c>
      <c r="K3" s="3184">
        <f>J3-L3</f>
        <v>60776.07</v>
      </c>
      <c r="L3" s="3184">
        <f>ROUND(J3*10%,2)</f>
        <v>6752.9</v>
      </c>
      <c r="M3" s="3178">
        <v>21596</v>
      </c>
      <c r="N3" s="3178"/>
      <c r="O3" s="3178" t="s">
        <v>3042</v>
      </c>
      <c r="P3" s="3182" t="s">
        <v>3043</v>
      </c>
      <c r="Q3" s="3183">
        <v>43054</v>
      </c>
      <c r="R3" s="3185">
        <v>45450000</v>
      </c>
      <c r="S3" s="3178" t="s">
        <v>3044</v>
      </c>
      <c r="T3" s="3186">
        <v>40.517182414087934</v>
      </c>
      <c r="U3" s="3187">
        <v>43203</v>
      </c>
      <c r="V3" s="3187">
        <v>44298</v>
      </c>
      <c r="W3" s="3178">
        <v>3235</v>
      </c>
      <c r="X3" s="3178">
        <v>8087</v>
      </c>
      <c r="Y3" s="3178">
        <v>21845</v>
      </c>
    </row>
    <row r="4" spans="1:25" ht="18" customHeight="1">
      <c r="A4" s="3181">
        <v>2</v>
      </c>
      <c r="B4" s="3178" t="s">
        <v>3045</v>
      </c>
      <c r="C4" s="3178" t="s">
        <v>3046</v>
      </c>
      <c r="D4" s="3178" t="s">
        <v>3047</v>
      </c>
      <c r="E4" s="3181" t="s">
        <v>3048</v>
      </c>
      <c r="F4" s="3183">
        <v>43129</v>
      </c>
      <c r="G4" s="3183">
        <v>68621</v>
      </c>
      <c r="H4" s="3219">
        <v>6403.63</v>
      </c>
      <c r="I4" s="3181">
        <v>3</v>
      </c>
      <c r="J4" s="3217">
        <v>19210.89</v>
      </c>
      <c r="K4" s="3184">
        <f t="shared" ref="K4:K12" si="0">J4-L4</f>
        <v>17289.8</v>
      </c>
      <c r="L4" s="3184">
        <f t="shared" ref="L4:L12" si="1">ROUND(J4*10%,2)</f>
        <v>1921.09</v>
      </c>
      <c r="M4" s="3178">
        <v>5836</v>
      </c>
      <c r="N4" s="3178"/>
      <c r="O4" s="3178" t="s">
        <v>3049</v>
      </c>
      <c r="P4" s="3182" t="s">
        <v>3282</v>
      </c>
      <c r="Q4" s="3183">
        <v>43054</v>
      </c>
      <c r="R4" s="3185">
        <v>11180000</v>
      </c>
      <c r="S4" s="3178" t="s">
        <v>3050</v>
      </c>
      <c r="T4" s="3186">
        <v>9.61</v>
      </c>
      <c r="U4" s="3187">
        <v>43203</v>
      </c>
      <c r="V4" s="3187">
        <v>44298</v>
      </c>
      <c r="W4" s="3178">
        <v>3203</v>
      </c>
      <c r="X4" s="3178">
        <v>9609</v>
      </c>
      <c r="Y4" s="3178">
        <v>6153</v>
      </c>
    </row>
    <row r="5" spans="1:25" ht="18" customHeight="1">
      <c r="A5" s="3181">
        <v>3</v>
      </c>
      <c r="B5" s="3178" t="s">
        <v>3038</v>
      </c>
      <c r="C5" s="3182" t="s">
        <v>3039</v>
      </c>
      <c r="D5" s="3178" t="s">
        <v>3051</v>
      </c>
      <c r="E5" s="3181" t="s">
        <v>3041</v>
      </c>
      <c r="F5" s="3183">
        <v>43129</v>
      </c>
      <c r="G5" s="3183">
        <v>68621</v>
      </c>
      <c r="H5" s="3219">
        <v>54538.42</v>
      </c>
      <c r="I5" s="3181">
        <v>3</v>
      </c>
      <c r="J5" s="3217">
        <v>163615.26</v>
      </c>
      <c r="K5" s="3184">
        <f t="shared" si="0"/>
        <v>147253.73000000001</v>
      </c>
      <c r="L5" s="3184">
        <f t="shared" si="1"/>
        <v>16361.53</v>
      </c>
      <c r="M5" s="3178">
        <v>49708</v>
      </c>
      <c r="N5" s="3178"/>
      <c r="O5" s="3178" t="s">
        <v>3052</v>
      </c>
      <c r="P5" s="3182" t="s">
        <v>3053</v>
      </c>
      <c r="Q5" s="3183">
        <v>43054</v>
      </c>
      <c r="R5" s="3185">
        <v>95130000</v>
      </c>
      <c r="S5" s="3178" t="s">
        <v>3054</v>
      </c>
      <c r="T5" s="3186">
        <v>81.807220963895176</v>
      </c>
      <c r="U5" s="3187">
        <v>43203</v>
      </c>
      <c r="V5" s="3187">
        <v>44298</v>
      </c>
      <c r="W5" s="3178">
        <v>3267</v>
      </c>
      <c r="X5" s="3178">
        <v>9801</v>
      </c>
      <c r="Y5" s="3178">
        <v>53453</v>
      </c>
    </row>
    <row r="6" spans="1:25" ht="18" customHeight="1">
      <c r="A6" s="3181">
        <v>4</v>
      </c>
      <c r="B6" s="3178" t="s">
        <v>3038</v>
      </c>
      <c r="C6" s="3182" t="s">
        <v>3039</v>
      </c>
      <c r="D6" s="3178" t="s">
        <v>3055</v>
      </c>
      <c r="E6" s="3181" t="s">
        <v>3041</v>
      </c>
      <c r="F6" s="3183">
        <v>43129</v>
      </c>
      <c r="G6" s="3183">
        <v>68621</v>
      </c>
      <c r="H6" s="3219">
        <v>52273.04</v>
      </c>
      <c r="I6" s="3181">
        <v>2.5</v>
      </c>
      <c r="J6" s="3217">
        <v>130682.6</v>
      </c>
      <c r="K6" s="3184">
        <f t="shared" si="0"/>
        <v>117614.34000000001</v>
      </c>
      <c r="L6" s="3184">
        <f t="shared" si="1"/>
        <v>13068.26</v>
      </c>
      <c r="M6" s="3178"/>
      <c r="N6" s="3178"/>
      <c r="O6" s="3178" t="s">
        <v>3056</v>
      </c>
      <c r="P6" s="3182" t="s">
        <v>3057</v>
      </c>
      <c r="Q6" s="3183">
        <v>43054</v>
      </c>
      <c r="R6" s="3185">
        <v>91400000</v>
      </c>
      <c r="S6" s="3178" t="s">
        <v>3058</v>
      </c>
      <c r="T6" s="3186">
        <v>78.409167954160239</v>
      </c>
      <c r="U6" s="3187">
        <v>43203</v>
      </c>
      <c r="V6" s="3187">
        <v>44298</v>
      </c>
      <c r="W6" s="3178">
        <v>3267</v>
      </c>
      <c r="X6" s="3178">
        <v>8167</v>
      </c>
      <c r="Y6" s="3178">
        <v>42694</v>
      </c>
    </row>
    <row r="7" spans="1:25" ht="18" customHeight="1">
      <c r="A7" s="3181">
        <v>5</v>
      </c>
      <c r="B7" s="3178" t="s">
        <v>3038</v>
      </c>
      <c r="C7" s="3182" t="s">
        <v>3039</v>
      </c>
      <c r="D7" s="3178" t="s">
        <v>3059</v>
      </c>
      <c r="E7" s="3181" t="s">
        <v>3041</v>
      </c>
      <c r="F7" s="3183">
        <v>43129</v>
      </c>
      <c r="G7" s="3183">
        <v>68621</v>
      </c>
      <c r="H7" s="3219">
        <v>3926.73</v>
      </c>
      <c r="I7" s="3181">
        <v>3</v>
      </c>
      <c r="J7" s="3217">
        <v>11780.19</v>
      </c>
      <c r="K7" s="3184">
        <f t="shared" si="0"/>
        <v>10602.17</v>
      </c>
      <c r="L7" s="3184">
        <f t="shared" si="1"/>
        <v>1178.02</v>
      </c>
      <c r="M7" s="3178"/>
      <c r="N7" s="3178"/>
      <c r="O7" s="3178" t="s">
        <v>3060</v>
      </c>
      <c r="P7" s="3182" t="s">
        <v>3061</v>
      </c>
      <c r="Q7" s="3183">
        <v>43054</v>
      </c>
      <c r="R7" s="3185">
        <v>6870000</v>
      </c>
      <c r="S7" s="3178" t="s">
        <v>3062</v>
      </c>
      <c r="T7" s="3186">
        <v>5.8900655496722516</v>
      </c>
      <c r="U7" s="3187">
        <v>43203</v>
      </c>
      <c r="V7" s="3187">
        <v>44298</v>
      </c>
      <c r="W7" s="3178">
        <v>3203</v>
      </c>
      <c r="X7" s="3178">
        <v>9609</v>
      </c>
      <c r="Y7" s="3178">
        <v>3773</v>
      </c>
    </row>
    <row r="8" spans="1:25" ht="18" customHeight="1">
      <c r="A8" s="3181">
        <v>6</v>
      </c>
      <c r="B8" s="3178" t="s">
        <v>3038</v>
      </c>
      <c r="C8" s="3182" t="s">
        <v>3039</v>
      </c>
      <c r="D8" s="3178" t="s">
        <v>3063</v>
      </c>
      <c r="E8" s="3181" t="s">
        <v>3041</v>
      </c>
      <c r="F8" s="3183">
        <v>43129</v>
      </c>
      <c r="G8" s="3183">
        <v>68621</v>
      </c>
      <c r="H8" s="3219">
        <v>30013.43</v>
      </c>
      <c r="I8" s="3181">
        <v>3</v>
      </c>
      <c r="J8" s="3217">
        <v>90040.29</v>
      </c>
      <c r="K8" s="3184">
        <f t="shared" si="0"/>
        <v>81036.259999999995</v>
      </c>
      <c r="L8" s="3184">
        <f t="shared" si="1"/>
        <v>9004.0300000000007</v>
      </c>
      <c r="M8" s="3178"/>
      <c r="N8" s="3178"/>
      <c r="O8" s="3178" t="s">
        <v>3064</v>
      </c>
      <c r="P8" s="3182" t="s">
        <v>3065</v>
      </c>
      <c r="Q8" s="3183">
        <v>43054</v>
      </c>
      <c r="R8" s="3185">
        <v>52490000</v>
      </c>
      <c r="S8" s="3178" t="s">
        <v>3066</v>
      </c>
      <c r="T8" s="3186">
        <v>45.019919900400502</v>
      </c>
      <c r="U8" s="3187">
        <v>43203</v>
      </c>
      <c r="V8" s="3187">
        <v>44298</v>
      </c>
      <c r="W8" s="3178">
        <v>3203</v>
      </c>
      <c r="X8" s="3178">
        <v>9609</v>
      </c>
      <c r="Y8" s="3178">
        <v>28840</v>
      </c>
    </row>
    <row r="9" spans="1:25" ht="18" customHeight="1">
      <c r="A9" s="3181">
        <v>7</v>
      </c>
      <c r="B9" s="3178" t="s">
        <v>3067</v>
      </c>
      <c r="C9" s="3182" t="s">
        <v>3068</v>
      </c>
      <c r="D9" s="3178" t="s">
        <v>3069</v>
      </c>
      <c r="E9" s="3181" t="s">
        <v>3070</v>
      </c>
      <c r="F9" s="3183">
        <v>43129</v>
      </c>
      <c r="G9" s="3183">
        <v>68621</v>
      </c>
      <c r="H9" s="3219">
        <v>48118.38</v>
      </c>
      <c r="I9" s="3181">
        <v>2.5</v>
      </c>
      <c r="J9" s="3217">
        <v>120295.95</v>
      </c>
      <c r="K9" s="3184">
        <f t="shared" si="0"/>
        <v>108266.34999999999</v>
      </c>
      <c r="L9" s="3184">
        <f t="shared" si="1"/>
        <v>12029.6</v>
      </c>
      <c r="M9" s="3178"/>
      <c r="N9" s="3178"/>
      <c r="O9" s="3178" t="s">
        <v>3071</v>
      </c>
      <c r="P9" s="3182" t="s">
        <v>3072</v>
      </c>
      <c r="Q9" s="3183">
        <v>43054</v>
      </c>
      <c r="R9" s="3185">
        <v>83420000</v>
      </c>
      <c r="S9" s="3178" t="s">
        <v>3073</v>
      </c>
      <c r="T9" s="3186">
        <v>72.177209113954433</v>
      </c>
      <c r="U9" s="3187">
        <v>43203</v>
      </c>
      <c r="V9" s="3187">
        <v>44298</v>
      </c>
      <c r="W9" s="3178">
        <v>3267</v>
      </c>
      <c r="X9" s="3178">
        <v>8168</v>
      </c>
      <c r="Y9" s="3178">
        <v>39301</v>
      </c>
    </row>
    <row r="10" spans="1:25" ht="18" customHeight="1">
      <c r="A10" s="3181">
        <v>8</v>
      </c>
      <c r="B10" s="3178" t="s">
        <v>3074</v>
      </c>
      <c r="C10" s="3182" t="s">
        <v>3068</v>
      </c>
      <c r="D10" s="3178" t="s">
        <v>3075</v>
      </c>
      <c r="E10" s="3181" t="s">
        <v>3070</v>
      </c>
      <c r="F10" s="3183">
        <v>43129</v>
      </c>
      <c r="G10" s="3183">
        <v>68621</v>
      </c>
      <c r="H10" s="3219">
        <v>40860.379999999997</v>
      </c>
      <c r="I10" s="3181">
        <v>3</v>
      </c>
      <c r="J10" s="3217">
        <v>122581.14</v>
      </c>
      <c r="K10" s="3184">
        <f t="shared" si="0"/>
        <v>110323.03</v>
      </c>
      <c r="L10" s="3184">
        <f t="shared" si="1"/>
        <v>12258.11</v>
      </c>
      <c r="M10" s="3178"/>
      <c r="N10" s="3178"/>
      <c r="O10" s="3178" t="s">
        <v>3076</v>
      </c>
      <c r="P10" s="3182" t="s">
        <v>3077</v>
      </c>
      <c r="Q10" s="3183">
        <v>43054</v>
      </c>
      <c r="R10" s="3185">
        <v>69330000</v>
      </c>
      <c r="S10" s="3178" t="s">
        <v>3078</v>
      </c>
      <c r="T10" s="3186">
        <v>61.290263548682255</v>
      </c>
      <c r="U10" s="3187">
        <v>43203</v>
      </c>
      <c r="V10" s="3187">
        <v>44298</v>
      </c>
      <c r="W10" s="3178">
        <v>3235</v>
      </c>
      <c r="X10" s="3178">
        <v>9705</v>
      </c>
      <c r="Y10" s="3178">
        <v>39655</v>
      </c>
    </row>
    <row r="11" spans="1:25" ht="18" customHeight="1">
      <c r="A11" s="3181">
        <v>9</v>
      </c>
      <c r="B11" s="3178" t="s">
        <v>3074</v>
      </c>
      <c r="C11" s="3182" t="s">
        <v>3068</v>
      </c>
      <c r="D11" s="3178" t="s">
        <v>3079</v>
      </c>
      <c r="E11" s="3181" t="s">
        <v>3070</v>
      </c>
      <c r="F11" s="3183">
        <v>43129</v>
      </c>
      <c r="G11" s="3183">
        <v>68621</v>
      </c>
      <c r="H11" s="3219">
        <v>30220.080000000002</v>
      </c>
      <c r="I11" s="3181">
        <v>3</v>
      </c>
      <c r="J11" s="3217">
        <v>90660.24</v>
      </c>
      <c r="K11" s="3184">
        <f t="shared" si="0"/>
        <v>81594.22</v>
      </c>
      <c r="L11" s="3184">
        <f t="shared" si="1"/>
        <v>9066.02</v>
      </c>
      <c r="M11" s="3178"/>
      <c r="N11" s="3178"/>
      <c r="O11" s="3178" t="s">
        <v>3080</v>
      </c>
      <c r="P11" s="3182" t="s">
        <v>3081</v>
      </c>
      <c r="Q11" s="3183">
        <v>43054</v>
      </c>
      <c r="R11" s="3185">
        <v>51310000</v>
      </c>
      <c r="S11" s="3178" t="s">
        <v>3082</v>
      </c>
      <c r="T11" s="3186">
        <v>45.329893350533254</v>
      </c>
      <c r="U11" s="3187">
        <v>43203</v>
      </c>
      <c r="V11" s="3187">
        <v>44298</v>
      </c>
      <c r="W11" s="3178">
        <v>3203</v>
      </c>
      <c r="X11" s="3178">
        <v>9609</v>
      </c>
      <c r="Y11" s="3178">
        <v>29038</v>
      </c>
    </row>
    <row r="12" spans="1:25" ht="18" customHeight="1">
      <c r="A12" s="3181">
        <v>10</v>
      </c>
      <c r="B12" s="3178" t="s">
        <v>3083</v>
      </c>
      <c r="C12" s="3182" t="s">
        <v>3068</v>
      </c>
      <c r="D12" s="3178" t="s">
        <v>3084</v>
      </c>
      <c r="E12" s="3181" t="s">
        <v>3070</v>
      </c>
      <c r="F12" s="3183">
        <v>43129</v>
      </c>
      <c r="G12" s="3183">
        <v>68621</v>
      </c>
      <c r="H12" s="3219">
        <v>22491</v>
      </c>
      <c r="I12" s="3181">
        <v>3.5</v>
      </c>
      <c r="J12" s="3217">
        <v>78718.5</v>
      </c>
      <c r="K12" s="3184">
        <f t="shared" si="0"/>
        <v>70846.649999999994</v>
      </c>
      <c r="L12" s="3184">
        <f t="shared" si="1"/>
        <v>7871.85</v>
      </c>
      <c r="M12" s="3178"/>
      <c r="N12" s="3178"/>
      <c r="O12" s="3178" t="s">
        <v>3085</v>
      </c>
      <c r="P12" s="3182" t="s">
        <v>3086</v>
      </c>
      <c r="Q12" s="3183">
        <v>43054</v>
      </c>
      <c r="R12" s="3185">
        <v>43780000</v>
      </c>
      <c r="S12" s="3178" t="s">
        <v>3087</v>
      </c>
      <c r="T12" s="3186">
        <v>33.73633131834341</v>
      </c>
      <c r="U12" s="3187">
        <v>43203</v>
      </c>
      <c r="V12" s="3187">
        <v>44298</v>
      </c>
      <c r="W12" s="3178">
        <v>3170</v>
      </c>
      <c r="X12" s="3178">
        <v>11095</v>
      </c>
      <c r="Y12" s="3178">
        <v>24954</v>
      </c>
    </row>
    <row r="13" spans="1:25" ht="18" customHeight="1">
      <c r="A13" s="3181" t="s">
        <v>3088</v>
      </c>
      <c r="B13" s="3178"/>
      <c r="C13" s="3178"/>
      <c r="D13" s="3178"/>
      <c r="E13" s="3178"/>
      <c r="F13" s="3178"/>
      <c r="G13" s="3178"/>
      <c r="H13" s="3219">
        <f>SUM(H3:H12)</f>
        <v>315856.68</v>
      </c>
      <c r="I13" s="3181"/>
      <c r="J13" s="3218">
        <f>SUM(J3:J12)</f>
        <v>895114.02999999991</v>
      </c>
      <c r="K13" s="3184">
        <f>SUM(K3:K12)</f>
        <v>805602.62</v>
      </c>
      <c r="L13" s="3184">
        <f>SUM(L3:L12)</f>
        <v>89511.41</v>
      </c>
      <c r="M13" s="3178">
        <f>SUM(M3:M5)</f>
        <v>77140</v>
      </c>
      <c r="N13" s="3178"/>
      <c r="O13" s="3178"/>
      <c r="P13" s="3178"/>
      <c r="Q13" s="3178"/>
      <c r="R13" s="3178">
        <f>SUM(R3:R12)</f>
        <v>550360000</v>
      </c>
      <c r="S13" s="3178"/>
      <c r="T13" s="3178"/>
      <c r="U13" s="3188"/>
      <c r="V13" s="3188"/>
      <c r="W13" s="3178"/>
      <c r="X13" s="3178"/>
      <c r="Y13" s="3178">
        <v>289706</v>
      </c>
    </row>
    <row r="14" spans="1:25">
      <c r="K14" s="3190">
        <f>K13+L13</f>
        <v>895114.03</v>
      </c>
      <c r="R14" s="3179">
        <f>R13/10000</f>
        <v>55036</v>
      </c>
    </row>
    <row r="18" spans="13:13">
      <c r="M18" s="3189"/>
    </row>
  </sheetData>
  <mergeCells count="22">
    <mergeCell ref="W1:W2"/>
    <mergeCell ref="X1:X2"/>
    <mergeCell ref="Y1:Y2"/>
    <mergeCell ref="V1:V2"/>
    <mergeCell ref="P1:P2"/>
    <mergeCell ref="Q1:Q2"/>
    <mergeCell ref="R1:R2"/>
    <mergeCell ref="S1:S2"/>
    <mergeCell ref="T1:T2"/>
    <mergeCell ref="U1:U2"/>
    <mergeCell ref="O1:O2"/>
    <mergeCell ref="A1:A2"/>
    <mergeCell ref="B1:B2"/>
    <mergeCell ref="C1:C2"/>
    <mergeCell ref="D1:D2"/>
    <mergeCell ref="E1:E2"/>
    <mergeCell ref="F1:F2"/>
    <mergeCell ref="G1:G2"/>
    <mergeCell ref="H1:H2"/>
    <mergeCell ref="I1:I2"/>
    <mergeCell ref="J1:J2"/>
    <mergeCell ref="K1:L1"/>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2" sqref="J32"/>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25" t="s">
        <v>203</v>
      </c>
      <c r="B2" s="3325"/>
      <c r="C2" s="3325"/>
      <c r="D2" s="1956" t="s">
        <v>204</v>
      </c>
      <c r="E2" s="106" t="s">
        <v>205</v>
      </c>
      <c r="F2" s="1965"/>
      <c r="G2" s="1192"/>
      <c r="H2" s="1193"/>
      <c r="I2" s="1194" t="s">
        <v>856</v>
      </c>
      <c r="J2" s="1965"/>
      <c r="K2" s="1965"/>
      <c r="L2" s="1965"/>
    </row>
    <row r="3" spans="1:16" ht="15.75" thickBot="1">
      <c r="A3" s="3326" t="s">
        <v>206</v>
      </c>
      <c r="B3" s="3326"/>
      <c r="C3" s="3326"/>
      <c r="D3" s="107">
        <f>'数据-基础表'!AY6</f>
        <v>27011.59</v>
      </c>
      <c r="E3" s="107">
        <f>'数据-基础表'!AZ5</f>
        <v>67528.97</v>
      </c>
      <c r="F3" s="1965"/>
      <c r="G3" s="279" t="s">
        <v>857</v>
      </c>
      <c r="H3" s="274" t="s">
        <v>858</v>
      </c>
      <c r="I3" s="1957">
        <f>ROUND('数据-基础表'!B3/'数据-基础表'!A3,2)</f>
        <v>2.5</v>
      </c>
      <c r="J3" s="1965"/>
      <c r="K3" s="1965"/>
      <c r="L3" s="1965"/>
    </row>
    <row r="4" spans="1:16" ht="15">
      <c r="A4" s="3327"/>
      <c r="B4" s="3328"/>
      <c r="C4" s="3329"/>
      <c r="D4" s="108" t="s">
        <v>204</v>
      </c>
      <c r="E4" s="109" t="s">
        <v>205</v>
      </c>
      <c r="F4" s="1965"/>
      <c r="G4" s="1195"/>
      <c r="H4" s="274" t="s">
        <v>859</v>
      </c>
      <c r="I4" s="1957">
        <f>ROUND(SUMIF('数据-基础表'!I9:AS9,"地上",'数据-基础表'!I5:AS5)/'数据-基础表'!A3,2)</f>
        <v>2.5</v>
      </c>
      <c r="J4" s="1965"/>
      <c r="K4" s="1965"/>
      <c r="L4" s="1965"/>
    </row>
    <row r="5" spans="1:16">
      <c r="A5" s="110" t="s">
        <v>207</v>
      </c>
      <c r="B5" s="3330" t="s">
        <v>230</v>
      </c>
      <c r="C5" s="3330"/>
      <c r="D5" s="111">
        <f>ROUND($D$3*E5/$E$3,2)</f>
        <v>24310.43</v>
      </c>
      <c r="E5" s="112">
        <f>SUMIF('数据-基础表'!$11:$11,"住宅",'数据-基础表'!$5:$5)</f>
        <v>60776.07</v>
      </c>
      <c r="F5" s="1965"/>
      <c r="G5" s="279" t="s">
        <v>860</v>
      </c>
      <c r="H5" s="274" t="s">
        <v>858</v>
      </c>
      <c r="I5" s="1957">
        <f>ROUND(E31/D31,2)</f>
        <v>2.5</v>
      </c>
      <c r="J5" s="1965"/>
      <c r="K5" s="1965"/>
      <c r="L5" s="1965"/>
    </row>
    <row r="6" spans="1:16" ht="15" thickBot="1">
      <c r="A6" s="113"/>
      <c r="B6" s="3330" t="s">
        <v>208</v>
      </c>
      <c r="C6" s="3330"/>
      <c r="D6" s="111">
        <f>ROUND($D$3*E6/$E$3,2)</f>
        <v>2701.16</v>
      </c>
      <c r="E6" s="112">
        <f>E3-E5</f>
        <v>6752.9000000000015</v>
      </c>
      <c r="F6" s="1965"/>
      <c r="G6" s="1195"/>
      <c r="H6" s="274" t="s">
        <v>859</v>
      </c>
      <c r="I6" s="1957">
        <f>ROUND(F31/D31,2)</f>
        <v>2.5</v>
      </c>
      <c r="J6" s="1965"/>
      <c r="K6" s="1965"/>
      <c r="L6" s="1965"/>
    </row>
    <row r="7" spans="1:16" ht="15">
      <c r="A7" s="3322"/>
      <c r="B7" s="3323"/>
      <c r="C7" s="3324"/>
      <c r="D7" s="108" t="s">
        <v>204</v>
      </c>
      <c r="E7" s="114" t="s">
        <v>231</v>
      </c>
      <c r="F7" s="1965"/>
      <c r="G7" s="1150" t="s">
        <v>1644</v>
      </c>
      <c r="H7" s="1151"/>
      <c r="I7" s="1827"/>
      <c r="J7" s="1965"/>
      <c r="K7" s="1965"/>
      <c r="L7" s="1965"/>
    </row>
    <row r="8" spans="1:16">
      <c r="A8" s="110" t="s">
        <v>209</v>
      </c>
      <c r="B8" s="115" t="s">
        <v>210</v>
      </c>
      <c r="C8" s="111" t="s">
        <v>211</v>
      </c>
      <c r="D8" s="111">
        <f t="shared" ref="D8:D15" si="0">ROUND($D$3*E8/$E$3,2)</f>
        <v>27011.59</v>
      </c>
      <c r="E8" s="116">
        <f>SUMIF('数据-基础表'!BB10:BK10,"地上",'数据-基础表'!BB5:BK5)</f>
        <v>67528.97</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2326</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2333</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27011.59</v>
      </c>
      <c r="E16" s="120">
        <f>SUM(E8:E15)</f>
        <v>67528.97</v>
      </c>
      <c r="F16" s="1965"/>
      <c r="G16" s="1967"/>
      <c r="H16" s="966" t="s">
        <v>219</v>
      </c>
      <c r="I16" s="967"/>
      <c r="J16" s="1965"/>
      <c r="K16" s="3316" t="s">
        <v>2565</v>
      </c>
      <c r="L16" s="3317"/>
      <c r="M16" s="3317"/>
      <c r="N16" s="3317"/>
      <c r="O16" s="3317"/>
      <c r="P16" s="3318"/>
    </row>
    <row r="17" spans="1:19" ht="15">
      <c r="A17" s="121" t="s">
        <v>216</v>
      </c>
      <c r="B17" s="122" t="s">
        <v>217</v>
      </c>
      <c r="C17" s="2279" t="s">
        <v>2312</v>
      </c>
      <c r="D17" s="108" t="s">
        <v>204</v>
      </c>
      <c r="E17" s="124" t="s">
        <v>205</v>
      </c>
      <c r="F17" s="125"/>
      <c r="G17" s="1360"/>
      <c r="H17" s="968" t="s">
        <v>218</v>
      </c>
      <c r="I17" s="969" t="s">
        <v>2311</v>
      </c>
      <c r="J17" s="1965"/>
      <c r="K17" s="3319" t="s">
        <v>2566</v>
      </c>
      <c r="L17" s="3320"/>
      <c r="M17" s="3321"/>
      <c r="N17" s="3319" t="s">
        <v>2567</v>
      </c>
      <c r="O17" s="3320"/>
      <c r="P17" s="3321"/>
      <c r="R17" s="2280" t="s">
        <v>2310</v>
      </c>
      <c r="S17" s="144"/>
    </row>
    <row r="18" spans="1:19" ht="15">
      <c r="A18" s="117"/>
      <c r="B18" s="128"/>
      <c r="C18" s="129"/>
      <c r="D18" s="2602"/>
      <c r="E18" s="130" t="s">
        <v>220</v>
      </c>
      <c r="F18" s="131" t="s">
        <v>221</v>
      </c>
      <c r="G18" s="1361" t="s">
        <v>222</v>
      </c>
      <c r="H18" s="970" t="s">
        <v>223</v>
      </c>
      <c r="I18" s="971" t="s">
        <v>224</v>
      </c>
      <c r="J18" s="1965"/>
      <c r="K18" s="2565" t="s">
        <v>2568</v>
      </c>
      <c r="L18" s="2566" t="s">
        <v>2569</v>
      </c>
      <c r="M18" s="2567" t="s">
        <v>2570</v>
      </c>
      <c r="N18" s="2565" t="s">
        <v>2568</v>
      </c>
      <c r="O18" s="2566" t="s">
        <v>2569</v>
      </c>
      <c r="P18" s="2567" t="s">
        <v>2570</v>
      </c>
      <c r="R18" s="2281" t="s">
        <v>2308</v>
      </c>
      <c r="S18" s="2281" t="s">
        <v>2309</v>
      </c>
    </row>
    <row r="19" spans="1:19">
      <c r="A19" s="133"/>
      <c r="B19" s="115" t="s">
        <v>225</v>
      </c>
      <c r="C19" s="2972" t="s">
        <v>3090</v>
      </c>
      <c r="D19" s="111">
        <f t="shared" ref="D19:D26" si="1">ROUND($D$3*E19/$E$3,2)</f>
        <v>24310.43</v>
      </c>
      <c r="E19" s="134">
        <f t="shared" ref="E19:E26" si="2">SUM(F19:G19)</f>
        <v>60776.07</v>
      </c>
      <c r="F19" s="135">
        <f>'数据-基础表'!I13</f>
        <v>60776.07</v>
      </c>
      <c r="G19" s="1362"/>
      <c r="H19" s="972">
        <f>ROUND($D$3*I19/$E$3,2)</f>
        <v>0</v>
      </c>
      <c r="I19" s="116">
        <f>IF($I$17="自定义",P19,M19)</f>
        <v>0</v>
      </c>
      <c r="J19" s="1965"/>
      <c r="K19" s="2568">
        <f t="shared" ref="K19:K26" si="3">ROUND(E$28*E19/E$27,2)</f>
        <v>0</v>
      </c>
      <c r="L19" s="274">
        <f t="shared" ref="L19:L26" si="4">ROUND(IF(COUNTIF(C19,"*住宅*")&gt;0,E$29*E19/E$32,0),2)</f>
        <v>0</v>
      </c>
      <c r="M19" s="2569">
        <f>K19+L19</f>
        <v>0</v>
      </c>
      <c r="N19" s="2570"/>
      <c r="O19" s="2571"/>
      <c r="P19" s="2572">
        <f>N19+O19</f>
        <v>0</v>
      </c>
      <c r="R19" s="274">
        <f t="shared" ref="R19:S26" si="5">D19+H19</f>
        <v>24310.43</v>
      </c>
      <c r="S19" s="2282">
        <f t="shared" si="5"/>
        <v>60776.07</v>
      </c>
    </row>
    <row r="20" spans="1:19">
      <c r="A20" s="138"/>
      <c r="B20" s="115" t="s">
        <v>226</v>
      </c>
      <c r="C20" s="2972" t="s">
        <v>3091</v>
      </c>
      <c r="D20" s="111">
        <f t="shared" si="1"/>
        <v>2701.16</v>
      </c>
      <c r="E20" s="134">
        <f t="shared" si="2"/>
        <v>6752.9</v>
      </c>
      <c r="F20" s="135">
        <f>'数据-基础表'!K13</f>
        <v>6752.9</v>
      </c>
      <c r="G20" s="1362"/>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2701.16</v>
      </c>
      <c r="S20" s="2282">
        <f t="shared" si="5"/>
        <v>6752.9</v>
      </c>
    </row>
    <row r="21" spans="1:19">
      <c r="A21" s="138"/>
      <c r="B21" s="115" t="s">
        <v>226</v>
      </c>
      <c r="C21" s="2972"/>
      <c r="D21" s="111">
        <f t="shared" si="1"/>
        <v>0</v>
      </c>
      <c r="E21" s="134">
        <f t="shared" si="2"/>
        <v>0</v>
      </c>
      <c r="F21" s="135"/>
      <c r="G21" s="1362"/>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c r="A22" s="138"/>
      <c r="B22" s="115" t="s">
        <v>226</v>
      </c>
      <c r="C22" s="1359"/>
      <c r="D22" s="111">
        <f t="shared" si="1"/>
        <v>0</v>
      </c>
      <c r="E22" s="134">
        <f t="shared" si="2"/>
        <v>0</v>
      </c>
      <c r="F22" s="140"/>
      <c r="G22" s="1363"/>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3"/>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3"/>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75" thickBot="1">
      <c r="A27" s="138"/>
      <c r="B27" s="111"/>
      <c r="C27" s="127" t="s">
        <v>215</v>
      </c>
      <c r="D27" s="134">
        <f>SUM(D19:D26)</f>
        <v>27011.59</v>
      </c>
      <c r="E27" s="143">
        <f>IF(SUM(E19:E26)='数据-基础表'!BA5,SUM(E19:E26),IF(F27="地上面积有误","面积有误","地下面积有误"))</f>
        <v>67528.97</v>
      </c>
      <c r="F27" s="134">
        <f>IF(SUM(F19:F26)=E8,SUM(F19:F26),"地上面积有误")</f>
        <v>67528.97</v>
      </c>
      <c r="G27" s="112">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27011.59</v>
      </c>
      <c r="S27" s="274">
        <f>IF(SUM(S19:S26)=$E$3,SUM(S19:S26),SUM(S19:S26)&amp;"误差"&amp;ROUND(SUM(S19:S26)-E3,2))</f>
        <v>67528.97</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2319</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4"/>
      <c r="B31" s="1365" t="s">
        <v>229</v>
      </c>
      <c r="C31" s="2311" t="s">
        <v>2321</v>
      </c>
      <c r="D31" s="1366">
        <f>D27+D30</f>
        <v>27011.59</v>
      </c>
      <c r="E31" s="1366">
        <f>E27+E30</f>
        <v>67528.97</v>
      </c>
      <c r="F31" s="1367">
        <f>F27+F30</f>
        <v>67528.97</v>
      </c>
      <c r="G31" s="1368">
        <f>G27+G30</f>
        <v>0</v>
      </c>
      <c r="H31" s="1965"/>
      <c r="I31" s="1965"/>
      <c r="J31" s="1965"/>
      <c r="K31" s="1965"/>
      <c r="L31" s="1965"/>
    </row>
    <row r="32" spans="1:19">
      <c r="A32" s="1965"/>
      <c r="B32" s="2323" t="s">
        <v>2320</v>
      </c>
      <c r="C32" s="2607"/>
      <c r="D32" s="1195"/>
      <c r="E32" s="1195">
        <f>SUMIF(C19:C26,"*住宅*",E19:E26)</f>
        <v>60776.07</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1" sqref="F3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43656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0.5">
      <c r="A5" s="2285"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2826</v>
      </c>
      <c r="O5" s="163" t="s">
        <v>246</v>
      </c>
      <c r="P5" s="165" t="s">
        <v>247</v>
      </c>
      <c r="Q5" s="166" t="s">
        <v>248</v>
      </c>
      <c r="R5" s="167" t="s">
        <v>249</v>
      </c>
      <c r="S5" s="2581" t="s">
        <v>2571</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2322</v>
      </c>
      <c r="AI5" s="171" t="s">
        <v>2291</v>
      </c>
      <c r="AJ5" s="171" t="s">
        <v>258</v>
      </c>
      <c r="AK5" s="159" t="s">
        <v>259</v>
      </c>
      <c r="AL5" s="159" t="s">
        <v>260</v>
      </c>
      <c r="AM5" s="172" t="s">
        <v>261</v>
      </c>
      <c r="AN5" s="2351" t="s">
        <v>2372</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922</v>
      </c>
      <c r="D6" s="2289">
        <f>SUMIF(项目基本情况!D$15:I$15,C6,项目基本情况!D$18:I$18)</f>
        <v>70</v>
      </c>
      <c r="E6" s="2290">
        <f>IF(B6="","",SUMIF(项目基本情况!D$15:I$15,C6,项目基本情况!D$17:I$17))</f>
        <v>68621</v>
      </c>
      <c r="F6" s="174">
        <f>SUMIF(项目基本情况!D$15:I$15,C6,项目基本情况!D$19:I$19)</f>
        <v>68.39</v>
      </c>
      <c r="G6" s="175">
        <f>IF(ISERROR(ROUND(POWER(1+H6,D6-F6)*(POWER(1+H6,F6)-1)/(POWER(1+H6,D6)-1),3)),0,ROUND(POWER(1+H6,D6-F6)*(POWER(1+H6,F6)-1)/(POWER(1+H6,D6)-1),3))</f>
        <v>0.996</v>
      </c>
      <c r="H6" s="2973">
        <v>4.4999999999999998E-2</v>
      </c>
      <c r="I6" s="2973">
        <v>0.05</v>
      </c>
      <c r="J6" s="176">
        <v>8.5000000000000006E-2</v>
      </c>
      <c r="K6" s="179">
        <f>SUMIF('数据-汇总表'!C$19:C$33,'数据-取费表'!A6,'数据-汇总表'!E$19:E$33)</f>
        <v>60776.07</v>
      </c>
      <c r="L6" s="2974">
        <v>1800</v>
      </c>
      <c r="M6" s="177">
        <f t="shared" ref="M6:M14" si="0">ROUND(K6*L6/10000,0)</f>
        <v>10940</v>
      </c>
      <c r="N6" s="2975">
        <v>0</v>
      </c>
      <c r="O6" s="177">
        <f>IF($N$5="成新度","——",ROUND(M6*N6,0))</f>
        <v>0</v>
      </c>
      <c r="P6" s="178">
        <f>IF($N$5="成新度","——",M6-O6)</f>
        <v>10940</v>
      </c>
      <c r="Q6" s="2976">
        <v>0.1</v>
      </c>
      <c r="R6" s="179">
        <f>SUMIF('数据-汇总表'!C$19:C$33,A6,'数据-汇总表'!R$19:R$33)</f>
        <v>24310.43</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7"/>
      <c r="AN6" s="2352"/>
      <c r="AO6" s="1981"/>
      <c r="AP6" s="1198">
        <f>ROUND(1-1/(1+H6)^F6,3)</f>
        <v>0.95099999999999996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商业</v>
      </c>
      <c r="B7" s="2318" t="str">
        <f t="shared" ref="B7:B13" si="1">IF(A7=0,"","经营性")</f>
        <v>经营性</v>
      </c>
      <c r="C7" s="173" t="s">
        <v>3004</v>
      </c>
      <c r="D7" s="2289">
        <f>SUMIF(项目基本情况!D$15:I$15,C7,项目基本情况!D$18:I$18)</f>
        <v>40</v>
      </c>
      <c r="E7" s="2290">
        <f>IF(B7="","",SUMIF(项目基本情况!D$15:I$15,C7,项目基本情况!D$17:I$17))</f>
        <v>57664</v>
      </c>
      <c r="F7" s="174">
        <f>SUMIF(项目基本情况!D$15:I$15,C7,项目基本情况!D$19:I$19)</f>
        <v>38.369999999999997</v>
      </c>
      <c r="G7" s="175">
        <f t="shared" ref="G7:G11" si="2">IF(ISERROR(ROUND(POWER(1+H7,D7-F7)*(POWER(1+H7,F7)-1)/(POWER(1+H7,D7)-1),3)),0,ROUND(POWER(1+H7,D7-F7)*(POWER(1+H7,F7)-1)/(POWER(1+H7,D7)-1),3))</f>
        <v>0.98599999999999999</v>
      </c>
      <c r="H7" s="2973">
        <v>0.05</v>
      </c>
      <c r="I7" s="2973">
        <v>5.5E-2</v>
      </c>
      <c r="J7" s="176">
        <v>8.5000000000000006E-2</v>
      </c>
      <c r="K7" s="179">
        <f>SUMIF('数据-汇总表'!C$19:C$33,'数据-取费表'!A7,'数据-汇总表'!E$19:E$33)</f>
        <v>6752.9</v>
      </c>
      <c r="L7" s="2974">
        <v>2000</v>
      </c>
      <c r="M7" s="177">
        <f t="shared" si="0"/>
        <v>1351</v>
      </c>
      <c r="N7" s="2975">
        <v>0</v>
      </c>
      <c r="O7" s="177">
        <f t="shared" ref="O7:O14" si="3">IF($N$5="成新度","——",ROUND(M7*N7,0))</f>
        <v>0</v>
      </c>
      <c r="P7" s="178">
        <f t="shared" ref="P7:P14" si="4">IF($N$5="成新度","——",M7-O7)</f>
        <v>1351</v>
      </c>
      <c r="Q7" s="2976">
        <v>0.1</v>
      </c>
      <c r="R7" s="179">
        <f>SUMIF('数据-汇总表'!C$19:C$33,A7,'数据-汇总表'!R$19:R$33)</f>
        <v>2701.16</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v>1.7</v>
      </c>
      <c r="V7" s="181">
        <v>0.03</v>
      </c>
      <c r="W7" s="181">
        <v>0.1</v>
      </c>
      <c r="X7" s="2302"/>
      <c r="Y7" s="182">
        <v>1</v>
      </c>
      <c r="Z7" s="183"/>
      <c r="AA7" s="176"/>
      <c r="AB7" s="176"/>
      <c r="AC7" s="2305"/>
      <c r="AD7" s="184"/>
      <c r="AE7" s="970">
        <f t="shared" ref="AE7:AE13" ca="1" si="6">IF(AN7="",0,SUMIF(INDIRECT("'"&amp;AN7&amp;"'"&amp;"!E:E"),$AE$5,INDIRECT("'"&amp;AN7&amp;"'"&amp;"!F:F")))</f>
        <v>36.869999999999997</v>
      </c>
      <c r="AF7" s="141"/>
      <c r="AG7" s="1207">
        <f t="shared" ref="AG7:AG13" si="7">IF(AF7="",0,AE7-AF7)</f>
        <v>0</v>
      </c>
      <c r="AH7" s="141"/>
      <c r="AI7" s="187">
        <v>365</v>
      </c>
      <c r="AJ7" s="188"/>
      <c r="AK7" s="189">
        <v>1.4999999999999999E-2</v>
      </c>
      <c r="AL7" s="190">
        <v>1.5E-3</v>
      </c>
      <c r="AM7" s="2350">
        <v>0.01</v>
      </c>
      <c r="AN7" s="2352" t="s">
        <v>3092</v>
      </c>
      <c r="AO7" s="1981"/>
      <c r="AP7" s="1198">
        <f t="shared" ref="AP7:AP13" si="8">ROUND(1-1/(1+H7)^F7,3)</f>
        <v>0.84599999999999997</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hidden="1">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3"/>
      <c r="I8" s="2973"/>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0">
        <f t="shared" ca="1" si="6"/>
        <v>0</v>
      </c>
      <c r="AF8" s="141"/>
      <c r="AG8" s="1207">
        <f t="shared" si="7"/>
        <v>0</v>
      </c>
      <c r="AH8" s="141"/>
      <c r="AI8" s="187"/>
      <c r="AJ8" s="188"/>
      <c r="AK8" s="189"/>
      <c r="AL8" s="190"/>
      <c r="AM8" s="2350"/>
      <c r="AN8" s="2352"/>
      <c r="AO8" s="1981"/>
      <c r="AP8" s="1198">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7">
        <f t="shared" si="7"/>
        <v>0</v>
      </c>
      <c r="AH9" s="141"/>
      <c r="AI9" s="187"/>
      <c r="AJ9" s="188"/>
      <c r="AK9" s="189"/>
      <c r="AL9" s="190"/>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2313</v>
      </c>
      <c r="B14" s="2287" t="s">
        <v>1678</v>
      </c>
      <c r="C14" s="2288" t="s">
        <v>2313</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7"/>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2315</v>
      </c>
      <c r="B15" s="2287" t="s">
        <v>1678</v>
      </c>
      <c r="C15" s="2288" t="s">
        <v>2314</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67528.97</v>
      </c>
      <c r="L16" s="206">
        <f>ROUND(M16*10000/SUM(K6:K14),0)</f>
        <v>1820</v>
      </c>
      <c r="M16" s="206">
        <f>SUM(M6:M14)</f>
        <v>12291</v>
      </c>
      <c r="N16" s="207">
        <f>ROUND(SUMPRODUCT(M6:M14,N6:N14)/M16,3)</f>
        <v>0</v>
      </c>
      <c r="O16" s="206">
        <f>SUM(O6:O14)</f>
        <v>0</v>
      </c>
      <c r="P16" s="206">
        <f>SUM(P6:P14)</f>
        <v>12291</v>
      </c>
      <c r="Q16" s="208">
        <f>ROUND(SUMPRODUCT(Q6:Q13,K6:K13)/SUMPRODUCT((Q6:Q13&gt;0)*(K6:K13)),2)</f>
        <v>0.1</v>
      </c>
      <c r="R16" s="2292">
        <f>SUM(R6:R13)</f>
        <v>27011.59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3215"/>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3215" t="s">
        <v>3276</v>
      </c>
      <c r="Q18" s="3215" t="s">
        <v>3277</v>
      </c>
      <c r="R18" s="3215" t="s">
        <v>3278</v>
      </c>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2335</v>
      </c>
      <c r="D19" s="1974"/>
      <c r="E19" s="1973"/>
      <c r="F19" s="1973"/>
      <c r="G19" s="1973"/>
      <c r="H19" s="1973"/>
      <c r="I19" s="1973"/>
      <c r="J19" s="1973"/>
      <c r="K19" s="1972"/>
      <c r="L19" s="1972"/>
      <c r="M19" s="1970"/>
      <c r="N19" s="1970"/>
      <c r="O19" s="3215" t="s">
        <v>3275</v>
      </c>
      <c r="P19" s="1970">
        <v>1317</v>
      </c>
      <c r="Q19" s="1970">
        <v>1593</v>
      </c>
      <c r="R19" s="1970">
        <v>1773</v>
      </c>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1.5</v>
      </c>
      <c r="C20" s="2324" t="s">
        <v>2334</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6" t="s">
        <v>2337</v>
      </c>
      <c r="B27" s="227">
        <v>40</v>
      </c>
      <c r="C27" s="2327" t="s">
        <v>2341</v>
      </c>
      <c r="D27" s="1977"/>
      <c r="E27" s="1975"/>
      <c r="F27" s="1975" t="s">
        <v>3293</v>
      </c>
      <c r="G27" s="1973"/>
      <c r="H27" s="1973"/>
      <c r="I27" s="1973"/>
      <c r="J27" s="1973"/>
      <c r="K27" s="1972" t="s">
        <v>3093</v>
      </c>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8" t="s">
        <v>2338</v>
      </c>
      <c r="B28" s="229">
        <v>40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1" t="s">
        <v>2336</v>
      </c>
      <c r="B29" s="232"/>
      <c r="C29" s="1537" t="s">
        <v>2339</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5"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7" t="s">
        <v>275</v>
      </c>
      <c r="B32" s="1372">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6" t="s">
        <v>278</v>
      </c>
      <c r="B33" s="1373">
        <v>0.03</v>
      </c>
      <c r="C33" s="2325" t="s">
        <v>2891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0.03</v>
      </c>
      <c r="C34" s="2325" t="s">
        <v>2892</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2893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2894</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1.4999999999999999E-2</v>
      </c>
      <c r="C37" s="2325" t="s">
        <v>2895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1.4999999999999999E-2</v>
      </c>
      <c r="C38" s="2325" t="s">
        <v>2895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2455</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2456</v>
      </c>
      <c r="B40" s="2441">
        <f ca="1">存贷款利率!E2</f>
        <v>4.7500000000000001E-2</v>
      </c>
      <c r="C40" s="2325" t="s">
        <v>2340</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40">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0.05</v>
      </c>
      <c r="C44" s="2325" t="s">
        <v>2896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2898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1" t="s">
        <v>2899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3230">
        <v>0.04</v>
      </c>
      <c r="C48" s="3022" t="s">
        <v>2900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2" t="s">
        <v>2901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4</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0" t="s">
        <v>924</v>
      </c>
      <c r="C53" s="3023" t="s">
        <v>2902</v>
      </c>
      <c r="D53" s="3024" t="s">
        <v>2903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2904</v>
      </c>
      <c r="B54" s="186">
        <v>10</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2905</v>
      </c>
      <c r="B55" s="186">
        <v>8</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2906</v>
      </c>
      <c r="B56" s="186">
        <v>6</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2907</v>
      </c>
      <c r="B57" s="186">
        <v>4</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2908</v>
      </c>
      <c r="B58" s="186">
        <v>2</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2909</v>
      </c>
      <c r="B59" s="186"/>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2910</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2911</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2912</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2913</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31" t="s">
        <v>1662</v>
      </c>
      <c r="B1" s="3332"/>
      <c r="C1" s="3332"/>
      <c r="D1" s="3332"/>
      <c r="E1" s="3332"/>
      <c r="F1" s="3332"/>
      <c r="G1" s="3332"/>
      <c r="H1" s="1983"/>
      <c r="I1" s="1984"/>
      <c r="J1" s="1985"/>
      <c r="K1" s="1983"/>
      <c r="L1" s="1984"/>
      <c r="M1" s="1985"/>
      <c r="N1" s="1983"/>
      <c r="O1" s="1984"/>
      <c r="P1" s="1985"/>
      <c r="Q1" s="1986"/>
      <c r="R1" s="1987"/>
    </row>
    <row r="2" spans="1:18" ht="14.25" thickBot="1">
      <c r="A2" s="1215"/>
      <c r="B2" s="1216"/>
      <c r="C2" s="1217" t="s">
        <v>1663</v>
      </c>
      <c r="D2" s="1218"/>
      <c r="E2" s="1219"/>
      <c r="F2" s="1220"/>
      <c r="G2" s="1217" t="s">
        <v>1664</v>
      </c>
      <c r="H2" s="1989"/>
      <c r="I2" s="1989"/>
      <c r="J2" s="1989"/>
      <c r="K2" s="1989"/>
      <c r="L2" s="1989"/>
      <c r="M2" s="1989"/>
      <c r="N2" s="1989"/>
      <c r="O2" s="1989"/>
      <c r="P2" s="1989"/>
      <c r="Q2" s="1989"/>
      <c r="R2" s="1989"/>
    </row>
    <row r="3" spans="1:18" ht="94.5">
      <c r="A3" s="1221" t="s">
        <v>1665</v>
      </c>
      <c r="B3" s="1222" t="s">
        <v>1652</v>
      </c>
      <c r="C3" s="3222" t="s">
        <v>3291</v>
      </c>
      <c r="D3" s="1990"/>
      <c r="E3" s="1223" t="s">
        <v>1665</v>
      </c>
      <c r="F3" s="1224" t="s">
        <v>1653</v>
      </c>
      <c r="G3" s="3031" t="s">
        <v>2918</v>
      </c>
      <c r="H3" s="1989"/>
      <c r="I3" s="1989"/>
      <c r="J3" s="1989"/>
      <c r="K3" s="1989"/>
      <c r="L3" s="1989"/>
      <c r="M3" s="1989"/>
      <c r="N3" s="1989"/>
      <c r="O3" s="1989"/>
      <c r="P3" s="1989"/>
      <c r="Q3" s="1989"/>
      <c r="R3" s="1989"/>
    </row>
    <row r="4" spans="1:18" ht="81">
      <c r="A4" s="1223"/>
      <c r="B4" s="1225" t="s">
        <v>1666</v>
      </c>
      <c r="C4" s="3221" t="s">
        <v>3292</v>
      </c>
      <c r="D4" s="1990"/>
      <c r="E4" s="1226"/>
      <c r="F4" s="1227" t="s">
        <v>1667</v>
      </c>
      <c r="G4" s="3029" t="s">
        <v>2915</v>
      </c>
      <c r="H4" s="1989"/>
      <c r="I4" s="1989"/>
      <c r="J4" s="1989"/>
      <c r="K4" s="1989"/>
      <c r="L4" s="1989"/>
      <c r="M4" s="1989"/>
      <c r="N4" s="1989"/>
      <c r="O4" s="1989"/>
      <c r="P4" s="1989"/>
      <c r="Q4" s="1989"/>
      <c r="R4" s="1989"/>
    </row>
    <row r="5" spans="1:18" ht="41.25" hidden="1">
      <c r="A5" s="1223"/>
      <c r="B5" s="1225" t="s">
        <v>1668</v>
      </c>
      <c r="C5" s="3028" t="s">
        <v>2919</v>
      </c>
      <c r="D5" s="1990"/>
      <c r="E5" s="1226"/>
      <c r="F5" s="1225" t="s">
        <v>2545</v>
      </c>
      <c r="G5" s="3029" t="s">
        <v>2916</v>
      </c>
      <c r="H5" s="1989"/>
      <c r="I5" s="1989"/>
      <c r="J5" s="1989"/>
      <c r="K5" s="1989"/>
      <c r="L5" s="1989"/>
      <c r="M5" s="1989"/>
      <c r="N5" s="1989"/>
      <c r="O5" s="1989"/>
      <c r="P5" s="1989"/>
      <c r="Q5" s="1989"/>
      <c r="R5" s="1989"/>
    </row>
    <row r="6" spans="1:18" ht="108">
      <c r="A6" s="1223"/>
      <c r="B6" s="1225" t="s">
        <v>1654</v>
      </c>
      <c r="C6" s="3220" t="s">
        <v>3296</v>
      </c>
      <c r="D6" s="1990"/>
      <c r="E6" s="1226"/>
      <c r="F6" s="1225" t="s">
        <v>2546</v>
      </c>
      <c r="G6" s="3029" t="s">
        <v>2914</v>
      </c>
      <c r="H6" s="1989"/>
      <c r="I6" s="1989"/>
      <c r="J6" s="1989"/>
      <c r="K6" s="1989"/>
      <c r="L6" s="1989"/>
      <c r="M6" s="1989"/>
      <c r="N6" s="1989"/>
      <c r="O6" s="1989"/>
      <c r="P6" s="1989"/>
      <c r="Q6" s="1989"/>
      <c r="R6" s="1989"/>
    </row>
    <row r="7" spans="1:18" ht="122.25" thickBot="1">
      <c r="A7" s="1223"/>
      <c r="B7" s="1225" t="s">
        <v>2545</v>
      </c>
      <c r="C7" s="3220" t="s">
        <v>3297</v>
      </c>
      <c r="D7" s="1991"/>
      <c r="E7" s="1228"/>
      <c r="F7" s="1229" t="s">
        <v>1669</v>
      </c>
      <c r="G7" s="3032" t="s">
        <v>2917</v>
      </c>
      <c r="H7" s="1989"/>
      <c r="I7" s="1989"/>
      <c r="J7" s="1989"/>
      <c r="K7" s="1989"/>
      <c r="L7" s="1989"/>
      <c r="M7" s="1989"/>
      <c r="N7" s="1989"/>
      <c r="O7" s="1989"/>
      <c r="P7" s="1989"/>
      <c r="Q7" s="1989"/>
      <c r="R7" s="1989"/>
    </row>
    <row r="8" spans="1:18" ht="27">
      <c r="A8" s="1223"/>
      <c r="B8" s="1225" t="s">
        <v>2546</v>
      </c>
      <c r="C8" s="3029" t="s">
        <v>2914</v>
      </c>
      <c r="D8" s="1991"/>
      <c r="E8" s="1991"/>
      <c r="F8" s="1538"/>
      <c r="G8" s="1538"/>
      <c r="H8" s="1989"/>
      <c r="I8" s="1989"/>
      <c r="J8" s="1989"/>
      <c r="K8" s="1989"/>
      <c r="L8" s="1989"/>
      <c r="M8" s="1989"/>
      <c r="N8" s="1989"/>
      <c r="O8" s="1989"/>
      <c r="P8" s="1989"/>
      <c r="Q8" s="1989"/>
      <c r="R8" s="1989"/>
    </row>
    <row r="9" spans="1:18" ht="94.5">
      <c r="A9" s="1223"/>
      <c r="B9" s="1225" t="s">
        <v>1655</v>
      </c>
      <c r="C9" s="3221" t="s">
        <v>3298</v>
      </c>
      <c r="D9" s="1990"/>
      <c r="E9" s="1991"/>
      <c r="F9" s="1538"/>
      <c r="G9" s="1538"/>
      <c r="H9" s="1989"/>
      <c r="I9" s="1989"/>
      <c r="J9" s="1989"/>
      <c r="K9" s="1989"/>
      <c r="L9" s="1989"/>
      <c r="M9" s="1989"/>
      <c r="N9" s="1989"/>
      <c r="O9" s="1989"/>
      <c r="P9" s="1989"/>
      <c r="Q9" s="1989"/>
      <c r="R9" s="1989"/>
    </row>
    <row r="10" spans="1:18" s="1997" customFormat="1" ht="15" thickBot="1">
      <c r="A10" s="1230"/>
      <c r="B10" s="1231" t="s">
        <v>1670</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8"/>
      <c r="E13" s="2538"/>
      <c r="F13" s="2538"/>
      <c r="G13" s="2538"/>
    </row>
    <row r="14" spans="1:18" ht="14.25" thickBot="1">
      <c r="A14" s="1232"/>
      <c r="B14" s="1233"/>
      <c r="C14" s="1234" t="s">
        <v>1663</v>
      </c>
      <c r="D14" s="1990"/>
      <c r="E14" s="1235"/>
      <c r="F14" s="1235"/>
      <c r="G14" s="1217" t="s">
        <v>1664</v>
      </c>
    </row>
    <row r="15" spans="1:18" ht="94.5">
      <c r="A15" s="2548" t="s">
        <v>1656</v>
      </c>
      <c r="B15" s="1236" t="s">
        <v>1652</v>
      </c>
      <c r="C15" s="1237" t="str">
        <f>C3</f>
        <v>估价对象距离南京中心区域直线距离约为47公里，周边区域尚未开发，仅有项目本身与 “孔雀城”居住项目；综合评价估价对象所处区域目前的居住社区成熟度较差。</v>
      </c>
      <c r="D15" s="1990"/>
      <c r="E15" s="2545" t="s">
        <v>1657</v>
      </c>
      <c r="F15" s="1236" t="s">
        <v>1672</v>
      </c>
      <c r="G15" s="1238" t="str">
        <f>G3</f>
        <v>估价对象位于XX开发区，园区建设成熟度XX，产业集聚程度XX</v>
      </c>
    </row>
    <row r="16" spans="1:18" ht="81">
      <c r="A16" s="2549"/>
      <c r="B16" s="1239" t="s">
        <v>1666</v>
      </c>
      <c r="C16" s="1240" t="str">
        <f>C4</f>
        <v>估价对象周边无大型商业，整体商业氛围较差，人流量少且构成多为本地居民；综合评价估价对象所处区域目前的商业繁华程度较差。</v>
      </c>
      <c r="D16" s="1990"/>
      <c r="E16" s="2546"/>
      <c r="F16" s="1241" t="s">
        <v>1667</v>
      </c>
      <c r="G16" s="1003" t="str">
        <f>G4</f>
        <v>估价对象周边道路状况、公共交通通达情况、停车便捷程度，综合评价交通便捷度较好</v>
      </c>
    </row>
    <row r="17" spans="1:7" ht="40.5">
      <c r="A17" s="2549"/>
      <c r="B17" s="1239" t="s">
        <v>1668</v>
      </c>
      <c r="C17" s="1240" t="str">
        <f>C5</f>
        <v>估价对象位于XX商圈，周边办公楼项目较多，入驻率高，办公集聚程度较好</v>
      </c>
      <c r="D17" s="1991"/>
      <c r="E17" s="2546"/>
      <c r="F17" s="1241" t="s">
        <v>1673</v>
      </c>
      <c r="G17" s="2746"/>
    </row>
    <row r="18" spans="1:7" ht="108">
      <c r="A18" s="2549"/>
      <c r="B18" s="1241" t="s">
        <v>1654</v>
      </c>
      <c r="C18" s="1003" t="str">
        <f>C6</f>
        <v>估价对象临近省道S124，周边多为乡级公路，道路密集度较差；周边有413路、612路、407路、513路等公交线路，距S3线一期终点高家冲站5.5公里，公共交通通达情况一般；综合评价交通便捷度一般。</v>
      </c>
      <c r="D18" s="1991"/>
      <c r="E18" s="2546"/>
      <c r="F18" s="1241" t="s">
        <v>1669</v>
      </c>
      <c r="G18" s="1003" t="str">
        <f>G7</f>
        <v>该园区内是否有污染型企业，绿化情况，卫生条件，整体环境状况判断</v>
      </c>
    </row>
    <row r="19" spans="1:7" ht="27">
      <c r="A19" s="2549"/>
      <c r="B19" s="1241" t="s">
        <v>1658</v>
      </c>
      <c r="C19" s="2746"/>
      <c r="D19" s="1990"/>
      <c r="E19" s="2546"/>
      <c r="F19" s="1225" t="s">
        <v>2545</v>
      </c>
      <c r="G19" s="1003" t="str">
        <f>G5</f>
        <v>估价对象所在区域公共配套设施齐备情况</v>
      </c>
    </row>
    <row r="20" spans="1:7" ht="94.5">
      <c r="A20" s="2549"/>
      <c r="B20" s="1241" t="s">
        <v>1659</v>
      </c>
      <c r="C20" s="1240" t="str">
        <f>C9</f>
        <v>估价对象所在区域内无公园、水系、湖泊，自然环境较差；无博物馆、科技馆、体育馆、高等学府等人文设施，人文环境较差；综合评价自然及人文环境环境较差。</v>
      </c>
      <c r="D20" s="1991"/>
      <c r="E20" s="2546"/>
      <c r="F20" s="1225" t="s">
        <v>2546</v>
      </c>
      <c r="G20" s="1003" t="str">
        <f>G6</f>
        <v>估价对象所在区域基础设施水平</v>
      </c>
    </row>
    <row r="21" spans="1:7" ht="121.5">
      <c r="A21" s="2549"/>
      <c r="B21" s="1225" t="s">
        <v>2545</v>
      </c>
      <c r="C21" s="1003" t="str">
        <f>C7</f>
        <v>估价对象周边公共配套设施较少且分散，有银行（紫金农商银行）、学校（乌江镇中心幼儿园）、医院（南京市浦口区乌江社区卫生服务社区）、超市、餐饮等公共配套设施；综合评价公共配套设施齐备情况较差。</v>
      </c>
      <c r="D21" s="1990"/>
      <c r="E21" s="2546"/>
      <c r="F21" s="1241" t="s">
        <v>1660</v>
      </c>
      <c r="G21" s="3033"/>
    </row>
    <row r="22" spans="1:7" ht="27">
      <c r="A22" s="2549"/>
      <c r="B22" s="1225" t="s">
        <v>2546</v>
      </c>
      <c r="C22" s="1003" t="str">
        <f>C8</f>
        <v>估价对象所在区域基础设施水平</v>
      </c>
      <c r="D22" s="1990"/>
      <c r="E22" s="2546"/>
      <c r="F22" s="1241" t="s">
        <v>1670</v>
      </c>
      <c r="G22" s="2746"/>
    </row>
    <row r="23" spans="1:7" ht="15" thickBot="1">
      <c r="A23" s="2549"/>
      <c r="B23" s="1241" t="s">
        <v>1660</v>
      </c>
      <c r="C23" s="3033"/>
      <c r="E23" s="2547"/>
      <c r="F23" s="1242" t="s">
        <v>1674</v>
      </c>
      <c r="G23" s="3034"/>
    </row>
    <row r="24" spans="1:7" ht="14.25" thickBot="1">
      <c r="A24" s="2550"/>
      <c r="B24" s="1242" t="s">
        <v>1661</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15" sqref="D15"/>
    </sheetView>
  </sheetViews>
  <sheetFormatPr defaultColWidth="14.625" defaultRowHeight="13.5"/>
  <cols>
    <col min="1" max="1" width="24.375" customWidth="1"/>
  </cols>
  <sheetData>
    <row r="1" spans="1:9" ht="16.5">
      <c r="A1" s="2992" t="s">
        <v>2842</v>
      </c>
      <c r="B1" s="2992">
        <f>SUM(B14:B23)</f>
        <v>895114.02999999991</v>
      </c>
      <c r="C1" s="2993"/>
      <c r="D1" s="2993"/>
      <c r="E1" s="2993"/>
      <c r="F1" s="2993"/>
    </row>
    <row r="2" spans="1:9" ht="16.5">
      <c r="A2" s="2992" t="s">
        <v>2843</v>
      </c>
      <c r="B2" s="2992">
        <f>SUM(C14:C23)</f>
        <v>315856.68</v>
      </c>
      <c r="C2" s="2993"/>
      <c r="D2" s="2993"/>
      <c r="E2" s="2993"/>
      <c r="F2" s="2993"/>
    </row>
    <row r="3" spans="1:9" ht="16.5">
      <c r="A3" s="2992" t="s">
        <v>2844</v>
      </c>
      <c r="B3" s="2994">
        <f>项目基本情况!D3</f>
        <v>43656</v>
      </c>
      <c r="C3" s="2993"/>
      <c r="D3" s="2993"/>
      <c r="E3" s="2993"/>
      <c r="F3" s="2993"/>
    </row>
    <row r="4" spans="1:9" ht="33">
      <c r="A4" s="2992" t="s">
        <v>2845</v>
      </c>
      <c r="B4" s="2992" t="s">
        <v>2846</v>
      </c>
      <c r="C4" s="2992" t="s">
        <v>2847</v>
      </c>
      <c r="D4" s="2992" t="s">
        <v>2848</v>
      </c>
      <c r="E4" s="2993"/>
      <c r="F4" s="2993">
        <v>289567.8</v>
      </c>
    </row>
    <row r="5" spans="1:9" ht="16.5">
      <c r="A5" s="2992" t="s">
        <v>2849</v>
      </c>
      <c r="B5" s="2992">
        <f ca="1">SUM(D14:D23)</f>
        <v>290153</v>
      </c>
      <c r="C5" s="2992">
        <f ca="1">ROUND(B5*10000/$B$1,0)</f>
        <v>3242</v>
      </c>
      <c r="D5" s="2992">
        <f ca="1">ROUND(B5*10000/$B$2,0)</f>
        <v>9186</v>
      </c>
      <c r="E5" s="2993"/>
      <c r="F5" s="2993"/>
    </row>
    <row r="6" spans="1:9" ht="16.5">
      <c r="A6" s="2992" t="s">
        <v>2850</v>
      </c>
      <c r="B6" s="2992">
        <f ca="1">SUM(G14:G23)</f>
        <v>290153</v>
      </c>
      <c r="C6" s="2992">
        <f t="shared" ref="C6:C8" ca="1" si="0">ROUND(B6*10000/$B$1,0)</f>
        <v>3242</v>
      </c>
      <c r="D6" s="2992">
        <f t="shared" ref="D6:D8" ca="1" si="1">ROUND(B6*10000/$B$2,0)</f>
        <v>9186</v>
      </c>
      <c r="E6" s="2993"/>
      <c r="F6" s="2993"/>
    </row>
    <row r="7" spans="1:9" ht="16.5">
      <c r="A7" s="2992" t="s">
        <v>2851</v>
      </c>
      <c r="B7" s="2992">
        <f>SUM(H14:H23)</f>
        <v>0</v>
      </c>
      <c r="C7" s="2992">
        <f t="shared" si="0"/>
        <v>0</v>
      </c>
      <c r="D7" s="2992">
        <f t="shared" si="1"/>
        <v>0</v>
      </c>
      <c r="E7" s="2993"/>
      <c r="F7" s="2993"/>
    </row>
    <row r="8" spans="1:9" ht="16.5">
      <c r="A8" s="2992" t="s">
        <v>2852</v>
      </c>
      <c r="B8" s="2992">
        <f>SUM(I14:I23)</f>
        <v>0</v>
      </c>
      <c r="C8" s="2992">
        <f t="shared" si="0"/>
        <v>0</v>
      </c>
      <c r="D8" s="2992">
        <f t="shared" si="1"/>
        <v>0</v>
      </c>
      <c r="E8" s="2993"/>
      <c r="F8" s="2993"/>
    </row>
    <row r="9" spans="1:9" ht="16.5">
      <c r="A9" s="2992" t="s">
        <v>2853</v>
      </c>
      <c r="B9" s="2995"/>
      <c r="C9" s="2993"/>
      <c r="D9" s="2993"/>
      <c r="E9" s="2993"/>
      <c r="F9" s="2993"/>
    </row>
    <row r="10" spans="1:9" ht="16.5">
      <c r="A10" s="2992" t="s">
        <v>2854</v>
      </c>
      <c r="B10" s="2995"/>
      <c r="C10" s="2993"/>
      <c r="D10" s="2993"/>
      <c r="E10" s="2993"/>
      <c r="F10" s="2993"/>
    </row>
    <row r="11" spans="1:9" ht="16.5">
      <c r="A11" s="2992" t="s">
        <v>2871</v>
      </c>
      <c r="B11" s="2995"/>
      <c r="C11" s="2993"/>
      <c r="D11" s="2993"/>
      <c r="E11" s="2993"/>
      <c r="F11" s="2993"/>
    </row>
    <row r="12" spans="1:9" ht="16.5">
      <c r="A12" s="2993"/>
      <c r="B12" s="2993"/>
      <c r="C12" s="2993"/>
      <c r="D12" s="2993"/>
      <c r="E12" s="2993"/>
      <c r="F12" s="2993"/>
    </row>
    <row r="13" spans="1:9" ht="33">
      <c r="A13" s="2998" t="s">
        <v>2870</v>
      </c>
      <c r="B13" s="2996" t="s">
        <v>2842</v>
      </c>
      <c r="C13" s="2996" t="s">
        <v>2843</v>
      </c>
      <c r="D13" s="2996" t="s">
        <v>2855</v>
      </c>
      <c r="E13" s="2992" t="s">
        <v>2869</v>
      </c>
      <c r="F13" s="2992" t="s">
        <v>2848</v>
      </c>
      <c r="G13" s="2996" t="s">
        <v>2856</v>
      </c>
      <c r="H13" s="2996" t="s">
        <v>2857</v>
      </c>
      <c r="I13" s="2996" t="s">
        <v>2858</v>
      </c>
    </row>
    <row r="14" spans="1:9" ht="16.5">
      <c r="A14" s="2999" t="s">
        <v>2868</v>
      </c>
      <c r="B14" s="2996">
        <f>结果表!L38</f>
        <v>67528.97</v>
      </c>
      <c r="C14" s="2996">
        <f>结果表!K38</f>
        <v>27011.59</v>
      </c>
      <c r="D14" s="2996">
        <f ca="1">结果表!C42</f>
        <v>21878</v>
      </c>
      <c r="E14" s="2996">
        <f ca="1">ROUND(D14*10000/B14,0)</f>
        <v>3240</v>
      </c>
      <c r="F14" s="2996">
        <f ca="1">ROUND(D14*10000/C14,0)</f>
        <v>8099</v>
      </c>
      <c r="G14" s="2996">
        <f ca="1">结果表!C44</f>
        <v>21878</v>
      </c>
      <c r="H14" s="2996" t="str">
        <f>结果表!C45</f>
        <v>——</v>
      </c>
      <c r="I14" s="2996" t="str">
        <f>结果表!C46</f>
        <v>——</v>
      </c>
    </row>
    <row r="15" spans="1:9" ht="16.5">
      <c r="A15" s="2999" t="s">
        <v>2859</v>
      </c>
      <c r="B15" s="3000">
        <f>典型户型修正!B25</f>
        <v>19210.89</v>
      </c>
      <c r="C15" s="3000">
        <f>面积指标!H4</f>
        <v>6403.63</v>
      </c>
      <c r="D15" s="3000">
        <f ca="1">典型户型修正!S25</f>
        <v>6163</v>
      </c>
      <c r="E15" s="2996">
        <f t="shared" ref="E15:E23" ca="1" si="2">ROUND(D15*10000/B15,0)</f>
        <v>3208</v>
      </c>
      <c r="F15" s="2996">
        <f t="shared" ref="F15:F23" ca="1" si="3">ROUND(D15*10000/C15,0)</f>
        <v>9624</v>
      </c>
      <c r="G15" s="2997">
        <f ca="1">D15</f>
        <v>6163</v>
      </c>
      <c r="H15" s="2997"/>
      <c r="I15" s="3000"/>
    </row>
    <row r="16" spans="1:9" ht="16.5">
      <c r="A16" s="2999" t="s">
        <v>2860</v>
      </c>
      <c r="B16" s="3000">
        <f>典型户型修正!B26</f>
        <v>163615.26</v>
      </c>
      <c r="C16" s="3000">
        <f>面积指标!H5</f>
        <v>54538.42</v>
      </c>
      <c r="D16" s="3000">
        <f ca="1">典型户型修正!S26</f>
        <v>53535</v>
      </c>
      <c r="E16" s="2996">
        <f t="shared" ca="1" si="2"/>
        <v>3272</v>
      </c>
      <c r="F16" s="2996">
        <f t="shared" ca="1" si="3"/>
        <v>9816</v>
      </c>
      <c r="G16" s="2997">
        <f t="shared" ref="G16:G23" ca="1" si="4">D16</f>
        <v>53535</v>
      </c>
      <c r="H16" s="2997"/>
      <c r="I16" s="3000"/>
    </row>
    <row r="17" spans="1:9" ht="16.5">
      <c r="A17" s="2999" t="s">
        <v>2861</v>
      </c>
      <c r="B17" s="3000">
        <f>典型户型修正!B27</f>
        <v>130682.6</v>
      </c>
      <c r="C17" s="3000">
        <f>面积指标!H6</f>
        <v>52273.04</v>
      </c>
      <c r="D17" s="3000">
        <f ca="1">典型户型修正!S27</f>
        <v>42759</v>
      </c>
      <c r="E17" s="2996">
        <f t="shared" ca="1" si="2"/>
        <v>3272</v>
      </c>
      <c r="F17" s="2996">
        <f t="shared" ca="1" si="3"/>
        <v>8180</v>
      </c>
      <c r="G17" s="2997">
        <f t="shared" ca="1" si="4"/>
        <v>42759</v>
      </c>
      <c r="H17" s="2997"/>
      <c r="I17" s="3000"/>
    </row>
    <row r="18" spans="1:9" ht="16.5">
      <c r="A18" s="2999" t="s">
        <v>2862</v>
      </c>
      <c r="B18" s="3000">
        <f>典型户型修正!B28</f>
        <v>11780.19</v>
      </c>
      <c r="C18" s="3000">
        <f>面积指标!H7</f>
        <v>3926.73</v>
      </c>
      <c r="D18" s="3000">
        <f ca="1">典型户型修正!S28</f>
        <v>3779</v>
      </c>
      <c r="E18" s="2996">
        <f t="shared" ca="1" si="2"/>
        <v>3208</v>
      </c>
      <c r="F18" s="2996">
        <f t="shared" ca="1" si="3"/>
        <v>9624</v>
      </c>
      <c r="G18" s="2997">
        <f t="shared" ca="1" si="4"/>
        <v>3779</v>
      </c>
      <c r="H18" s="3000"/>
      <c r="I18" s="3000"/>
    </row>
    <row r="19" spans="1:9" ht="16.5">
      <c r="A19" s="2999" t="s">
        <v>2863</v>
      </c>
      <c r="B19" s="3000">
        <f>典型户型修正!B29</f>
        <v>90040.29</v>
      </c>
      <c r="C19" s="3000">
        <f>面积指标!H8</f>
        <v>30013.43</v>
      </c>
      <c r="D19" s="3000">
        <f ca="1">典型户型修正!S29</f>
        <v>28885</v>
      </c>
      <c r="E19" s="2996">
        <f t="shared" ca="1" si="2"/>
        <v>3208</v>
      </c>
      <c r="F19" s="2996">
        <f t="shared" ca="1" si="3"/>
        <v>9624</v>
      </c>
      <c r="G19" s="2997">
        <f t="shared" ca="1" si="4"/>
        <v>28885</v>
      </c>
      <c r="H19" s="3000"/>
      <c r="I19" s="3000"/>
    </row>
    <row r="20" spans="1:9" ht="16.5">
      <c r="A20" s="2999" t="s">
        <v>2864</v>
      </c>
      <c r="B20" s="3000">
        <f>典型户型修正!B30</f>
        <v>120295.95</v>
      </c>
      <c r="C20" s="3000">
        <f>面积指标!H9</f>
        <v>48118.38</v>
      </c>
      <c r="D20" s="3000">
        <f ca="1">典型户型修正!S30</f>
        <v>39361</v>
      </c>
      <c r="E20" s="2996">
        <f t="shared" ca="1" si="2"/>
        <v>3272</v>
      </c>
      <c r="F20" s="2996">
        <f t="shared" ca="1" si="3"/>
        <v>8180</v>
      </c>
      <c r="G20" s="2997">
        <f t="shared" ca="1" si="4"/>
        <v>39361</v>
      </c>
      <c r="H20" s="3000"/>
      <c r="I20" s="3000"/>
    </row>
    <row r="21" spans="1:9" ht="16.5">
      <c r="A21" s="2999" t="s">
        <v>2865</v>
      </c>
      <c r="B21" s="3000">
        <f>典型户型修正!B31</f>
        <v>122581.14</v>
      </c>
      <c r="C21" s="3000">
        <f>面积指标!H10</f>
        <v>40860.379999999997</v>
      </c>
      <c r="D21" s="3000">
        <f ca="1">典型户型修正!S31</f>
        <v>39716</v>
      </c>
      <c r="E21" s="2996">
        <f t="shared" ca="1" si="2"/>
        <v>3240</v>
      </c>
      <c r="F21" s="2996">
        <f t="shared" ca="1" si="3"/>
        <v>9720</v>
      </c>
      <c r="G21" s="2997">
        <f t="shared" ca="1" si="4"/>
        <v>39716</v>
      </c>
      <c r="H21" s="3000"/>
      <c r="I21" s="3000"/>
    </row>
    <row r="22" spans="1:9" ht="16.5">
      <c r="A22" s="2999" t="s">
        <v>2866</v>
      </c>
      <c r="B22" s="3000">
        <f>典型户型修正!B32</f>
        <v>90660.24</v>
      </c>
      <c r="C22" s="3000">
        <f>面积指标!H11</f>
        <v>30220.080000000002</v>
      </c>
      <c r="D22" s="3000">
        <f ca="1">典型户型修正!S32</f>
        <v>29084</v>
      </c>
      <c r="E22" s="2996">
        <f t="shared" ca="1" si="2"/>
        <v>3208</v>
      </c>
      <c r="F22" s="2996">
        <f t="shared" ca="1" si="3"/>
        <v>9624</v>
      </c>
      <c r="G22" s="2997">
        <f t="shared" ca="1" si="4"/>
        <v>29084</v>
      </c>
      <c r="H22" s="3000"/>
      <c r="I22" s="3000"/>
    </row>
    <row r="23" spans="1:9" ht="16.5">
      <c r="A23" s="2999" t="s">
        <v>2867</v>
      </c>
      <c r="B23" s="3000">
        <f>典型户型修正!B33</f>
        <v>78718.5</v>
      </c>
      <c r="C23" s="3000">
        <f>面积指标!H12</f>
        <v>22491</v>
      </c>
      <c r="D23" s="3000">
        <f ca="1">典型户型修正!S33</f>
        <v>24993</v>
      </c>
      <c r="E23" s="2992">
        <f t="shared" ca="1" si="2"/>
        <v>3175</v>
      </c>
      <c r="F23" s="2992">
        <f t="shared" ca="1" si="3"/>
        <v>11112</v>
      </c>
      <c r="G23" s="2997">
        <f t="shared" ca="1" si="4"/>
        <v>24993</v>
      </c>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2054</v>
      </c>
      <c r="B1" s="1758"/>
      <c r="C1" s="1786" t="s">
        <v>2055</v>
      </c>
      <c r="D1" s="1787" t="s">
        <v>3218</v>
      </c>
      <c r="E1" s="1786" t="s">
        <v>2056</v>
      </c>
      <c r="F1" s="1788" t="s">
        <v>3219</v>
      </c>
      <c r="G1" s="310"/>
      <c r="H1" s="310"/>
      <c r="I1" s="310"/>
      <c r="J1" s="2010"/>
      <c r="K1" s="2010"/>
      <c r="L1" s="2010"/>
      <c r="M1" s="2010"/>
      <c r="N1" s="2010"/>
      <c r="O1" s="2010"/>
      <c r="P1" s="2010"/>
      <c r="Q1" s="2010"/>
      <c r="R1" s="2010"/>
      <c r="S1" s="2010"/>
      <c r="T1" s="2010"/>
      <c r="U1" s="2010"/>
      <c r="V1" s="2010"/>
    </row>
    <row r="2" spans="1:22" ht="21.75" customHeight="1" thickBot="1">
      <c r="A2" s="3369" t="str">
        <f>项目基本情况!K2</f>
        <v>安徽省马鞍山市和县乌江镇四联社区十宗住宅用地出让国有建设用地使用权</v>
      </c>
      <c r="B2" s="3370"/>
      <c r="C2" s="3371"/>
      <c r="D2" s="3371"/>
      <c r="E2" s="3371"/>
      <c r="F2" s="3371"/>
      <c r="G2" s="3370"/>
      <c r="H2" s="3370"/>
      <c r="I2" s="3372"/>
      <c r="J2" s="2011"/>
      <c r="K2" s="2010"/>
      <c r="L2" s="2010"/>
      <c r="M2" s="2010"/>
      <c r="N2" s="2010"/>
      <c r="O2" s="2010"/>
      <c r="P2" s="2010"/>
      <c r="Q2" s="2010"/>
      <c r="R2" s="2010"/>
      <c r="S2" s="2010"/>
      <c r="T2" s="2010"/>
      <c r="U2" s="2010"/>
      <c r="V2" s="2010"/>
    </row>
    <row r="3" spans="1:22" ht="14.25">
      <c r="A3" s="3362" t="s">
        <v>298</v>
      </c>
      <c r="B3" s="3363"/>
      <c r="C3" s="3363"/>
      <c r="D3" s="3363"/>
      <c r="E3" s="3363"/>
      <c r="F3" s="3363"/>
      <c r="G3" s="3363"/>
      <c r="H3" s="3363"/>
      <c r="I3" s="3363"/>
      <c r="J3" s="2011"/>
      <c r="K3" s="2010"/>
      <c r="L3" s="2010"/>
      <c r="M3" s="2010"/>
      <c r="N3" s="2010"/>
      <c r="O3" s="2010"/>
      <c r="P3" s="2010"/>
      <c r="Q3" s="2010"/>
      <c r="R3" s="2010"/>
      <c r="S3" s="2010"/>
      <c r="T3" s="2010"/>
      <c r="U3" s="2010"/>
      <c r="V3" s="2010"/>
    </row>
    <row r="4" spans="1:22" ht="14.25">
      <c r="A4" s="257" t="s">
        <v>299</v>
      </c>
      <c r="B4" s="258" t="s">
        <v>300</v>
      </c>
      <c r="C4" s="259" t="s">
        <v>3220</v>
      </c>
      <c r="D4" s="259" t="s">
        <v>3221</v>
      </c>
      <c r="E4" s="3334" t="s">
        <v>301</v>
      </c>
      <c r="F4" s="3335"/>
      <c r="G4" s="3335"/>
      <c r="H4" s="3335"/>
      <c r="I4" s="3364"/>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33" t="s">
        <v>302</v>
      </c>
      <c r="B5" s="3359">
        <v>25</v>
      </c>
      <c r="C5" s="3357">
        <v>14</v>
      </c>
      <c r="D5" s="3361">
        <v>22</v>
      </c>
      <c r="E5" s="260" t="s">
        <v>303</v>
      </c>
      <c r="F5" s="261"/>
      <c r="G5" s="261"/>
      <c r="H5" s="261"/>
      <c r="I5" s="262"/>
      <c r="J5" s="2011"/>
      <c r="K5" s="2010"/>
      <c r="L5" s="2010"/>
      <c r="M5" s="2010"/>
      <c r="N5" s="2010"/>
      <c r="O5" s="2010"/>
      <c r="P5" s="2010"/>
      <c r="Q5" s="2010"/>
      <c r="R5" s="2010"/>
      <c r="S5" s="2010"/>
      <c r="T5" s="2010"/>
      <c r="U5" s="2010"/>
      <c r="V5" s="2010"/>
    </row>
    <row r="6" spans="1:22" ht="14.25">
      <c r="A6" s="3333"/>
      <c r="B6" s="3359"/>
      <c r="C6" s="3360"/>
      <c r="D6" s="3361"/>
      <c r="E6" s="260" t="s">
        <v>304</v>
      </c>
      <c r="F6" s="261"/>
      <c r="G6" s="261"/>
      <c r="H6" s="261"/>
      <c r="I6" s="262"/>
      <c r="J6" s="2011"/>
      <c r="K6" s="2010"/>
      <c r="L6" s="2010"/>
      <c r="M6" s="2010"/>
      <c r="N6" s="2010"/>
      <c r="O6" s="2010"/>
      <c r="P6" s="2010"/>
      <c r="Q6" s="2010"/>
      <c r="R6" s="2010"/>
      <c r="S6" s="2010"/>
      <c r="T6" s="2010"/>
      <c r="U6" s="2010"/>
      <c r="V6" s="2010"/>
    </row>
    <row r="7" spans="1:22" ht="14.25">
      <c r="A7" s="3333"/>
      <c r="B7" s="3359"/>
      <c r="C7" s="3358"/>
      <c r="D7" s="3361"/>
      <c r="E7" s="260" t="s">
        <v>305</v>
      </c>
      <c r="F7" s="261"/>
      <c r="G7" s="261"/>
      <c r="H7" s="261"/>
      <c r="I7" s="262"/>
      <c r="J7" s="2011"/>
      <c r="K7" s="2010"/>
      <c r="L7" s="2010"/>
      <c r="M7" s="2010"/>
      <c r="N7" s="2010"/>
      <c r="O7" s="2010"/>
      <c r="P7" s="2010"/>
      <c r="Q7" s="2010"/>
      <c r="R7" s="2010"/>
      <c r="S7" s="2010"/>
      <c r="T7" s="2010"/>
      <c r="U7" s="2010"/>
      <c r="V7" s="2010"/>
    </row>
    <row r="8" spans="1:22" ht="14.25">
      <c r="A8" s="3333" t="s">
        <v>306</v>
      </c>
      <c r="B8" s="3359">
        <v>15</v>
      </c>
      <c r="C8" s="3357">
        <v>10</v>
      </c>
      <c r="D8" s="3361">
        <v>14</v>
      </c>
      <c r="E8" s="260" t="s">
        <v>307</v>
      </c>
      <c r="F8" s="261"/>
      <c r="G8" s="261"/>
      <c r="H8" s="261"/>
      <c r="I8" s="262"/>
      <c r="J8" s="2011"/>
      <c r="K8" s="2010"/>
      <c r="L8" s="2010"/>
      <c r="M8" s="2010"/>
      <c r="N8" s="2010"/>
      <c r="O8" s="2010"/>
      <c r="P8" s="2010"/>
      <c r="Q8" s="2010"/>
      <c r="R8" s="2010"/>
      <c r="S8" s="2010"/>
      <c r="T8" s="2010"/>
      <c r="U8" s="2010"/>
      <c r="V8" s="2010"/>
    </row>
    <row r="9" spans="1:22" ht="14.25">
      <c r="A9" s="3333"/>
      <c r="B9" s="3359"/>
      <c r="C9" s="3358"/>
      <c r="D9" s="3361"/>
      <c r="E9" s="260" t="s">
        <v>308</v>
      </c>
      <c r="F9" s="261"/>
      <c r="G9" s="261"/>
      <c r="H9" s="261"/>
      <c r="I9" s="262"/>
      <c r="J9" s="2011"/>
      <c r="K9" s="2010"/>
      <c r="L9" s="2010"/>
      <c r="M9" s="2010"/>
      <c r="N9" s="2010"/>
      <c r="O9" s="2010"/>
      <c r="P9" s="2010"/>
      <c r="Q9" s="2010"/>
      <c r="R9" s="2010"/>
      <c r="S9" s="2010"/>
      <c r="T9" s="2010"/>
      <c r="U9" s="2010"/>
      <c r="V9" s="2010"/>
    </row>
    <row r="10" spans="1:22" ht="14.25">
      <c r="A10" s="3333" t="s">
        <v>309</v>
      </c>
      <c r="B10" s="3359">
        <v>15</v>
      </c>
      <c r="C10" s="3357">
        <v>10</v>
      </c>
      <c r="D10" s="3361">
        <v>14</v>
      </c>
      <c r="E10" s="260" t="s">
        <v>310</v>
      </c>
      <c r="F10" s="261"/>
      <c r="G10" s="261"/>
      <c r="H10" s="261"/>
      <c r="I10" s="262"/>
      <c r="J10" s="2011"/>
      <c r="K10" s="2010"/>
      <c r="L10" s="2010"/>
      <c r="M10" s="2010"/>
      <c r="N10" s="2010"/>
      <c r="O10" s="2010"/>
      <c r="P10" s="2010"/>
      <c r="Q10" s="2010"/>
      <c r="R10" s="2010"/>
      <c r="S10" s="2010"/>
      <c r="T10" s="2010"/>
      <c r="U10" s="2010"/>
      <c r="V10" s="2010"/>
    </row>
    <row r="11" spans="1:22" ht="14.25">
      <c r="A11" s="3333"/>
      <c r="B11" s="3359"/>
      <c r="C11" s="3358"/>
      <c r="D11" s="3361"/>
      <c r="E11" s="260" t="s">
        <v>311</v>
      </c>
      <c r="F11" s="261"/>
      <c r="G11" s="261"/>
      <c r="H11" s="261"/>
      <c r="I11" s="262"/>
      <c r="J11" s="2011"/>
      <c r="K11" s="2010"/>
      <c r="L11" s="2010"/>
      <c r="M11" s="2010"/>
      <c r="N11" s="2010"/>
      <c r="O11" s="2010"/>
      <c r="P11" s="2010"/>
      <c r="Q11" s="2010"/>
      <c r="R11" s="2010"/>
      <c r="S11" s="2010"/>
      <c r="T11" s="2010"/>
      <c r="U11" s="2010"/>
      <c r="V11" s="2010"/>
    </row>
    <row r="12" spans="1:22" ht="14.25">
      <c r="A12" s="3333" t="s">
        <v>312</v>
      </c>
      <c r="B12" s="3359">
        <v>15</v>
      </c>
      <c r="C12" s="3357">
        <v>10</v>
      </c>
      <c r="D12" s="3361">
        <v>14</v>
      </c>
      <c r="E12" s="260" t="s">
        <v>313</v>
      </c>
      <c r="F12" s="261"/>
      <c r="G12" s="261"/>
      <c r="H12" s="261"/>
      <c r="I12" s="262"/>
      <c r="J12" s="2011"/>
      <c r="K12" s="2010"/>
      <c r="L12" s="2010"/>
      <c r="M12" s="2010"/>
      <c r="N12" s="2010"/>
      <c r="O12" s="2010"/>
      <c r="P12" s="2010"/>
      <c r="Q12" s="2010"/>
      <c r="R12" s="2010"/>
      <c r="S12" s="2010"/>
      <c r="T12" s="2010"/>
      <c r="U12" s="2010"/>
      <c r="V12" s="2010"/>
    </row>
    <row r="13" spans="1:22" ht="14.25">
      <c r="A13" s="3333"/>
      <c r="B13" s="3359"/>
      <c r="C13" s="3358"/>
      <c r="D13" s="3361"/>
      <c r="E13" s="260" t="s">
        <v>314</v>
      </c>
      <c r="F13" s="261"/>
      <c r="G13" s="261"/>
      <c r="H13" s="261"/>
      <c r="I13" s="262"/>
      <c r="J13" s="2011"/>
      <c r="K13" s="2010"/>
      <c r="L13" s="2010"/>
      <c r="M13" s="2010"/>
      <c r="N13" s="2010"/>
      <c r="O13" s="2010"/>
      <c r="P13" s="2010"/>
      <c r="Q13" s="2010"/>
      <c r="R13" s="2010"/>
      <c r="S13" s="2010"/>
      <c r="T13" s="2010"/>
      <c r="U13" s="2010"/>
      <c r="V13" s="2010"/>
    </row>
    <row r="14" spans="1:22" ht="14.25">
      <c r="A14" s="3333" t="s">
        <v>315</v>
      </c>
      <c r="B14" s="3359">
        <v>30</v>
      </c>
      <c r="C14" s="3357">
        <v>14</v>
      </c>
      <c r="D14" s="3361">
        <v>22</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33"/>
      <c r="B15" s="3359"/>
      <c r="C15" s="3360"/>
      <c r="D15" s="3361"/>
      <c r="E15" s="260" t="s">
        <v>317</v>
      </c>
      <c r="F15" s="261"/>
      <c r="G15" s="261"/>
      <c r="H15" s="261"/>
      <c r="I15" s="262"/>
      <c r="J15" s="2011"/>
      <c r="K15" s="2010"/>
      <c r="L15" s="2010"/>
      <c r="M15" s="2010"/>
      <c r="N15" s="2010"/>
      <c r="O15" s="2010"/>
      <c r="P15" s="2010"/>
      <c r="Q15" s="2010"/>
      <c r="R15" s="2010"/>
      <c r="S15" s="2010"/>
      <c r="T15" s="2010"/>
      <c r="U15" s="2010"/>
      <c r="V15" s="2010"/>
    </row>
    <row r="16" spans="1:22" ht="14.25">
      <c r="A16" s="3333"/>
      <c r="B16" s="3359"/>
      <c r="C16" s="3358"/>
      <c r="D16" s="3361"/>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58</v>
      </c>
      <c r="D17" s="264">
        <f>SUM(D5:D16)</f>
        <v>86</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0.4</v>
      </c>
      <c r="D18" s="266">
        <f>1-C18</f>
        <v>0.6</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14411</v>
      </c>
      <c r="D19" s="270">
        <f ca="1">SUMIF(INDIRECT("'"&amp;D4&amp;"'"&amp;"!A:A"),结果表!B19,INDIRECT("'"&amp;D4&amp;"'"&amp;"!B:B"))</f>
        <v>26856</v>
      </c>
      <c r="E19" s="267" t="s">
        <v>323</v>
      </c>
      <c r="F19" s="268" t="s">
        <v>322</v>
      </c>
      <c r="G19" s="271">
        <f ca="1">ROUND(C19*$C$18+D19*$D$18,0)</f>
        <v>21878</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2134</v>
      </c>
      <c r="D20" s="276">
        <f ca="1">SUMIF(INDIRECT("'"&amp;D4&amp;"'"&amp;"!A:A"),结果表!B20,INDIRECT("'"&amp;D4&amp;"'"&amp;"!B:B"))</f>
        <v>3977</v>
      </c>
      <c r="E20" s="273"/>
      <c r="F20" s="274" t="s">
        <v>325</v>
      </c>
      <c r="G20" s="277">
        <f ca="1">ROUND(C20*$C$18+D20*$D$18,0)</f>
        <v>3240</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5335</v>
      </c>
      <c r="D21" s="151">
        <f ca="1">SUMIF(INDIRECT("'"&amp;D4&amp;"'"&amp;"!A:A"),结果表!B21,INDIRECT("'"&amp;D4&amp;"'"&amp;"!B:B"))</f>
        <v>9942</v>
      </c>
      <c r="E21" s="273"/>
      <c r="F21" s="279" t="s">
        <v>327</v>
      </c>
      <c r="G21" s="281">
        <f ca="1">ROUND(C21*$C$18+D21*$D$18,0)</f>
        <v>8099</v>
      </c>
      <c r="H21" s="1245" t="s">
        <v>326</v>
      </c>
      <c r="I21" s="310"/>
      <c r="J21" s="2010"/>
      <c r="K21" s="2010"/>
      <c r="L21" s="2010"/>
      <c r="M21" s="2010"/>
      <c r="N21" s="2010"/>
      <c r="O21" s="2010"/>
      <c r="P21" s="2010"/>
      <c r="Q21" s="2010"/>
      <c r="R21" s="2010"/>
      <c r="S21" s="2010"/>
      <c r="T21" s="2010"/>
      <c r="U21" s="2010"/>
      <c r="V21" s="2010"/>
    </row>
    <row r="22" spans="1:26" ht="15.75" thickBot="1">
      <c r="A22" s="126" t="s">
        <v>328</v>
      </c>
      <c r="B22" s="1246"/>
      <c r="C22" s="1247"/>
      <c r="D22" s="282">
        <f ca="1">IF(C19&lt;D19,D19/C19-1,C19/D19-1)</f>
        <v>0.86357643466796197</v>
      </c>
      <c r="E22" s="283"/>
      <c r="F22" s="284"/>
      <c r="G22" s="285">
        <f ca="1">ROUND(G19/('数据-汇总表'!D3/666.67),0)</f>
        <v>540</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39"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40"/>
      <c r="B25" s="1315" t="s">
        <v>331</v>
      </c>
      <c r="C25" s="289">
        <f>IF(B30=0,0,C30)</f>
        <v>0</v>
      </c>
      <c r="D25" s="290"/>
      <c r="E25" s="310"/>
      <c r="F25" s="310"/>
      <c r="G25" s="310"/>
      <c r="H25" s="310"/>
      <c r="I25" s="310"/>
      <c r="J25" s="2010"/>
      <c r="K25" s="1249" t="str">
        <f ca="1">项目基本情况!B16&amp;"国有建设用地使用权价格："&amp;O38&amp;"万元"</f>
        <v>出让国有建设用地使用权价格：21878万元</v>
      </c>
      <c r="L25" s="1250"/>
      <c r="M25" s="1250"/>
      <c r="N25" s="1250"/>
      <c r="O25" s="1251"/>
      <c r="P25" s="2010"/>
      <c r="Q25" s="2010"/>
      <c r="R25" s="2010"/>
      <c r="S25" s="2010"/>
      <c r="T25" s="2010"/>
      <c r="U25" s="2010"/>
      <c r="V25" s="2010"/>
    </row>
    <row r="26" spans="1:26" s="1248" customFormat="1" ht="18">
      <c r="A26" s="292" t="s">
        <v>332</v>
      </c>
      <c r="B26" s="293" t="s">
        <v>333</v>
      </c>
      <c r="C26" s="293" t="s">
        <v>334</v>
      </c>
      <c r="D26" s="294" t="s">
        <v>335</v>
      </c>
      <c r="E26" s="310"/>
      <c r="F26" s="310"/>
      <c r="G26" s="310"/>
      <c r="H26" s="310"/>
      <c r="I26" s="310"/>
      <c r="J26" s="2010"/>
      <c r="K26" s="1252" t="str">
        <f ca="1">"大写金额：人民币"&amp;NUMBERSTRING(INT(O38*10000),2)&amp;"元整"</f>
        <v>大写金额：人民币贰亿壹仟捌佰柒拾捌万元整</v>
      </c>
      <c r="L26" s="1246"/>
      <c r="M26" s="1246"/>
      <c r="N26" s="1246"/>
      <c r="O26" s="1245"/>
      <c r="P26" s="2010"/>
      <c r="Q26" s="2010"/>
      <c r="R26" s="2010"/>
      <c r="S26" s="2010"/>
      <c r="T26" s="2010"/>
      <c r="U26" s="2010"/>
      <c r="V26" s="2010"/>
      <c r="W26" s="291"/>
      <c r="X26" s="291"/>
      <c r="Y26" s="291"/>
      <c r="Z26" s="291"/>
    </row>
    <row r="27" spans="1:26" ht="18">
      <c r="A27" s="3209" t="s">
        <v>3222</v>
      </c>
      <c r="B27" s="293">
        <f>'数据-汇总表'!D3</f>
        <v>27011.59</v>
      </c>
      <c r="C27" s="293">
        <v>20</v>
      </c>
      <c r="D27" s="294">
        <f>ROUND(B27*C27/10000,0)</f>
        <v>54</v>
      </c>
      <c r="E27" s="310"/>
      <c r="F27" s="310"/>
      <c r="G27" s="310"/>
      <c r="H27" s="310"/>
      <c r="I27" s="310"/>
      <c r="J27" s="2010"/>
      <c r="K27" s="1252" t="str">
        <f ca="1">"单位面积地价："&amp;M38&amp;"元/平方米"</f>
        <v>单位面积地价：8099元/平方米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楼面地价：3240元/平方米</v>
      </c>
      <c r="L28" s="1246"/>
      <c r="M28" s="1246"/>
      <c r="N28" s="1246"/>
      <c r="O28" s="1245"/>
      <c r="P28" s="2010"/>
      <c r="V28" s="2010"/>
    </row>
    <row r="29" spans="1:26" ht="18">
      <c r="A29" s="292"/>
      <c r="B29" s="293"/>
      <c r="C29" s="293"/>
      <c r="D29" s="294"/>
      <c r="E29" s="310"/>
      <c r="F29" s="310"/>
      <c r="G29" s="310"/>
      <c r="H29" s="310"/>
      <c r="I29" s="310"/>
      <c r="J29" s="2010"/>
      <c r="K29" s="1252" t="str">
        <f ca="1">IF(OR(项目基本情况!E8="抵押价格",项目基本情况!E8="已注销及未注销"),"抵押价格："&amp;O39&amp;"万元","——")</f>
        <v>抵押价格：21878万元</v>
      </c>
      <c r="L29" s="1246"/>
      <c r="M29" s="1246"/>
      <c r="N29" s="1246"/>
      <c r="O29" s="1245"/>
      <c r="P29" s="2010"/>
      <c r="V29" s="2010"/>
    </row>
    <row r="30" spans="1:26" ht="18.75" thickBot="1">
      <c r="A30" s="3076" t="s">
        <v>336</v>
      </c>
      <c r="B30" s="308">
        <f>B27</f>
        <v>27011.59</v>
      </c>
      <c r="C30" s="308"/>
      <c r="D30" s="309"/>
      <c r="E30" s="3077" t="s">
        <v>2962</v>
      </c>
      <c r="F30" s="310"/>
      <c r="G30" s="310"/>
      <c r="H30" s="310"/>
      <c r="I30" s="310"/>
      <c r="J30" s="2010"/>
      <c r="K30" s="1252" t="str">
        <f ca="1">IF(K29="——","——","大写金额：人民币"&amp;NUMBERSTRING(INT(O39*10000),2)&amp;"元整")</f>
        <v>大写金额：人民币贰亿壹仟捌佰柒拾捌万元整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6" t="s">
        <v>1687</v>
      </c>
      <c r="C32" s="1377">
        <f ca="1">G19-C24</f>
        <v>21878</v>
      </c>
      <c r="D32" s="1378" t="s">
        <v>1688</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79" t="s">
        <v>1689</v>
      </c>
      <c r="C33" s="263">
        <f ca="1">ROUND(C32*10000/'数据-汇总表'!E3,0)</f>
        <v>3240</v>
      </c>
      <c r="D33" s="1380" t="s">
        <v>1690</v>
      </c>
      <c r="E33" s="3339" t="s">
        <v>338</v>
      </c>
      <c r="F33" s="295" t="s">
        <v>339</v>
      </c>
      <c r="G33" s="296"/>
      <c r="H33" s="978"/>
      <c r="I33" s="1253"/>
      <c r="J33" s="2010"/>
      <c r="K33" s="1252" t="str">
        <f>IF(项目基本情况!E9="——","——","抵押净值："&amp;C46&amp;"万元")</f>
        <v>抵押净值：——万元</v>
      </c>
      <c r="L33" s="1246"/>
      <c r="M33" s="1246"/>
      <c r="N33" s="1246"/>
      <c r="O33" s="1245"/>
      <c r="P33" s="2010"/>
      <c r="V33" s="2010"/>
    </row>
    <row r="34" spans="1:26" s="1248" customFormat="1" ht="18.75" thickBot="1">
      <c r="A34" s="299"/>
      <c r="B34" s="1381" t="s">
        <v>1691</v>
      </c>
      <c r="C34" s="263">
        <f ca="1">ROUND(C32*10000/'数据-汇总表'!D3,0)</f>
        <v>8099</v>
      </c>
      <c r="D34" s="1382" t="s">
        <v>1690</v>
      </c>
      <c r="E34" s="3380"/>
      <c r="F34" s="127" t="s">
        <v>341</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75" thickBot="1">
      <c r="A35" s="283"/>
      <c r="B35" s="1383"/>
      <c r="C35" s="1384">
        <f ca="1">ROUND(C32/('数据-汇总表'!D3/666.67),0)</f>
        <v>540</v>
      </c>
      <c r="D35" s="1385" t="s">
        <v>1692</v>
      </c>
      <c r="E35" s="3381"/>
      <c r="F35" s="300" t="s">
        <v>342</v>
      </c>
      <c r="G35" s="980"/>
      <c r="H35" s="979" t="s">
        <v>343</v>
      </c>
      <c r="I35" s="310"/>
      <c r="J35" s="2010"/>
      <c r="K35" s="3354" t="s">
        <v>350</v>
      </c>
      <c r="L35" s="3354" t="s">
        <v>351</v>
      </c>
      <c r="M35" s="1258" t="s">
        <v>352</v>
      </c>
      <c r="N35" s="3354" t="s">
        <v>353</v>
      </c>
      <c r="O35" s="3354" t="s">
        <v>354</v>
      </c>
      <c r="P35" s="2010"/>
      <c r="V35" s="2010"/>
    </row>
    <row r="36" spans="1:26" ht="16.5" customHeight="1">
      <c r="A36" s="302" t="s">
        <v>344</v>
      </c>
      <c r="B36" s="303" t="s">
        <v>333</v>
      </c>
      <c r="C36" s="304" t="s">
        <v>345</v>
      </c>
      <c r="D36" s="304" t="s">
        <v>346</v>
      </c>
      <c r="E36" s="305" t="s">
        <v>347</v>
      </c>
      <c r="F36" s="310"/>
      <c r="G36" s="310"/>
      <c r="H36" s="310"/>
      <c r="I36" s="310"/>
      <c r="J36" s="2012"/>
      <c r="K36" s="3355"/>
      <c r="L36" s="3355"/>
      <c r="M36" s="1260" t="s">
        <v>355</v>
      </c>
      <c r="N36" s="3355"/>
      <c r="O36" s="3355"/>
      <c r="P36" s="2010"/>
      <c r="V36" s="2010"/>
    </row>
    <row r="37" spans="1:26" ht="16.5" customHeight="1" thickBot="1">
      <c r="A37" s="1254" t="s">
        <v>348</v>
      </c>
      <c r="B37" s="306"/>
      <c r="C37" s="293"/>
      <c r="D37" s="293"/>
      <c r="E37" s="294"/>
      <c r="F37" s="310"/>
      <c r="G37" s="310"/>
      <c r="H37" s="310"/>
      <c r="I37" s="310"/>
      <c r="J37" s="2012"/>
      <c r="K37" s="3356"/>
      <c r="L37" s="3356"/>
      <c r="M37" s="1261"/>
      <c r="N37" s="3356"/>
      <c r="O37" s="3356"/>
      <c r="P37" s="2010"/>
      <c r="V37" s="2010"/>
    </row>
    <row r="38" spans="1:26" ht="16.5" customHeight="1" thickBot="1">
      <c r="A38" s="1254" t="s">
        <v>349</v>
      </c>
      <c r="B38" s="306"/>
      <c r="C38" s="293"/>
      <c r="D38" s="293"/>
      <c r="E38" s="294"/>
      <c r="F38" s="310"/>
      <c r="G38" s="310"/>
      <c r="H38" s="310"/>
      <c r="I38" s="310"/>
      <c r="J38" s="2012"/>
      <c r="K38" s="1262">
        <f>'数据-汇总表'!D3</f>
        <v>27011.59</v>
      </c>
      <c r="L38" s="1263">
        <f>'数据-汇总表'!E3</f>
        <v>67528.97</v>
      </c>
      <c r="M38" s="1263">
        <f ca="1">C34</f>
        <v>8099</v>
      </c>
      <c r="N38" s="1263">
        <f ca="1">C33</f>
        <v>3240</v>
      </c>
      <c r="O38" s="1264">
        <f ca="1">C32</f>
        <v>21878</v>
      </c>
      <c r="P38" s="2010"/>
      <c r="V38" s="2010"/>
    </row>
    <row r="39" spans="1:26" ht="16.5" customHeight="1" thickBot="1">
      <c r="A39" s="1259"/>
      <c r="B39" s="307"/>
      <c r="C39" s="308"/>
      <c r="D39" s="308"/>
      <c r="E39" s="309"/>
      <c r="F39" s="310"/>
      <c r="G39" s="310"/>
      <c r="H39" s="310"/>
      <c r="I39" s="310"/>
      <c r="J39" s="2012"/>
      <c r="K39" s="3399" t="str">
        <f>MID(A44,3,LEN(A44)-2)</f>
        <v>抵押价格</v>
      </c>
      <c r="L39" s="3400"/>
      <c r="M39" s="3400"/>
      <c r="N39" s="3401"/>
      <c r="O39" s="1387">
        <f ca="1">C44</f>
        <v>21878</v>
      </c>
      <c r="P39" s="2010"/>
      <c r="V39" s="2010"/>
    </row>
    <row r="40" spans="1:26" ht="19.5" thickBot="1">
      <c r="A40" s="104" t="s">
        <v>872</v>
      </c>
      <c r="B40" s="310"/>
      <c r="C40" s="310"/>
      <c r="D40" s="310"/>
      <c r="E40" s="310"/>
      <c r="F40" s="310"/>
      <c r="G40" s="310"/>
      <c r="H40" s="310"/>
      <c r="I40" s="310"/>
      <c r="J40" s="2012"/>
      <c r="K40" s="3399" t="str">
        <f t="shared" ref="K40:K41" si="0">MID(A45,3,LEN(A45)-2)</f>
        <v/>
      </c>
      <c r="L40" s="3400"/>
      <c r="M40" s="3400"/>
      <c r="N40" s="3401"/>
      <c r="O40" s="1387" t="str">
        <f>C45</f>
        <v>——</v>
      </c>
      <c r="P40" s="2010"/>
      <c r="V40" s="2010"/>
    </row>
    <row r="41" spans="1:26" ht="16.5" thickBot="1">
      <c r="A41" s="311" t="s">
        <v>356</v>
      </c>
      <c r="B41" s="312"/>
      <c r="C41" s="313" t="s">
        <v>357</v>
      </c>
      <c r="D41" s="314" t="s">
        <v>358</v>
      </c>
      <c r="E41" s="314" t="s">
        <v>359</v>
      </c>
      <c r="F41" s="315" t="s">
        <v>360</v>
      </c>
      <c r="G41" s="310"/>
      <c r="H41" s="310"/>
      <c r="I41" s="310"/>
      <c r="J41" s="2012"/>
      <c r="K41" s="3399" t="str">
        <f t="shared" si="0"/>
        <v/>
      </c>
      <c r="L41" s="3400"/>
      <c r="M41" s="3400"/>
      <c r="N41" s="3401"/>
      <c r="O41" s="1387" t="str">
        <f>C46</f>
        <v>——</v>
      </c>
      <c r="P41" s="2010"/>
      <c r="V41" s="2010"/>
    </row>
    <row r="42" spans="1:26" ht="29.25">
      <c r="A42" s="3341" t="s">
        <v>2066</v>
      </c>
      <c r="B42" s="3342"/>
      <c r="C42" s="263">
        <f ca="1">C32</f>
        <v>21878</v>
      </c>
      <c r="D42" s="316">
        <f ca="1">C33</f>
        <v>3240</v>
      </c>
      <c r="E42" s="316">
        <f ca="1">C34</f>
        <v>8099</v>
      </c>
      <c r="F42" s="317">
        <f ca="1">C35</f>
        <v>540</v>
      </c>
      <c r="G42" s="310"/>
      <c r="H42" s="310"/>
      <c r="I42" s="318"/>
      <c r="J42" s="2012"/>
      <c r="K42" s="1265" t="s">
        <v>361</v>
      </c>
      <c r="L42" s="2029" t="s">
        <v>362</v>
      </c>
      <c r="M42" s="1266" t="s">
        <v>363</v>
      </c>
      <c r="N42" s="2030" t="s">
        <v>364</v>
      </c>
      <c r="O42" s="2031" t="s">
        <v>365</v>
      </c>
      <c r="P42" s="2010"/>
      <c r="V42" s="2010"/>
    </row>
    <row r="43" spans="1:26" ht="30">
      <c r="A43" s="3352" t="s">
        <v>2728</v>
      </c>
      <c r="B43" s="3353"/>
      <c r="C43" s="263">
        <f>IF(H33="正常操作",G33+G34+G35,G34+G35)</f>
        <v>0</v>
      </c>
      <c r="D43" s="316" t="s">
        <v>43</v>
      </c>
      <c r="E43" s="316" t="s">
        <v>44</v>
      </c>
      <c r="F43" s="317" t="s">
        <v>44</v>
      </c>
      <c r="G43" s="2818" t="s">
        <v>951</v>
      </c>
      <c r="H43" s="310"/>
      <c r="I43" s="318"/>
      <c r="J43" s="2012"/>
      <c r="K43" s="1267" t="str">
        <f>C4</f>
        <v>比较法-住宅、综合</v>
      </c>
      <c r="L43" s="1268">
        <f ca="1">IF(L42="估价结果/万元",C19,C20)</f>
        <v>14411</v>
      </c>
      <c r="M43" s="1269">
        <f>C18</f>
        <v>0.4</v>
      </c>
      <c r="N43" s="1270">
        <f ca="1">IF(N42="测算结果/万元",G19,G20)</f>
        <v>21878</v>
      </c>
      <c r="O43" s="1271">
        <f ca="1">IF(O42="最终结果/万元",C32,C33)</f>
        <v>21878</v>
      </c>
      <c r="P43" s="2010"/>
      <c r="V43" s="2010"/>
    </row>
    <row r="44" spans="1:26" ht="30.75" thickBot="1">
      <c r="A44" s="3341" t="str">
        <f>IF(OR(项目基本情况!E8="抵押价格",项目基本情况!E8="已注销及未注销"),"3.抵押价格","——")</f>
        <v>3.抵押价格</v>
      </c>
      <c r="B44" s="3342"/>
      <c r="C44" s="263">
        <f ca="1">IF(A44="——","——",C42-C43)</f>
        <v>21878</v>
      </c>
      <c r="D44" s="316">
        <f ca="1">ROUND(C44*10000/'数据-汇总表'!E3,0)</f>
        <v>3240</v>
      </c>
      <c r="E44" s="316">
        <f ca="1">ROUND(C44*10000/'数据-汇总表'!D3,0)</f>
        <v>8099</v>
      </c>
      <c r="F44" s="317">
        <f ca="1">ROUND(C44/('数据-汇总表'!D3/666.67),0)</f>
        <v>540</v>
      </c>
      <c r="G44" s="310"/>
      <c r="H44" s="310"/>
      <c r="I44" s="318"/>
      <c r="J44" s="2012"/>
      <c r="K44" s="1272" t="str">
        <f>D4</f>
        <v>剩余法-待开发</v>
      </c>
      <c r="L44" s="1273">
        <f ca="1">IF(L42="估价结果/万元",D19,D20)</f>
        <v>26856</v>
      </c>
      <c r="M44" s="1274">
        <f>D18</f>
        <v>0.6</v>
      </c>
      <c r="N44" s="1275"/>
      <c r="O44" s="1276"/>
      <c r="P44" s="2010"/>
      <c r="V44" s="2010"/>
    </row>
    <row r="45" spans="1:26" ht="15">
      <c r="A45" s="3347" t="str">
        <f>IF(项目基本情况!E8="已注销及未注销","4.抵押担保权已注销时的抵押价格",IF(项目基本情况!E8="已注销","3.抵押担保权已注销时的抵押价格","——"))</f>
        <v>——</v>
      </c>
      <c r="B45" s="3348"/>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43" t="str">
        <f>IF(项目基本情况!E9="抵押净值",IF(A45="——","4.抵押净值","5.抵押净值"),"——")</f>
        <v>——</v>
      </c>
      <c r="B46" s="3344"/>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88" t="s">
        <v>374</v>
      </c>
      <c r="B63" s="3389"/>
      <c r="C63" s="3390"/>
      <c r="D63" s="340">
        <f ca="1">ROUND(C42*F63,0)</f>
        <v>13127</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49" t="s">
        <v>378</v>
      </c>
      <c r="B64" s="3350"/>
      <c r="C64" s="3350"/>
      <c r="D64" s="3350"/>
      <c r="E64" s="3350"/>
      <c r="F64" s="3350"/>
      <c r="G64" s="3351"/>
      <c r="H64" s="1282"/>
      <c r="I64" s="946"/>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6"/>
      <c r="J65" s="1972"/>
      <c r="K65" s="1283"/>
      <c r="L65" s="1284"/>
      <c r="M65" s="1284"/>
      <c r="N65" s="1316" t="s">
        <v>379</v>
      </c>
      <c r="O65" s="1317"/>
      <c r="P65" s="1318"/>
      <c r="Q65" s="2010"/>
      <c r="R65" s="2010"/>
      <c r="S65" s="2010"/>
      <c r="T65" s="2010"/>
      <c r="U65" s="2010"/>
      <c r="V65" s="2010"/>
    </row>
    <row r="66" spans="1:22" ht="25.5">
      <c r="A66" s="3345" t="s">
        <v>386</v>
      </c>
      <c r="B66" s="3346"/>
      <c r="C66" s="3346"/>
      <c r="D66" s="260">
        <f ca="1">IF(H66="情况1",0,IF(H66="情况2",D70,IF(H66="情况3",D71,IF(H66="情况4",D72))))</f>
        <v>688</v>
      </c>
      <c r="E66" s="991" t="str">
        <f>IF(H66="情况4","(销售额-原购置价)×税（费）率","销售额×税（费）率")</f>
        <v>销售额×税（费）率</v>
      </c>
      <c r="F66" s="349">
        <f>IF(H66="情况1","免征",'数据-取费表'!B41)</f>
        <v>5.5000000000000007E-2</v>
      </c>
      <c r="G66" s="350" t="s">
        <v>387</v>
      </c>
      <c r="H66" s="191" t="s">
        <v>388</v>
      </c>
      <c r="I66" s="1282"/>
      <c r="J66" s="2016"/>
      <c r="K66" s="1285">
        <v>1</v>
      </c>
      <c r="L66" s="3403" t="s">
        <v>385</v>
      </c>
      <c r="M66" s="3404"/>
      <c r="N66" s="2419"/>
      <c r="O66" s="2420"/>
      <c r="P66" s="2421"/>
      <c r="Q66" s="2010"/>
      <c r="R66" s="2010"/>
      <c r="S66" s="2010"/>
      <c r="T66" s="2010"/>
      <c r="U66" s="2010"/>
      <c r="V66" s="2010"/>
    </row>
    <row r="67" spans="1:22" ht="25.5" customHeight="1">
      <c r="A67" s="351" t="s">
        <v>390</v>
      </c>
      <c r="B67" s="3336" t="s">
        <v>391</v>
      </c>
      <c r="C67" s="3336"/>
      <c r="D67" s="352">
        <v>0</v>
      </c>
      <c r="E67" s="41" t="s">
        <v>392</v>
      </c>
      <c r="F67" s="62" t="s">
        <v>21</v>
      </c>
      <c r="G67" s="3391"/>
      <c r="H67" s="310"/>
      <c r="I67" s="1286"/>
      <c r="J67" s="2017"/>
      <c r="K67" s="1958">
        <v>2</v>
      </c>
      <c r="L67" s="3402" t="s">
        <v>389</v>
      </c>
      <c r="M67" s="3402"/>
      <c r="N67" s="1319">
        <f>'数据-取费表'!B2</f>
        <v>43656</v>
      </c>
      <c r="O67" s="1319"/>
      <c r="P67" s="1319"/>
      <c r="Q67" s="2010"/>
      <c r="R67" s="2010"/>
      <c r="S67" s="2010"/>
      <c r="T67" s="2010"/>
      <c r="U67" s="2010"/>
      <c r="V67" s="2010"/>
    </row>
    <row r="68" spans="1:22" ht="25.5" customHeight="1">
      <c r="A68" s="353"/>
      <c r="B68" s="3336" t="s">
        <v>394</v>
      </c>
      <c r="C68" s="3336"/>
      <c r="D68" s="354"/>
      <c r="E68" s="77"/>
      <c r="F68" s="355"/>
      <c r="G68" s="3392"/>
      <c r="H68" s="310"/>
      <c r="I68" s="1286"/>
      <c r="J68" s="2017"/>
      <c r="K68" s="1958">
        <v>3</v>
      </c>
      <c r="L68" s="3402" t="s">
        <v>393</v>
      </c>
      <c r="M68" s="3402"/>
      <c r="N68" s="1287">
        <f ca="1">C42</f>
        <v>21878</v>
      </c>
      <c r="O68" s="1287"/>
      <c r="P68" s="1287"/>
      <c r="Q68" s="2010"/>
      <c r="R68" s="2010"/>
      <c r="S68" s="2010"/>
      <c r="T68" s="2010"/>
      <c r="U68" s="2010"/>
      <c r="V68" s="2010"/>
    </row>
    <row r="69" spans="1:22" ht="12" customHeight="1">
      <c r="A69" s="356"/>
      <c r="B69" s="3336" t="s">
        <v>395</v>
      </c>
      <c r="C69" s="3336"/>
      <c r="D69" s="357"/>
      <c r="E69" s="73"/>
      <c r="F69" s="355"/>
      <c r="G69" s="3393"/>
      <c r="H69" s="310"/>
      <c r="I69" s="1286"/>
      <c r="J69" s="2017"/>
      <c r="K69" s="1288">
        <v>4</v>
      </c>
      <c r="L69" s="3407" t="s">
        <v>2881</v>
      </c>
      <c r="M69" s="3408"/>
      <c r="N69" s="1289">
        <f ca="1">C44</f>
        <v>21878</v>
      </c>
      <c r="O69" s="1289"/>
      <c r="P69" s="1289"/>
      <c r="Q69" s="2010"/>
      <c r="R69" s="2010"/>
      <c r="S69" s="2010"/>
      <c r="T69" s="2010"/>
      <c r="U69" s="2010"/>
      <c r="V69" s="2010"/>
    </row>
    <row r="70" spans="1:22" ht="24" customHeight="1">
      <c r="A70" s="358" t="s">
        <v>396</v>
      </c>
      <c r="B70" s="3336" t="s">
        <v>397</v>
      </c>
      <c r="C70" s="3336"/>
      <c r="D70" s="357">
        <f ca="1">ROUND(D63*'数据-取费表'!B41/(1+'数据-取费表'!C42),0)</f>
        <v>688</v>
      </c>
      <c r="E70" s="17" t="s">
        <v>398</v>
      </c>
      <c r="F70" s="359">
        <f>'数据-取费表'!B41</f>
        <v>5.5000000000000007E-2</v>
      </c>
      <c r="G70" s="360"/>
      <c r="H70" s="310"/>
      <c r="I70" s="1286"/>
      <c r="J70" s="2017"/>
      <c r="K70" s="3009"/>
      <c r="L70" s="3010"/>
      <c r="M70" s="3010"/>
      <c r="N70" s="3011" t="s">
        <v>2886</v>
      </c>
      <c r="O70" s="3010"/>
      <c r="P70" s="3012"/>
      <c r="Q70" s="2010"/>
      <c r="R70" s="2010"/>
      <c r="S70" s="2010"/>
      <c r="T70" s="2010"/>
      <c r="U70" s="2010"/>
      <c r="V70" s="2010"/>
    </row>
    <row r="71" spans="1:22" ht="12" customHeight="1">
      <c r="A71" s="358" t="s">
        <v>404</v>
      </c>
      <c r="B71" s="3337" t="s">
        <v>405</v>
      </c>
      <c r="C71" s="3338"/>
      <c r="D71" s="357">
        <f ca="1">ROUND(D63*'数据-取费表'!B41/(1+'数据-取费表'!C42),0)</f>
        <v>688</v>
      </c>
      <c r="E71" s="17" t="s">
        <v>398</v>
      </c>
      <c r="F71" s="359">
        <f>'数据-取费表'!B41</f>
        <v>5.5000000000000007E-2</v>
      </c>
      <c r="G71" s="360"/>
      <c r="H71" s="310"/>
      <c r="I71" s="1286"/>
      <c r="J71" s="2017"/>
      <c r="K71" s="3008" t="s">
        <v>399</v>
      </c>
      <c r="L71" s="3409" t="s">
        <v>400</v>
      </c>
      <c r="M71" s="3409"/>
      <c r="N71" s="3008" t="s">
        <v>401</v>
      </c>
      <c r="O71" s="3008" t="s">
        <v>402</v>
      </c>
      <c r="P71" s="3008" t="s">
        <v>403</v>
      </c>
      <c r="Q71" s="2010"/>
      <c r="R71" s="2010"/>
      <c r="S71" s="2010"/>
      <c r="T71" s="2010"/>
      <c r="U71" s="2010"/>
      <c r="V71" s="2010"/>
    </row>
    <row r="72" spans="1:22" ht="12" customHeight="1">
      <c r="A72" s="358" t="s">
        <v>407</v>
      </c>
      <c r="B72" s="3337" t="s">
        <v>408</v>
      </c>
      <c r="C72" s="3338"/>
      <c r="D72" s="357">
        <f ca="1">C86</f>
        <v>578</v>
      </c>
      <c r="E72" s="73" t="s">
        <v>409</v>
      </c>
      <c r="F72" s="359">
        <f>'数据-取费表'!B41</f>
        <v>5.5000000000000007E-2</v>
      </c>
      <c r="G72" s="360"/>
      <c r="H72" s="1292"/>
      <c r="I72" s="1286"/>
      <c r="J72" s="2017"/>
      <c r="K72" s="1958">
        <v>1</v>
      </c>
      <c r="L72" s="3384" t="s">
        <v>406</v>
      </c>
      <c r="M72" s="3384"/>
      <c r="N72" s="1290">
        <f ca="1">D66</f>
        <v>688</v>
      </c>
      <c r="O72" s="1841" t="str">
        <f>E66</f>
        <v>销售额×税（费）率</v>
      </c>
      <c r="P72" s="1291">
        <f>F66</f>
        <v>5.5000000000000007E-2</v>
      </c>
      <c r="Q72" s="2010"/>
      <c r="R72" s="2010"/>
      <c r="S72" s="2010"/>
      <c r="T72" s="2010"/>
      <c r="U72" s="2010"/>
      <c r="V72" s="2010"/>
    </row>
    <row r="73" spans="1:22" ht="24" customHeight="1">
      <c r="A73" s="3378" t="s">
        <v>411</v>
      </c>
      <c r="B73" s="3346"/>
      <c r="C73" s="3346"/>
      <c r="D73" s="361">
        <f>IF(H73="个人住宅",0,ROUND(D63*I73,0))</f>
        <v>0</v>
      </c>
      <c r="E73" s="17" t="s">
        <v>412</v>
      </c>
      <c r="F73" s="359" t="str">
        <f>IF(H73="正常",I73,"免征")</f>
        <v>免征</v>
      </c>
      <c r="G73" s="360"/>
      <c r="H73" s="191" t="s">
        <v>2454</v>
      </c>
      <c r="I73" s="359">
        <f>'数据-取费表'!B49</f>
        <v>5.0000000000000001E-4</v>
      </c>
      <c r="J73" s="2017"/>
      <c r="K73" s="1958">
        <v>2</v>
      </c>
      <c r="L73" s="3384" t="s">
        <v>410</v>
      </c>
      <c r="M73" s="3384"/>
      <c r="N73" s="1290">
        <f t="shared" ref="N73:P74" si="1">D73</f>
        <v>0</v>
      </c>
      <c r="O73" s="1841" t="str">
        <f t="shared" si="1"/>
        <v>销售额×税（费）率</v>
      </c>
      <c r="P73" s="1291" t="str">
        <f t="shared" si="1"/>
        <v>免征</v>
      </c>
      <c r="Q73" s="2010"/>
      <c r="R73" s="2010"/>
      <c r="S73" s="2010"/>
      <c r="T73" s="2010"/>
      <c r="U73" s="2010"/>
      <c r="V73" s="2010"/>
    </row>
    <row r="74" spans="1:22" ht="24.75">
      <c r="A74" s="3378" t="s">
        <v>415</v>
      </c>
      <c r="B74" s="3346"/>
      <c r="C74" s="3346"/>
      <c r="D74" s="361">
        <f ca="1">IF(H74="个人住宅",D75,D76)</f>
        <v>6781</v>
      </c>
      <c r="E74" s="17" t="s">
        <v>416</v>
      </c>
      <c r="F74" s="359" t="str">
        <f>IF(H74="正常",F76,"免征")</f>
        <v>——</v>
      </c>
      <c r="G74" s="981" t="s">
        <v>417</v>
      </c>
      <c r="H74" s="362" t="s">
        <v>413</v>
      </c>
      <c r="I74" s="42"/>
      <c r="J74" s="2017"/>
      <c r="K74" s="1958">
        <v>3</v>
      </c>
      <c r="L74" s="3384" t="s">
        <v>414</v>
      </c>
      <c r="M74" s="3384"/>
      <c r="N74" s="1290">
        <f t="shared" ca="1" si="1"/>
        <v>6781</v>
      </c>
      <c r="O74" s="1841" t="str">
        <f t="shared" si="1"/>
        <v>增值额×税（费）率</v>
      </c>
      <c r="P74" s="1293" t="str">
        <f t="shared" si="1"/>
        <v>——</v>
      </c>
      <c r="Q74" s="2010"/>
      <c r="R74" s="2010"/>
      <c r="S74" s="2010"/>
      <c r="T74" s="2010"/>
      <c r="U74" s="2010"/>
      <c r="V74" s="2010"/>
    </row>
    <row r="75" spans="1:22" ht="24">
      <c r="A75" s="358" t="s">
        <v>418</v>
      </c>
      <c r="B75" s="3334" t="s">
        <v>419</v>
      </c>
      <c r="C75" s="3364"/>
      <c r="D75" s="363">
        <v>0</v>
      </c>
      <c r="E75" s="41" t="s">
        <v>420</v>
      </c>
      <c r="F75" s="364"/>
      <c r="G75" s="360"/>
      <c r="H75" s="42"/>
      <c r="I75" s="42"/>
      <c r="J75" s="2017"/>
      <c r="K75" s="3001">
        <f>IF(H77="非个人房产","",4)</f>
        <v>4</v>
      </c>
      <c r="L75" s="3384" t="str">
        <f>IF(H77="非个人房产","——","个人所得税")</f>
        <v>个人所得税</v>
      </c>
      <c r="M75" s="3384"/>
      <c r="N75" s="1294">
        <f ca="1">D77</f>
        <v>131</v>
      </c>
      <c r="O75" s="1854" t="str">
        <f>E77</f>
        <v>销售额×税（费）率</v>
      </c>
      <c r="P75" s="1295">
        <f>F77</f>
        <v>0.01</v>
      </c>
      <c r="Q75" s="2010"/>
      <c r="R75" s="2010"/>
      <c r="S75" s="2010"/>
      <c r="T75" s="2010"/>
      <c r="U75" s="2010"/>
      <c r="V75" s="2010"/>
    </row>
    <row r="76" spans="1:22" ht="24.75">
      <c r="A76" s="358" t="s">
        <v>396</v>
      </c>
      <c r="B76" s="3334" t="s">
        <v>422</v>
      </c>
      <c r="C76" s="3335"/>
      <c r="D76" s="361">
        <f ca="1">IF(H76="转让取得",C99,C115)</f>
        <v>6781</v>
      </c>
      <c r="E76" s="17" t="s">
        <v>423</v>
      </c>
      <c r="F76" s="53" t="s">
        <v>21</v>
      </c>
      <c r="G76" s="360"/>
      <c r="H76" s="362" t="s">
        <v>424</v>
      </c>
      <c r="I76" s="42"/>
      <c r="J76" s="2017"/>
      <c r="K76" s="3001" t="str">
        <f>IF(项目基本情况!K6="上海银行",IF(K75="",4,K75+1),"")</f>
        <v/>
      </c>
      <c r="L76" s="3395" t="str">
        <f>IF(项目基本情况!K6="上海银行","其他处置费用","")</f>
        <v/>
      </c>
      <c r="M76" s="3396"/>
      <c r="N76" s="1290" t="str">
        <f>IF(项目基本情况!K6="上海银行",N89,"")</f>
        <v/>
      </c>
      <c r="O76" s="3397" t="str">
        <f>IF(项目基本情况!K6="上海银行","包含处置中涉及的律师、诉讼、拍卖、评估等费用","")</f>
        <v/>
      </c>
      <c r="P76" s="3398"/>
      <c r="Q76" s="2010"/>
      <c r="R76" s="2010"/>
      <c r="S76" s="2010"/>
      <c r="T76" s="2010"/>
      <c r="U76" s="2010"/>
      <c r="V76" s="2010"/>
    </row>
    <row r="77" spans="1:22" ht="26.25" thickBot="1">
      <c r="A77" s="3386" t="s">
        <v>426</v>
      </c>
      <c r="B77" s="3387"/>
      <c r="C77" s="3387"/>
      <c r="D77" s="365">
        <f ca="1">IF(H77="非个人房产","——",IF(H77="个人住宅",0,ROUND(D63*I77,0)))</f>
        <v>131</v>
      </c>
      <c r="E77" s="366" t="str">
        <f>IF(H77="非个人房产","——","销售额×税（费）率")</f>
        <v>销售额×税（费）率</v>
      </c>
      <c r="F77" s="367">
        <f>IF(H77="非个人房产","——",IF(H77="个人住宅","免征",I77))</f>
        <v>0.01</v>
      </c>
      <c r="G77" s="982" t="s">
        <v>417</v>
      </c>
      <c r="H77" s="362" t="s">
        <v>2882</v>
      </c>
      <c r="I77" s="368">
        <v>0.01</v>
      </c>
      <c r="J77" s="2017"/>
      <c r="K77" s="3385">
        <f>IF(AND(K75="",K76=""),4,IF(项目基本情况!K6="上海银行",K76+1,K75+1))</f>
        <v>5</v>
      </c>
      <c r="L77" s="3384" t="s">
        <v>2883</v>
      </c>
      <c r="M77" s="3007" t="s">
        <v>421</v>
      </c>
      <c r="N77" s="1296"/>
      <c r="O77" s="1297">
        <f ca="1">SUMIF(N72:N76,"&lt;9e307")</f>
        <v>7600</v>
      </c>
      <c r="P77" s="1298"/>
      <c r="Q77" s="3005">
        <f ca="1">O77/N69</f>
        <v>0.3473809306152299</v>
      </c>
      <c r="R77" s="2010"/>
      <c r="S77" s="2010"/>
      <c r="T77" s="2010"/>
      <c r="U77" s="2010"/>
      <c r="V77" s="2010"/>
    </row>
    <row r="78" spans="1:22" ht="12" customHeight="1">
      <c r="A78" s="1299"/>
      <c r="B78" s="310"/>
      <c r="C78" s="310"/>
      <c r="D78" s="310"/>
      <c r="E78" s="42"/>
      <c r="F78" s="42"/>
      <c r="G78" s="42"/>
      <c r="H78" s="1001"/>
      <c r="I78" s="310"/>
      <c r="J78" s="2017"/>
      <c r="K78" s="3385"/>
      <c r="L78" s="3384"/>
      <c r="M78" s="3007" t="s">
        <v>425</v>
      </c>
      <c r="N78" s="1296"/>
      <c r="O78" s="1297" t="str">
        <f ca="1">NUMBERSTRING(INT(O77*10000),2)&amp;"元整"</f>
        <v>柒仟陆佰万元整</v>
      </c>
      <c r="P78" s="1298"/>
      <c r="Q78" s="2010"/>
      <c r="R78" s="2010"/>
      <c r="S78" s="2010"/>
      <c r="T78" s="2010"/>
      <c r="U78" s="2010"/>
      <c r="V78" s="2010"/>
    </row>
    <row r="79" spans="1:22" ht="13.5" thickBot="1">
      <c r="A79" s="3379" t="s">
        <v>427</v>
      </c>
      <c r="B79" s="3379"/>
      <c r="C79" s="3379"/>
      <c r="D79" s="3379"/>
      <c r="E79" s="3379"/>
      <c r="F79" s="42"/>
      <c r="G79" s="42"/>
      <c r="H79" s="1001"/>
      <c r="I79" s="310"/>
      <c r="J79" s="2017"/>
      <c r="K79" s="3405">
        <f>K77+1</f>
        <v>6</v>
      </c>
      <c r="L79" s="3384" t="s">
        <v>2884</v>
      </c>
      <c r="M79" s="3007" t="s">
        <v>421</v>
      </c>
      <c r="N79" s="1296"/>
      <c r="O79" s="1297">
        <f ca="1">N69-O77</f>
        <v>14278</v>
      </c>
      <c r="P79" s="1298"/>
      <c r="Q79" s="2010"/>
      <c r="R79" s="2010"/>
      <c r="S79" s="2010"/>
      <c r="T79" s="2010"/>
      <c r="U79" s="2010"/>
      <c r="V79" s="2010"/>
    </row>
    <row r="80" spans="1:22" ht="25.5">
      <c r="A80" s="3374" t="s">
        <v>428</v>
      </c>
      <c r="B80" s="3375"/>
      <c r="C80" s="992"/>
      <c r="D80" s="992" t="s">
        <v>429</v>
      </c>
      <c r="E80" s="369" t="s">
        <v>430</v>
      </c>
      <c r="F80" s="42"/>
      <c r="G80" s="42"/>
      <c r="H80" s="1001"/>
      <c r="I80" s="310"/>
      <c r="J80" s="2010"/>
      <c r="K80" s="3406"/>
      <c r="L80" s="3384"/>
      <c r="M80" s="3007" t="s">
        <v>425</v>
      </c>
      <c r="N80" s="1296"/>
      <c r="O80" s="1297" t="str">
        <f ca="1">NUMBERSTRING(INT(O79*10000),2)&amp;"元整"</f>
        <v>壹亿肆仟贰佰柒拾捌万元整</v>
      </c>
      <c r="P80" s="1298"/>
      <c r="Q80" s="2010"/>
      <c r="R80" s="2010"/>
      <c r="S80" s="2010"/>
      <c r="T80" s="2010"/>
      <c r="U80" s="2010"/>
      <c r="V80" s="2010"/>
    </row>
    <row r="81" spans="1:26" ht="13.5" thickBot="1">
      <c r="A81" s="380" t="s">
        <v>1822</v>
      </c>
      <c r="B81" s="370" t="s">
        <v>431</v>
      </c>
      <c r="C81" s="371">
        <f ca="1">ROUND((C82+C83)/(1+'数据-取费表'!C42),0)</f>
        <v>12502</v>
      </c>
      <c r="D81" s="372"/>
      <c r="E81" s="373"/>
      <c r="F81" s="42"/>
      <c r="G81" s="42"/>
      <c r="H81" s="1001"/>
      <c r="I81" s="310"/>
      <c r="J81" s="2010"/>
      <c r="K81" s="3001">
        <f>K79+1</f>
        <v>7</v>
      </c>
      <c r="L81" s="3382" t="s">
        <v>2885</v>
      </c>
      <c r="M81" s="3383"/>
      <c r="N81" s="1300"/>
      <c r="O81" s="1301">
        <f ca="1">ROUND(O79*10000/'数据-汇总表'!E3,0)</f>
        <v>2114</v>
      </c>
      <c r="P81" s="1302"/>
      <c r="Q81" s="2010"/>
      <c r="R81" s="2010"/>
      <c r="S81" s="2010"/>
      <c r="T81" s="2010"/>
      <c r="U81" s="2010"/>
      <c r="V81" s="2010"/>
    </row>
    <row r="82" spans="1:26" ht="13.5" thickTop="1">
      <c r="A82" s="374" t="s">
        <v>1823</v>
      </c>
      <c r="B82" s="375" t="s">
        <v>432</v>
      </c>
      <c r="C82" s="376">
        <f ca="1">D63</f>
        <v>13127</v>
      </c>
      <c r="D82" s="377" t="s">
        <v>19</v>
      </c>
      <c r="E82" s="378"/>
      <c r="F82" s="42"/>
      <c r="G82" s="42"/>
      <c r="H82" s="1001"/>
      <c r="I82" s="310"/>
      <c r="J82" s="2010"/>
      <c r="K82" s="2010"/>
      <c r="L82" s="2010"/>
      <c r="M82" s="2010"/>
      <c r="N82" s="2010"/>
      <c r="O82" s="2010"/>
      <c r="P82" s="2010"/>
      <c r="Q82" s="2010"/>
      <c r="R82" s="2010"/>
      <c r="S82" s="2010"/>
      <c r="T82" s="2010"/>
      <c r="U82" s="2010"/>
      <c r="V82" s="2010"/>
    </row>
    <row r="83" spans="1:26" ht="12.75">
      <c r="A83" s="374" t="s">
        <v>1824</v>
      </c>
      <c r="B83" s="375" t="s">
        <v>433</v>
      </c>
      <c r="C83" s="379">
        <v>0</v>
      </c>
      <c r="D83" s="377"/>
      <c r="E83" s="378"/>
      <c r="F83" s="42"/>
      <c r="G83" s="42"/>
      <c r="H83" s="1001"/>
      <c r="I83" s="310"/>
      <c r="J83" s="2010"/>
      <c r="K83" s="3394" t="s">
        <v>2872</v>
      </c>
      <c r="L83" s="3013" t="s">
        <v>2873</v>
      </c>
      <c r="M83" s="3003">
        <f ca="1">IF(N69&gt;10000,N69*0.5%,IF(AND(N69&gt;1000,N69&lt;=10000),N69*1%,IF(AND(N69&gt;100,N69&lt;=1000),N69*3%,IF(AND(N69&gt;10,N69&lt;=100),N69*5%,N69*8%))))</f>
        <v>109.39</v>
      </c>
      <c r="N83" s="53">
        <f ca="1">ROUND(M83,1)</f>
        <v>109.4</v>
      </c>
      <c r="O83" s="3006"/>
      <c r="P83" s="2010"/>
      <c r="Q83" s="2010"/>
      <c r="R83" s="2010"/>
      <c r="S83" s="2010"/>
      <c r="T83" s="2010"/>
      <c r="U83" s="2010"/>
      <c r="V83" s="2010"/>
    </row>
    <row r="84" spans="1:26" ht="12.75">
      <c r="A84" s="380" t="s">
        <v>1825</v>
      </c>
      <c r="B84" s="381" t="s">
        <v>434</v>
      </c>
      <c r="C84" s="382">
        <v>2000</v>
      </c>
      <c r="D84" s="383" t="s">
        <v>19</v>
      </c>
      <c r="E84" s="3047" t="s">
        <v>2935</v>
      </c>
      <c r="F84" s="42"/>
      <c r="G84" s="42"/>
      <c r="H84" s="1001"/>
      <c r="I84" s="310"/>
      <c r="J84" s="2010"/>
      <c r="K84" s="3394"/>
      <c r="L84" s="3013" t="s">
        <v>2874</v>
      </c>
      <c r="M84" s="3003">
        <f ca="1">IF(N69&gt;2000,N69*0.5%,IF(AND(N69&gt;1000,N69&lt;=2000),N69*0.6%,IF(AND(N69&gt;500,N69&lt;=1000),N69*0.7%,IF(AND(N69&gt;200,N69&lt;=500),N69*0.8%,IF(AND(N69&gt;100,N69&lt;=200),N69*0.9%,IF(AND(N69&gt;50,N69&lt;=100),N69*1%,IF(AND(N69&gt;20,N69&lt;=50),N69*1.5%,IF(AND(N69&gt;10,N69&lt;=20),N69*2%,IF(AND(N69&gt;1,N69&lt;=10),N69*2.5%)))))))))</f>
        <v>109.39</v>
      </c>
      <c r="N84" s="53">
        <f t="shared" ref="N84:N85" ca="1" si="2">ROUND(M84,1)</f>
        <v>109.4</v>
      </c>
      <c r="O84" s="2010" t="s">
        <v>2875</v>
      </c>
      <c r="P84" s="2010"/>
      <c r="Q84" s="2010"/>
      <c r="R84" s="2010"/>
      <c r="S84" s="2010"/>
      <c r="T84" s="2010"/>
      <c r="U84" s="2010"/>
      <c r="V84" s="2010"/>
    </row>
    <row r="85" spans="1:26" ht="12.75">
      <c r="A85" s="380" t="s">
        <v>1826</v>
      </c>
      <c r="B85" s="381" t="s">
        <v>435</v>
      </c>
      <c r="C85" s="384">
        <f ca="1">C81-C84</f>
        <v>10502</v>
      </c>
      <c r="D85" s="377" t="s">
        <v>19</v>
      </c>
      <c r="E85" s="378"/>
      <c r="F85" s="42"/>
      <c r="G85" s="42"/>
      <c r="H85" s="1001"/>
      <c r="I85" s="310"/>
      <c r="J85" s="2010"/>
      <c r="K85" s="3394"/>
      <c r="L85" s="3013" t="s">
        <v>2876</v>
      </c>
      <c r="M85" s="3003">
        <f ca="1">IF(N69&gt;1000,N69*0.1%,IF(AND(N69&gt;500,N69&lt;=1000),N69*0.5%,IF(AND(N69&gt;50,N69&lt;=500),N69*1%,IF(AND(N69&gt;1,N69&lt;=50),N69*1.5%))))</f>
        <v>21.878</v>
      </c>
      <c r="N85" s="53">
        <f t="shared" ca="1" si="2"/>
        <v>21.9</v>
      </c>
      <c r="O85" s="2010" t="s">
        <v>2875</v>
      </c>
      <c r="P85" s="2010"/>
      <c r="Q85" s="2010"/>
      <c r="R85" s="2010"/>
      <c r="S85" s="2010"/>
      <c r="T85" s="2010"/>
      <c r="U85" s="2010"/>
      <c r="V85" s="2010"/>
    </row>
    <row r="86" spans="1:26" ht="13.5" thickBot="1">
      <c r="A86" s="385" t="s">
        <v>1827</v>
      </c>
      <c r="B86" s="386" t="s">
        <v>436</v>
      </c>
      <c r="C86" s="387">
        <f ca="1">IF(C85&lt;=0,0,ROUND(C85*D86,0))</f>
        <v>578</v>
      </c>
      <c r="D86" s="388">
        <f>'数据-取费表'!B41</f>
        <v>5.5000000000000007E-2</v>
      </c>
      <c r="E86" s="389"/>
      <c r="F86" s="42"/>
      <c r="G86" s="42"/>
      <c r="H86" s="1001"/>
      <c r="I86" s="310"/>
      <c r="J86" s="2010"/>
      <c r="K86" s="3394"/>
      <c r="L86" s="3013" t="s">
        <v>2877</v>
      </c>
      <c r="M86" s="3003">
        <f ca="1">N69*0.5%</f>
        <v>109.39</v>
      </c>
      <c r="N86" s="53">
        <f ca="1">IF(M86&gt;0.5,0.5,ROUND(M86,0))</f>
        <v>0.5</v>
      </c>
      <c r="O86" s="2010" t="s">
        <v>2878</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94"/>
      <c r="L87" s="3013" t="s">
        <v>2879</v>
      </c>
      <c r="M87" s="3003">
        <f ca="1">IF(N69&gt;=10000,(8.25+(N69-10000)*0.01%),IF(AND(N69&gt;=8000,N69&lt;10000),(7.85+(N69-8000)*0.02%),IF(AND(N69&gt;=5000,N69&lt;8000),(6.65+(N69-5000)*0.04%),IF(AND(N69&gt;=2000,N69&lt;5000),(4.25+(PN69-2000)*0.08%),IF(AND(N69&gt;=1000,N69&lt;2000),(2.75+(N69-1000)*0.15%),IF(AND(N69&gt;=100,N69&lt;1000),(0.5+(N69-100)*0.25%),IF(AND(N69&gt;0,N69&lt;100),N69*0.5%)))))))</f>
        <v>9.4377999999999993</v>
      </c>
      <c r="N87" s="53">
        <f ca="1">ROUND(M87*0.9,1)</f>
        <v>8.5</v>
      </c>
      <c r="O87" s="3006"/>
      <c r="P87" s="310"/>
      <c r="Q87" s="2010"/>
      <c r="R87" s="2010"/>
      <c r="S87" s="2010"/>
      <c r="T87" s="2010"/>
      <c r="U87" s="2010"/>
      <c r="V87" s="2010"/>
      <c r="W87" s="291"/>
      <c r="X87" s="291"/>
      <c r="Y87" s="291"/>
      <c r="Z87" s="291"/>
    </row>
    <row r="88" spans="1:26" s="1308" customFormat="1" ht="15" thickBot="1">
      <c r="A88" s="3376" t="s">
        <v>437</v>
      </c>
      <c r="B88" s="3377"/>
      <c r="C88" s="3377"/>
      <c r="D88" s="3377"/>
      <c r="E88" s="3377"/>
      <c r="F88" s="3377"/>
      <c r="G88" s="3377"/>
      <c r="H88" s="3377"/>
      <c r="I88" s="1309"/>
      <c r="J88" s="2018"/>
      <c r="K88" s="3394"/>
      <c r="L88" s="3013" t="s">
        <v>2880</v>
      </c>
      <c r="M88" s="3003">
        <f ca="1">IF(N69&gt;10000,N69*0.5%,IF(AND(N69&gt;5000,N69&lt;=10000),N69*1%,IF(AND(N69&gt;1000,N69&lt;=5000),N69*2%,IF(AND(N69&gt;200,N69&lt;=1000),N69*3%,N69*5%))))</f>
        <v>109.39</v>
      </c>
      <c r="N88" s="53">
        <f ca="1">ROUND(M88,1)</f>
        <v>109.4</v>
      </c>
      <c r="O88" s="3006"/>
      <c r="P88" s="11"/>
      <c r="Q88" s="2015"/>
      <c r="R88" s="2015"/>
      <c r="S88" s="2015"/>
      <c r="T88" s="2015"/>
      <c r="U88" s="2015"/>
      <c r="V88" s="2015"/>
      <c r="W88" s="2019"/>
      <c r="X88" s="2019"/>
      <c r="Y88" s="2019"/>
      <c r="Z88" s="2019"/>
    </row>
    <row r="89" spans="1:26" s="1308" customFormat="1" ht="14.25">
      <c r="A89" s="3374" t="s">
        <v>428</v>
      </c>
      <c r="B89" s="3375"/>
      <c r="C89" s="992"/>
      <c r="D89" s="992" t="s">
        <v>429</v>
      </c>
      <c r="E89" s="390" t="s">
        <v>438</v>
      </c>
      <c r="F89" s="391"/>
      <c r="G89" s="391"/>
      <c r="H89" s="392"/>
      <c r="I89" s="1310"/>
      <c r="J89" s="2020"/>
      <c r="K89" s="3394"/>
      <c r="L89" s="3013" t="s">
        <v>27</v>
      </c>
      <c r="M89" s="3004"/>
      <c r="N89" s="53">
        <f ca="1">ROUND(SUM(N83:N88),0)</f>
        <v>359</v>
      </c>
      <c r="O89" s="3014">
        <f ca="1">N89/N69</f>
        <v>1.6409178169850991E-2</v>
      </c>
      <c r="P89" s="2015"/>
      <c r="Q89" s="2015"/>
      <c r="R89" s="2015"/>
      <c r="S89" s="2015"/>
      <c r="T89" s="2015"/>
      <c r="U89" s="2015"/>
      <c r="V89" s="2015"/>
      <c r="W89" s="2019"/>
      <c r="X89" s="2019"/>
      <c r="Y89" s="2019"/>
      <c r="Z89" s="2019"/>
    </row>
    <row r="90" spans="1:26" s="1308" customFormat="1" ht="14.25">
      <c r="A90" s="380" t="s">
        <v>1822</v>
      </c>
      <c r="B90" s="381" t="s">
        <v>439</v>
      </c>
      <c r="C90" s="384">
        <f ca="1">ROUND(D63/(1+'数据-取费表'!C42),0)</f>
        <v>12502</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0" t="s">
        <v>1828</v>
      </c>
      <c r="B91" s="347" t="s">
        <v>440</v>
      </c>
      <c r="C91" s="384">
        <f ca="1">C92+C96</f>
        <v>2644</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1829</v>
      </c>
      <c r="B92" s="375" t="s">
        <v>441</v>
      </c>
      <c r="C92" s="377">
        <f>ROUND(IF(G95="2016年5月1日后购买",C93/(1+'数据-取费表'!C30)+C94+C95,C93+C94+C95),0)</f>
        <v>2581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4" t="s">
        <v>1830</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1831</v>
      </c>
      <c r="B94" s="399" t="s">
        <v>446</v>
      </c>
      <c r="C94" s="377">
        <f>IF(F93="购房发票",ROUND(C93*H93*5%,0),0)</f>
        <v>500</v>
      </c>
      <c r="D94" s="400">
        <v>0.05</v>
      </c>
      <c r="E94" s="3337" t="s">
        <v>447</v>
      </c>
      <c r="F94" s="3336"/>
      <c r="G94" s="3336"/>
      <c r="H94" s="3373"/>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1832</v>
      </c>
      <c r="B95" s="375" t="s">
        <v>448</v>
      </c>
      <c r="C95" s="377">
        <f>ROUND(IF(G95="个人买卖住房",0,IF(G95="2016年5月1日前购买",C93*D95,C93*D95/(1+'数据-取费表'!C42))),0)</f>
        <v>81</v>
      </c>
      <c r="D95" s="401">
        <f>'数据-取费表'!B48+'数据-取费表'!B49</f>
        <v>4.0500000000000001E-2</v>
      </c>
      <c r="E95" s="26" t="s">
        <v>449</v>
      </c>
      <c r="F95" s="402"/>
      <c r="G95" s="403" t="s">
        <v>2428</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1833</v>
      </c>
      <c r="B96" s="375" t="s">
        <v>450</v>
      </c>
      <c r="C96" s="404">
        <f ca="1">ROUND(D63*D96/(1+'数据-取费表'!C42),0)</f>
        <v>63</v>
      </c>
      <c r="D96" s="405">
        <f>'数据-取费表'!B43</f>
        <v>5.000000000000001E-3</v>
      </c>
      <c r="E96" s="3365" t="s">
        <v>2427</v>
      </c>
      <c r="F96" s="3366"/>
      <c r="G96" s="3366"/>
      <c r="H96" s="3367"/>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601" t="s">
        <v>1834</v>
      </c>
      <c r="B97" s="381" t="s">
        <v>451</v>
      </c>
      <c r="C97" s="384">
        <f ca="1">C90-C91</f>
        <v>9858</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601" t="s">
        <v>1835</v>
      </c>
      <c r="B98" s="381" t="s">
        <v>452</v>
      </c>
      <c r="C98" s="406">
        <f ca="1">IF(C97&lt;=0,0,C97/C91)</f>
        <v>3.7284417549167927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2" t="s">
        <v>1836</v>
      </c>
      <c r="B99" s="386" t="s">
        <v>453</v>
      </c>
      <c r="C99" s="407">
        <f ca="1">ROUND(IF(C97&lt;=0,0,IF(C98&gt;=200%,C97*60%-C91*35%,IF(C98&gt;=100%,C97*50%-C91*15%,IF(C98&gt;=50%,C97*40%-C91*5%,IF(C98&lt;50%,C97*30%,0))))),0)</f>
        <v>4989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76" t="s">
        <v>454</v>
      </c>
      <c r="B101" s="3377"/>
      <c r="C101" s="3377"/>
      <c r="D101" s="3377"/>
      <c r="E101" s="3377"/>
      <c r="F101" s="3377"/>
      <c r="G101" s="3377"/>
      <c r="H101" s="3377"/>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74" t="s">
        <v>428</v>
      </c>
      <c r="B102" s="3375"/>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0" t="s">
        <v>1822</v>
      </c>
      <c r="B103" s="381" t="s">
        <v>439</v>
      </c>
      <c r="C103" s="384">
        <f ca="1">ROUND(D63/(1+'数据-取费表'!C42),0)</f>
        <v>12502</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0" t="s">
        <v>1828</v>
      </c>
      <c r="B104" s="347" t="s">
        <v>440</v>
      </c>
      <c r="C104" s="384">
        <f ca="1">IF(H106="仅含出让金",C105+C108+C109+C110+C111+C112,C105+C109+C110+C111+C112)</f>
        <v>758</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4" t="s">
        <v>1829</v>
      </c>
      <c r="B105" s="375" t="s">
        <v>455</v>
      </c>
      <c r="C105" s="404">
        <f>C106+C107</f>
        <v>577</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4" t="s">
        <v>1830</v>
      </c>
      <c r="B106" s="375" t="s">
        <v>456</v>
      </c>
      <c r="C106" s="415">
        <v>555</v>
      </c>
      <c r="D106" s="405"/>
      <c r="E106" s="416" t="s">
        <v>457</v>
      </c>
      <c r="F106" s="984"/>
      <c r="G106" s="417" t="s">
        <v>458</v>
      </c>
      <c r="H106" s="418" t="s">
        <v>2438</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4" t="s">
        <v>1831</v>
      </c>
      <c r="B107" s="375" t="s">
        <v>448</v>
      </c>
      <c r="C107" s="404">
        <f>ROUND(C106*D107,0)</f>
        <v>22</v>
      </c>
      <c r="D107" s="405">
        <f>'数据-取费表'!B48+'数据-取费表'!B49</f>
        <v>4.0500000000000001E-2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4" t="s">
        <v>1833</v>
      </c>
      <c r="B108" s="375" t="s">
        <v>460</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3" t="s">
        <v>1837</v>
      </c>
      <c r="B109" s="375" t="s">
        <v>461</v>
      </c>
      <c r="C109" s="404">
        <f>IF(H109="——",IF(F1="现房",'剩余法-现房'!C18,'剩余法-待开发'!C18),I109)</f>
        <v>55</v>
      </c>
      <c r="D109" s="405"/>
      <c r="E109" s="3368" t="s">
        <v>462</v>
      </c>
      <c r="F109" s="3366"/>
      <c r="G109" s="3366"/>
      <c r="H109" s="1923" t="s">
        <v>2278</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3" t="s">
        <v>1838</v>
      </c>
      <c r="B110" s="375" t="s">
        <v>463</v>
      </c>
      <c r="C110" s="404">
        <f>ROUND((C105+C108+C109)*D110,0)</f>
        <v>63</v>
      </c>
      <c r="D110" s="405">
        <v>0.1</v>
      </c>
      <c r="E110" s="3368" t="s">
        <v>464</v>
      </c>
      <c r="F110" s="3366"/>
      <c r="G110" s="3366"/>
      <c r="H110" s="3367"/>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3" t="s">
        <v>1839</v>
      </c>
      <c r="B111" s="375" t="s">
        <v>450</v>
      </c>
      <c r="C111" s="404">
        <f ca="1">ROUND(D63*D111/(1+'数据-取费表'!C42),0)</f>
        <v>63</v>
      </c>
      <c r="D111" s="405">
        <f>'数据-取费表'!B43</f>
        <v>5.000000000000001E-3</v>
      </c>
      <c r="E111" s="3365" t="s">
        <v>2427</v>
      </c>
      <c r="F111" s="3366"/>
      <c r="G111" s="3366"/>
      <c r="H111" s="3367"/>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3" t="s">
        <v>1840</v>
      </c>
      <c r="B112" s="375" t="s">
        <v>465</v>
      </c>
      <c r="C112" s="404">
        <f>ROUND(C108*D112,0)</f>
        <v>0</v>
      </c>
      <c r="D112" s="405">
        <v>0.2</v>
      </c>
      <c r="E112" s="3368" t="s">
        <v>2452</v>
      </c>
      <c r="F112" s="3366"/>
      <c r="G112" s="3366"/>
      <c r="H112" s="3367"/>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601" t="s">
        <v>1834</v>
      </c>
      <c r="B113" s="381" t="s">
        <v>451</v>
      </c>
      <c r="C113" s="384">
        <f ca="1">ROUND(C103-C104,0)</f>
        <v>11744</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601" t="s">
        <v>1835</v>
      </c>
      <c r="B114" s="381" t="s">
        <v>452</v>
      </c>
      <c r="C114" s="406">
        <f ca="1">IF(C113&lt;=0,0,C113/C104)</f>
        <v>15.493403693931398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2" t="s">
        <v>1836</v>
      </c>
      <c r="B115" s="386" t="s">
        <v>453</v>
      </c>
      <c r="C115" s="407">
        <f ca="1">ROUND(IF(C113&lt;=0,0,IF(C114&gt;=200%,C113*60%-C104*35%,IF(C114&gt;=100%,C113*50%-C104*15%,IF(C114&gt;=50%,C113*40%-C104*5%,IF(C114&lt;50%,C113*30%,0))))),0)</f>
        <v>6781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8</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1683</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2650</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1844</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1846</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1863</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1847</v>
      </c>
      <c r="B13" s="448" t="s">
        <v>479</v>
      </c>
      <c r="C13" s="449">
        <f ca="1">IF(B1="",'数据-取费表'!M16,INDIRECT("'数据-取费表'!M"&amp;$K$1)+INDIRECT("'数据-取费表'!t"&amp;$K$1))</f>
        <v>12291</v>
      </c>
      <c r="D13" s="450"/>
      <c r="E13" s="364"/>
      <c r="F13" s="451"/>
      <c r="G13" s="443"/>
      <c r="H13" s="446"/>
      <c r="I13" s="446"/>
      <c r="J13" s="446"/>
      <c r="K13" s="447"/>
    </row>
    <row r="14" spans="1:41" s="2098" customFormat="1" ht="13.5" customHeight="1">
      <c r="A14" s="1617" t="s">
        <v>1848</v>
      </c>
      <c r="B14" s="448" t="s">
        <v>480</v>
      </c>
      <c r="C14" s="53">
        <f ca="1">ROUND(C13*F14,0)</f>
        <v>369</v>
      </c>
      <c r="D14" s="450"/>
      <c r="E14" s="364"/>
      <c r="F14" s="452">
        <f>'数据-取费表'!B33</f>
        <v>0.03</v>
      </c>
      <c r="G14" s="443" t="s">
        <v>502</v>
      </c>
      <c r="H14" s="446"/>
      <c r="I14" s="446"/>
      <c r="J14" s="446"/>
      <c r="K14" s="447"/>
    </row>
    <row r="15" spans="1:41" s="2098" customFormat="1" ht="13.5" customHeight="1">
      <c r="A15" s="1617" t="s">
        <v>1849</v>
      </c>
      <c r="B15" s="448" t="s">
        <v>482</v>
      </c>
      <c r="C15" s="53">
        <f ca="1">ROUND(IF(B1="",SUMIF('数据-取费表'!C:C,"住宅",'数据-取费表'!M:M)*F15,IF(INDIRECT("'数据-取费表'!c"&amp;$K$1)="住宅",INDIRECT("'数据-取费表'!M"&amp;$K$1)*F15,0)),0)</f>
        <v>328</v>
      </c>
      <c r="D15" s="450"/>
      <c r="E15" s="364"/>
      <c r="F15" s="452">
        <f>'数据-取费表'!B34</f>
        <v>0.03</v>
      </c>
      <c r="G15" s="443" t="s">
        <v>502</v>
      </c>
      <c r="H15" s="446"/>
      <c r="I15" s="446"/>
      <c r="J15" s="446"/>
      <c r="K15" s="447"/>
    </row>
    <row r="16" spans="1:41" s="2099" customFormat="1" ht="13.5" customHeight="1">
      <c r="A16" s="1617" t="s">
        <v>1850</v>
      </c>
      <c r="B16" s="448" t="s">
        <v>484</v>
      </c>
      <c r="C16" s="53">
        <f ca="1">ROUND(D16*E16/10000,0)</f>
        <v>1351</v>
      </c>
      <c r="D16" s="450">
        <f ca="1">IF(B1="",'数据-汇总表'!E3,INDIRECT("'数据-取费表'!K"&amp;$K$1)+INDIRECT("'数据-取费表'!S"&amp;$K$1))</f>
        <v>67528.97</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1851</v>
      </c>
      <c r="B17" s="448" t="s">
        <v>485</v>
      </c>
      <c r="C17" s="453">
        <f ca="1">ROUND(C13*F17,0)</f>
        <v>184</v>
      </c>
      <c r="D17" s="454"/>
      <c r="E17" s="453"/>
      <c r="F17" s="455">
        <f>'数据-取费表'!B36</f>
        <v>1.4999999999999999E-2</v>
      </c>
      <c r="G17" s="443" t="s">
        <v>502</v>
      </c>
      <c r="H17" s="456"/>
      <c r="I17" s="456"/>
      <c r="J17" s="456"/>
      <c r="K17" s="457"/>
    </row>
    <row r="18" spans="1:14" s="2101" customFormat="1" ht="13.5" customHeight="1">
      <c r="A18" s="1618" t="s">
        <v>1852</v>
      </c>
      <c r="B18" s="458" t="s">
        <v>487</v>
      </c>
      <c r="C18" s="459">
        <f ca="1">SUM(C13:C17)</f>
        <v>14523</v>
      </c>
      <c r="D18" s="460"/>
      <c r="E18" s="461"/>
      <c r="F18" s="461"/>
      <c r="G18" s="1321" t="s">
        <v>2431</v>
      </c>
      <c r="H18" s="446"/>
      <c r="I18" s="446"/>
      <c r="J18" s="446"/>
      <c r="K18" s="447"/>
    </row>
    <row r="19" spans="1:14" s="2101" customFormat="1" ht="13.5" customHeight="1">
      <c r="A19" s="1618" t="s">
        <v>1853</v>
      </c>
      <c r="B19" s="458" t="s">
        <v>493</v>
      </c>
      <c r="C19" s="459">
        <f ca="1">ROUND(C18*F19,0)</f>
        <v>218</v>
      </c>
      <c r="D19" s="461"/>
      <c r="E19" s="461"/>
      <c r="F19" s="465">
        <f>'数据-取费表'!B37</f>
        <v>1.4999999999999999E-2</v>
      </c>
      <c r="G19" s="443" t="s">
        <v>503</v>
      </c>
      <c r="H19" s="446"/>
      <c r="I19" s="446"/>
      <c r="J19" s="446"/>
      <c r="K19" s="447"/>
      <c r="L19" s="2103"/>
      <c r="M19" s="2103"/>
      <c r="N19" s="2103"/>
    </row>
    <row r="20" spans="1:14" s="2101" customFormat="1" ht="13.5" customHeight="1">
      <c r="A20" s="1618" t="s">
        <v>1854</v>
      </c>
      <c r="B20" s="458" t="s">
        <v>504</v>
      </c>
      <c r="C20" s="2978">
        <f>F20</f>
        <v>1.4999999999999999E-2</v>
      </c>
      <c r="D20" s="468" t="s">
        <v>505</v>
      </c>
      <c r="E20" s="468"/>
      <c r="F20" s="485">
        <f>'数据-取费表'!B38</f>
        <v>1.4999999999999999E-2</v>
      </c>
      <c r="G20" s="1321" t="s">
        <v>506</v>
      </c>
      <c r="H20" s="446"/>
      <c r="I20" s="446"/>
      <c r="J20" s="446"/>
      <c r="K20" s="447"/>
      <c r="L20" s="2103"/>
      <c r="M20" s="2103"/>
      <c r="N20" s="2103"/>
    </row>
    <row r="21" spans="1:14" s="2103" customFormat="1" ht="13.5" customHeight="1">
      <c r="A21" s="1618" t="s">
        <v>1857</v>
      </c>
      <c r="B21" s="460" t="s">
        <v>494</v>
      </c>
      <c r="C21" s="469">
        <f ca="1">C22</f>
        <v>522</v>
      </c>
      <c r="D21" s="466">
        <f ca="1">C23</f>
        <v>5.0000000000000001E-4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2453</v>
      </c>
    </row>
    <row r="22" spans="1:14" s="2102" customFormat="1" ht="13.5" customHeight="1">
      <c r="A22" s="1617" t="s">
        <v>1847</v>
      </c>
      <c r="B22" s="1322" t="s">
        <v>2434</v>
      </c>
      <c r="C22" s="486">
        <f ca="1">ROUND(IF('数据-取费表'!B22&lt;=1,(C18+C19)*F21*'数据-取费表'!B20/2,(C18+C19)*(POWER((1+F21),'数据-取费表'!B20/2)-1)),0)</f>
        <v>522</v>
      </c>
      <c r="D22" s="471"/>
      <c r="E22" s="472"/>
      <c r="F22" s="473"/>
      <c r="G22" s="2528" t="str">
        <f>IF('数据-取费表'!B22&lt;=1,"((1)+(2))×年利率×建设期÷2","((1)+(2))×((1+年利率)^(建设期÷2)-1)")</f>
        <v>((1)+(2))×((1+年利率)^(建设期÷2)-1)</v>
      </c>
      <c r="H22" s="456"/>
      <c r="I22" s="456"/>
      <c r="J22" s="456"/>
      <c r="K22" s="457"/>
    </row>
    <row r="23" spans="1:14" s="2102" customFormat="1" ht="13.5" customHeight="1">
      <c r="A23" s="1617" t="s">
        <v>1848</v>
      </c>
      <c r="B23" s="1322" t="s">
        <v>508</v>
      </c>
      <c r="C23" s="487">
        <f ca="1">ROUND(IF('数据-取费表'!B22&lt;=1,F20*F21*'数据-取费表'!B20/2,F20*(POWER((1+F21),'数据-取费表'!B20/2)-1)),4)</f>
        <v>5.0000000000000001E-4</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8" t="s">
        <v>1858</v>
      </c>
      <c r="B24" s="2980" t="s">
        <v>2830</v>
      </c>
      <c r="C24" s="477">
        <f ca="1">C25</f>
        <v>1474</v>
      </c>
      <c r="D24" s="488">
        <f ca="1">C26</f>
        <v>1.5E-3</v>
      </c>
      <c r="E24" s="468" t="s">
        <v>507</v>
      </c>
      <c r="F24" s="478">
        <f ca="1">IF(B1="",'数据-取费表'!Q16,INDIRECT("'数据-取费表'!q"&amp;$K$1))</f>
        <v>0.1</v>
      </c>
      <c r="G24" s="443"/>
      <c r="H24" s="446"/>
      <c r="I24" s="446"/>
      <c r="J24" s="446"/>
      <c r="K24" s="447"/>
    </row>
    <row r="25" spans="1:14" s="2102" customFormat="1" ht="13.5" customHeight="1">
      <c r="A25" s="1617" t="s">
        <v>1847</v>
      </c>
      <c r="B25" s="1322" t="s">
        <v>2435</v>
      </c>
      <c r="C25" s="489">
        <f ca="1">ROUND((C18+C19)*F24,0)</f>
        <v>1474</v>
      </c>
      <c r="D25" s="471"/>
      <c r="E25" s="472"/>
      <c r="F25" s="479"/>
      <c r="G25" s="1320" t="s">
        <v>2432</v>
      </c>
      <c r="H25" s="456"/>
      <c r="I25" s="456"/>
      <c r="J25" s="456"/>
      <c r="K25" s="457"/>
    </row>
    <row r="26" spans="1:14" s="2102" customFormat="1" ht="13.5" customHeight="1">
      <c r="A26" s="1617" t="s">
        <v>1848</v>
      </c>
      <c r="B26" s="1322" t="s">
        <v>509</v>
      </c>
      <c r="C26" s="490">
        <f ca="1">ROUND(F20*F24,4)</f>
        <v>1.5E-3</v>
      </c>
      <c r="D26" s="471"/>
      <c r="E26" s="480"/>
      <c r="F26" s="479"/>
      <c r="G26" s="1320" t="s">
        <v>510</v>
      </c>
      <c r="H26" s="456"/>
      <c r="I26" s="456"/>
      <c r="J26" s="456"/>
      <c r="K26" s="457"/>
    </row>
    <row r="27" spans="1:14" s="2102" customFormat="1" ht="13.5" customHeight="1">
      <c r="A27" s="1621" t="s">
        <v>1866</v>
      </c>
      <c r="B27" s="458" t="s">
        <v>511</v>
      </c>
      <c r="C27" s="2979">
        <f>ROUND(F27/(1+'数据-取费表'!C42),4)</f>
        <v>5.2400000000000002E-2</v>
      </c>
      <c r="D27" s="461" t="s">
        <v>2828</v>
      </c>
      <c r="E27" s="461"/>
      <c r="F27" s="465">
        <f>'数据-取费表'!B41</f>
        <v>5.5000000000000007E-2</v>
      </c>
      <c r="G27" s="1942" t="s">
        <v>2290</v>
      </c>
      <c r="H27" s="446"/>
      <c r="I27" s="446"/>
      <c r="J27" s="446"/>
      <c r="K27" s="447"/>
    </row>
    <row r="28" spans="1:14" s="2103" customFormat="1" ht="13.5" customHeight="1">
      <c r="A28" s="1621" t="s">
        <v>1867</v>
      </c>
      <c r="B28" s="475" t="s">
        <v>512</v>
      </c>
      <c r="C28" s="469">
        <f ca="1">ROUND((C18+C19+C21+C24)/(1-C20-D21-D24-C27),0)</f>
        <v>17985</v>
      </c>
      <c r="D28" s="476"/>
      <c r="E28" s="468"/>
      <c r="F28" s="470"/>
      <c r="G28" s="1321" t="s">
        <v>2433</v>
      </c>
      <c r="H28" s="446"/>
      <c r="I28" s="446"/>
      <c r="J28" s="446"/>
      <c r="K28" s="447"/>
    </row>
    <row r="29" spans="1:14" s="2103" customFormat="1" ht="13.5" customHeight="1">
      <c r="A29" s="1621" t="s">
        <v>1868</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1864</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4"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8" t="str">
        <f>项目基本情况!B1</f>
        <v>安徽省马鞍山市和县乌江镇四联社区十宗住宅用地出让国有建设用地使用权抵押价格预评估</v>
      </c>
      <c r="C37" s="3238"/>
      <c r="D37" s="3238"/>
      <c r="E37" s="3238"/>
      <c r="F37" s="3238"/>
      <c r="G37" s="3238"/>
      <c r="H37" s="3238"/>
      <c r="I37" s="3238"/>
    </row>
    <row r="38" spans="1:9">
      <c r="A38" s="1640"/>
      <c r="B38" s="1640"/>
    </row>
    <row r="39" spans="1:9">
      <c r="A39" s="1638" t="s">
        <v>1900</v>
      </c>
      <c r="B39" s="1638" t="s">
        <v>2045</v>
      </c>
    </row>
    <row r="40" spans="1:9">
      <c r="A40" s="1638"/>
      <c r="B40" s="1638" t="str">
        <f>项目基本情况!B5</f>
        <v>国通信托有限责任公司</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王鹏、郑燚</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14411</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2134</v>
      </c>
      <c r="C3" s="2043"/>
      <c r="D3" s="2531"/>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5335</v>
      </c>
      <c r="C4" s="2043"/>
      <c r="D4" s="2531"/>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356</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419" t="s">
        <v>522</v>
      </c>
      <c r="D6" s="3420"/>
      <c r="E6" s="3419" t="s">
        <v>523</v>
      </c>
      <c r="F6" s="3420"/>
      <c r="G6" s="3419" t="s">
        <v>524</v>
      </c>
      <c r="H6" s="3420"/>
      <c r="I6" s="3419" t="s">
        <v>525</v>
      </c>
      <c r="J6" s="3420"/>
      <c r="K6" s="513" t="s">
        <v>526</v>
      </c>
      <c r="L6" s="2115"/>
      <c r="M6" s="2114"/>
      <c r="N6" s="2114"/>
      <c r="O6" s="2116"/>
      <c r="P6" s="3421" t="s">
        <v>527</v>
      </c>
      <c r="Q6" s="3422"/>
      <c r="R6" s="3427" t="s">
        <v>523</v>
      </c>
      <c r="S6" s="3428"/>
      <c r="T6" s="3427" t="s">
        <v>524</v>
      </c>
      <c r="U6" s="3428"/>
      <c r="V6" s="3414" t="s">
        <v>525</v>
      </c>
      <c r="W6" s="3414"/>
      <c r="X6" s="1552"/>
      <c r="Y6" s="3427" t="s">
        <v>527</v>
      </c>
      <c r="Z6" s="3428"/>
      <c r="AA6" s="3416" t="s">
        <v>523</v>
      </c>
      <c r="AB6" s="3417" t="s">
        <v>524</v>
      </c>
      <c r="AC6" s="3416" t="s">
        <v>525</v>
      </c>
    </row>
    <row r="7" spans="1:30" ht="20.25">
      <c r="A7" s="514"/>
      <c r="B7" s="515"/>
      <c r="C7" s="3435" t="s">
        <v>2924</v>
      </c>
      <c r="D7" s="3436"/>
      <c r="E7" s="3435" t="str">
        <f>和县土地案例!A3</f>
        <v>郑蒲港新区和州大道与镇淮路交叉口西南角</v>
      </c>
      <c r="F7" s="3436"/>
      <c r="G7" s="3435" t="str">
        <f>和县土地案例!A4</f>
        <v>县经济开发区石跋河路北侧</v>
      </c>
      <c r="H7" s="3436"/>
      <c r="I7" s="3435" t="str">
        <f>和县土地案例!A7</f>
        <v>乌江镇乌香路北侧</v>
      </c>
      <c r="J7" s="3436"/>
      <c r="K7" s="513"/>
      <c r="L7" s="2115"/>
      <c r="M7" s="2114"/>
      <c r="N7" s="2114"/>
      <c r="O7" s="2116"/>
      <c r="P7" s="3423"/>
      <c r="Q7" s="3424"/>
      <c r="R7" s="3429"/>
      <c r="S7" s="3430"/>
      <c r="T7" s="3429"/>
      <c r="U7" s="3430"/>
      <c r="V7" s="3414"/>
      <c r="W7" s="3414"/>
      <c r="X7" s="1552"/>
      <c r="Y7" s="3429"/>
      <c r="Z7" s="3430"/>
      <c r="AA7" s="3417"/>
      <c r="AB7" s="3417"/>
      <c r="AC7" s="3417"/>
    </row>
    <row r="8" spans="1:30" ht="21" thickBot="1">
      <c r="A8" s="514"/>
      <c r="B8" s="515"/>
      <c r="C8" s="3437" t="s">
        <v>2928</v>
      </c>
      <c r="D8" s="3438"/>
      <c r="E8" s="3437" t="s">
        <v>2928</v>
      </c>
      <c r="F8" s="3438"/>
      <c r="G8" s="3433" t="s">
        <v>2928</v>
      </c>
      <c r="H8" s="3434"/>
      <c r="I8" s="3433" t="s">
        <v>2928</v>
      </c>
      <c r="J8" s="3434"/>
      <c r="K8" s="513" t="s">
        <v>528</v>
      </c>
      <c r="L8" s="2115"/>
      <c r="M8" s="2114"/>
      <c r="N8" s="2114"/>
      <c r="O8" s="2116"/>
      <c r="P8" s="3425"/>
      <c r="Q8" s="3426"/>
      <c r="R8" s="3429"/>
      <c r="S8" s="3430"/>
      <c r="T8" s="3431"/>
      <c r="U8" s="3432"/>
      <c r="V8" s="3414"/>
      <c r="W8" s="3414"/>
      <c r="X8" s="1552"/>
      <c r="Y8" s="3431"/>
      <c r="Z8" s="3432"/>
      <c r="AA8" s="3418"/>
      <c r="AB8" s="3418"/>
      <c r="AC8" s="3418"/>
    </row>
    <row r="9" spans="1:30" s="1214" customFormat="1" ht="21" thickBot="1">
      <c r="A9" s="2863"/>
      <c r="B9" s="2870" t="s">
        <v>529</v>
      </c>
      <c r="C9" s="2862">
        <f>'数据-取费表'!B2</f>
        <v>43656</v>
      </c>
      <c r="D9" s="519">
        <v>100</v>
      </c>
      <c r="E9" s="520" t="str">
        <f>和县土地案例!I3</f>
        <v>2018-05-15</v>
      </c>
      <c r="F9" s="521">
        <f>SUMIF(72:72,YEAR(E9)&amp;"-"&amp;INT((MONTH(E9)+2)/3),73:73)</f>
        <v>95</v>
      </c>
      <c r="G9" s="522" t="str">
        <f>和县土地案例!I4</f>
        <v>2018-01-11</v>
      </c>
      <c r="H9" s="519">
        <f>SUMIF(72:72,YEAR(G9)&amp;"-"&amp;INT((MONTH(G9)+2)/3),73:73)</f>
        <v>94</v>
      </c>
      <c r="I9" s="522" t="str">
        <f>和县土地案例!I7</f>
        <v>2017-12-25</v>
      </c>
      <c r="J9" s="519">
        <f>SUMIF(72:72,YEAR(I9)&amp;"-"&amp;INT((MONTH(I9)+2)/3),73:73)</f>
        <v>93</v>
      </c>
      <c r="K9" s="523"/>
      <c r="L9" s="2117"/>
      <c r="M9" s="2114"/>
      <c r="N9" s="2114"/>
      <c r="O9" s="2118"/>
      <c r="P9" s="3444" t="s">
        <v>530</v>
      </c>
      <c r="Q9" s="3446"/>
      <c r="R9" s="1553" t="s">
        <v>8</v>
      </c>
      <c r="S9" s="1554">
        <f t="shared" ref="S9:S17" si="0">F9</f>
        <v>95</v>
      </c>
      <c r="T9" s="1553" t="s">
        <v>8</v>
      </c>
      <c r="U9" s="1554">
        <f t="shared" ref="U9:U17" si="1">H9</f>
        <v>94</v>
      </c>
      <c r="V9" s="1553" t="s">
        <v>8</v>
      </c>
      <c r="W9" s="1554">
        <f t="shared" ref="W9:W17" si="2">J9</f>
        <v>93</v>
      </c>
      <c r="X9" s="1555"/>
      <c r="Y9" s="3444" t="s">
        <v>530</v>
      </c>
      <c r="Z9" s="3445"/>
      <c r="AA9" s="1556">
        <f>D9/F9</f>
        <v>1.0526315789473684</v>
      </c>
      <c r="AB9" s="1556">
        <f>D9/H9</f>
        <v>1.0638297872340425</v>
      </c>
      <c r="AC9" s="1556">
        <f>D9/J9</f>
        <v>1.075268817204301</v>
      </c>
    </row>
    <row r="10" spans="1:30" s="1214" customFormat="1" ht="21" thickBot="1">
      <c r="A10" s="2864"/>
      <c r="B10" s="287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444" t="s">
        <v>533</v>
      </c>
      <c r="Q10" s="3445"/>
      <c r="R10" s="1553" t="s">
        <v>8</v>
      </c>
      <c r="S10" s="1554">
        <f t="shared" si="0"/>
        <v>100</v>
      </c>
      <c r="T10" s="1553" t="s">
        <v>8</v>
      </c>
      <c r="U10" s="1554">
        <f t="shared" si="1"/>
        <v>100</v>
      </c>
      <c r="V10" s="1553" t="s">
        <v>8</v>
      </c>
      <c r="W10" s="1554">
        <f t="shared" si="2"/>
        <v>100</v>
      </c>
      <c r="X10" s="1555"/>
      <c r="Y10" s="3444" t="s">
        <v>533</v>
      </c>
      <c r="Z10" s="3445"/>
      <c r="AA10" s="1556">
        <f t="shared" ref="AA10:AA47" si="3">D10/F10</f>
        <v>1</v>
      </c>
      <c r="AB10" s="1556">
        <f t="shared" ref="AB10:AB47" si="4">D10/H10</f>
        <v>1</v>
      </c>
      <c r="AC10" s="1556">
        <f t="shared" ref="AC10:AC47" si="5">D10/J10</f>
        <v>1</v>
      </c>
    </row>
    <row r="11" spans="1:30" s="1214" customFormat="1" ht="20.25">
      <c r="A11" s="2865"/>
      <c r="B11" s="2872" t="s">
        <v>2754</v>
      </c>
      <c r="C11" s="3201" t="s">
        <v>3195</v>
      </c>
      <c r="D11" s="253">
        <v>100</v>
      </c>
      <c r="E11" s="3201" t="s">
        <v>3195</v>
      </c>
      <c r="F11" s="253">
        <f>SUMIF(77:77,E11,78:78)-SUMIF(77:77,C11,78:78)+100</f>
        <v>100</v>
      </c>
      <c r="G11" s="3201" t="s">
        <v>3195</v>
      </c>
      <c r="H11" s="253">
        <f>SUMIF(77:77,G11,78:78)-SUMIF(77:77,C11,78:78)+100</f>
        <v>100</v>
      </c>
      <c r="I11" s="3201" t="s">
        <v>3195</v>
      </c>
      <c r="J11" s="253">
        <f>SUMIF(77:77,I11,78:78)-SUMIF(77:77,C11,78:78)+100</f>
        <v>100</v>
      </c>
      <c r="K11" s="523"/>
      <c r="L11" s="2117"/>
      <c r="M11" s="2114"/>
      <c r="N11" s="2114"/>
      <c r="O11" s="2119"/>
      <c r="P11" s="3413" t="s">
        <v>535</v>
      </c>
      <c r="Q11" s="1145" t="str">
        <f t="shared" ref="Q11:Q17" si="6">B11</f>
        <v>用途</v>
      </c>
      <c r="R11" s="1553" t="s">
        <v>8</v>
      </c>
      <c r="S11" s="1554">
        <f t="shared" si="0"/>
        <v>100</v>
      </c>
      <c r="T11" s="1553" t="s">
        <v>8</v>
      </c>
      <c r="U11" s="1554">
        <f t="shared" si="1"/>
        <v>100</v>
      </c>
      <c r="V11" s="1553" t="s">
        <v>8</v>
      </c>
      <c r="W11" s="1554">
        <f t="shared" si="2"/>
        <v>100</v>
      </c>
      <c r="X11" s="1555"/>
      <c r="Y11" s="3359" t="s">
        <v>536</v>
      </c>
      <c r="Z11" s="1144" t="str">
        <f t="shared" ref="Z11:Z17" si="7">Q11</f>
        <v>用途</v>
      </c>
      <c r="AA11" s="1556">
        <f t="shared" si="3"/>
        <v>1</v>
      </c>
      <c r="AB11" s="1556">
        <f t="shared" si="4"/>
        <v>1</v>
      </c>
      <c r="AC11" s="1556">
        <f t="shared" si="5"/>
        <v>1</v>
      </c>
    </row>
    <row r="12" spans="1:30" s="1332" customFormat="1" ht="27">
      <c r="A12" s="2866"/>
      <c r="B12" s="2871" t="s">
        <v>2755</v>
      </c>
      <c r="C12" s="908">
        <f>项目基本情况!D19</f>
        <v>68.39</v>
      </c>
      <c r="D12" s="254">
        <v>100</v>
      </c>
      <c r="E12" s="528" t="s">
        <v>3197</v>
      </c>
      <c r="F12" s="254">
        <f>ROUND(100/'数据-取费表'!G16,0)</f>
        <v>101</v>
      </c>
      <c r="G12" s="529" t="s">
        <v>3197</v>
      </c>
      <c r="H12" s="254">
        <f>ROUND(100/'数据-取费表'!G16,0)</f>
        <v>101</v>
      </c>
      <c r="I12" s="529" t="s">
        <v>3197</v>
      </c>
      <c r="J12" s="254">
        <f>ROUND(100/'数据-取费表'!G16,0)</f>
        <v>101</v>
      </c>
      <c r="K12" s="530"/>
      <c r="L12" s="2120"/>
      <c r="M12" s="2114"/>
      <c r="N12" s="2114"/>
      <c r="O12" s="2121"/>
      <c r="P12" s="3413"/>
      <c r="Q12" s="1145" t="str">
        <f t="shared" si="6"/>
        <v>土地使用年限（年）</v>
      </c>
      <c r="R12" s="1553" t="s">
        <v>8</v>
      </c>
      <c r="S12" s="1554">
        <f t="shared" si="0"/>
        <v>101</v>
      </c>
      <c r="T12" s="1553" t="s">
        <v>8</v>
      </c>
      <c r="U12" s="1554">
        <f t="shared" si="1"/>
        <v>101</v>
      </c>
      <c r="V12" s="1553" t="s">
        <v>8</v>
      </c>
      <c r="W12" s="1554">
        <f t="shared" si="2"/>
        <v>101</v>
      </c>
      <c r="X12" s="1555"/>
      <c r="Y12" s="3359"/>
      <c r="Z12" s="1144" t="str">
        <f t="shared" si="7"/>
        <v>土地使用年限（年）</v>
      </c>
      <c r="AA12" s="1556">
        <f t="shared" si="3"/>
        <v>0.99009900990099009</v>
      </c>
      <c r="AB12" s="1556">
        <f t="shared" si="4"/>
        <v>0.99009900990099009</v>
      </c>
      <c r="AC12" s="1556">
        <f t="shared" si="5"/>
        <v>0.99009900990099009</v>
      </c>
    </row>
    <row r="13" spans="1:30" ht="21" thickBot="1">
      <c r="A13" s="2867"/>
      <c r="B13" s="2871" t="s">
        <v>2756</v>
      </c>
      <c r="C13" s="533">
        <f>'数据-汇总表'!I4</f>
        <v>2.5</v>
      </c>
      <c r="D13" s="254">
        <v>100</v>
      </c>
      <c r="E13" s="532">
        <v>2</v>
      </c>
      <c r="F13" s="254">
        <f>LOOKUP(E13,82:82,83:83)-LOOKUP(C13,82:82,83:83)+100</f>
        <v>101</v>
      </c>
      <c r="G13" s="533">
        <v>2</v>
      </c>
      <c r="H13" s="254">
        <f>LOOKUP(G13,82:82,83:83)-LOOKUP(C13,82:82,83:83)+100</f>
        <v>101</v>
      </c>
      <c r="I13" s="532">
        <v>2</v>
      </c>
      <c r="J13" s="254">
        <f>LOOKUP(I13,82:82,83:83)-LOOKUP(C13,82:82,83:83)+100</f>
        <v>101</v>
      </c>
      <c r="K13" s="534">
        <v>1</v>
      </c>
      <c r="L13" s="2122"/>
      <c r="M13" s="2114"/>
      <c r="N13" s="2114"/>
      <c r="O13" s="2123"/>
      <c r="P13" s="3413"/>
      <c r="Q13" s="1145" t="str">
        <f t="shared" si="6"/>
        <v>容积率</v>
      </c>
      <c r="R13" s="1553" t="s">
        <v>8</v>
      </c>
      <c r="S13" s="1554">
        <f t="shared" si="0"/>
        <v>101</v>
      </c>
      <c r="T13" s="1553" t="s">
        <v>8</v>
      </c>
      <c r="U13" s="1554">
        <f t="shared" si="1"/>
        <v>101</v>
      </c>
      <c r="V13" s="1553" t="s">
        <v>8</v>
      </c>
      <c r="W13" s="1554">
        <f t="shared" si="2"/>
        <v>101</v>
      </c>
      <c r="X13" s="1555"/>
      <c r="Y13" s="3359"/>
      <c r="Z13" s="1144" t="str">
        <f t="shared" si="7"/>
        <v>容积率</v>
      </c>
      <c r="AA13" s="1556">
        <f t="shared" si="3"/>
        <v>0.99009900990099009</v>
      </c>
      <c r="AB13" s="1556">
        <f t="shared" si="4"/>
        <v>0.99009900990099009</v>
      </c>
      <c r="AC13" s="1556">
        <f t="shared" si="5"/>
        <v>0.99009900990099009</v>
      </c>
    </row>
    <row r="14" spans="1:30" s="1214" customFormat="1" ht="20.25" hidden="1">
      <c r="A14" s="2864"/>
      <c r="B14" s="2873" t="s">
        <v>2757</v>
      </c>
      <c r="C14" s="2860"/>
      <c r="D14" s="537">
        <v>100</v>
      </c>
      <c r="E14" s="1369"/>
      <c r="F14" s="254">
        <f>SUMIF(84:84,E14,85:85)-SUMIF(84:84,C14,85:85)+100</f>
        <v>100</v>
      </c>
      <c r="G14" s="529"/>
      <c r="H14" s="254">
        <f>SUMIF(84:84,G14,85:85)-SUMIF(84:84,C14,85:85)+100</f>
        <v>100</v>
      </c>
      <c r="I14" s="528"/>
      <c r="J14" s="254">
        <f>SUMIF(84:84,I14,85:85)-SUMIF(84:84,C14,85:85)+100</f>
        <v>100</v>
      </c>
      <c r="K14" s="530"/>
      <c r="L14" s="2117"/>
      <c r="M14" s="2114"/>
      <c r="N14" s="2114"/>
      <c r="O14" s="2119"/>
      <c r="P14" s="3413"/>
      <c r="Q14" s="1145" t="str">
        <f t="shared" si="6"/>
        <v>配建</v>
      </c>
      <c r="R14" s="1553" t="s">
        <v>8</v>
      </c>
      <c r="S14" s="1554">
        <f t="shared" si="0"/>
        <v>100</v>
      </c>
      <c r="T14" s="1553" t="s">
        <v>8</v>
      </c>
      <c r="U14" s="1554">
        <f t="shared" si="1"/>
        <v>100</v>
      </c>
      <c r="V14" s="1553" t="s">
        <v>8</v>
      </c>
      <c r="W14" s="1554">
        <f t="shared" si="2"/>
        <v>100</v>
      </c>
      <c r="X14" s="1555"/>
      <c r="Y14" s="3359"/>
      <c r="Z14" s="1144" t="str">
        <f t="shared" si="7"/>
        <v>配建</v>
      </c>
      <c r="AA14" s="1556">
        <f>D14/F14</f>
        <v>1</v>
      </c>
      <c r="AB14" s="1556">
        <f>D14/H14</f>
        <v>1</v>
      </c>
      <c r="AC14" s="1556">
        <f>D14/J14</f>
        <v>1</v>
      </c>
    </row>
    <row r="15" spans="1:30" ht="20.25" hidden="1">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13"/>
      <c r="Q15" s="1145">
        <f t="shared" si="6"/>
        <v>111</v>
      </c>
      <c r="R15" s="1553" t="s">
        <v>8</v>
      </c>
      <c r="S15" s="1554">
        <f t="shared" si="0"/>
        <v>100</v>
      </c>
      <c r="T15" s="1553" t="s">
        <v>8</v>
      </c>
      <c r="U15" s="1554">
        <f t="shared" si="1"/>
        <v>100</v>
      </c>
      <c r="V15" s="1553" t="s">
        <v>8</v>
      </c>
      <c r="W15" s="1554">
        <f t="shared" si="2"/>
        <v>100</v>
      </c>
      <c r="X15" s="1555"/>
      <c r="Y15" s="3359"/>
      <c r="Z15" s="1144">
        <f t="shared" si="7"/>
        <v>111</v>
      </c>
      <c r="AA15" s="1556">
        <f>D15/F15</f>
        <v>1</v>
      </c>
      <c r="AB15" s="1556">
        <f>D15/H15</f>
        <v>1</v>
      </c>
      <c r="AC15" s="1556">
        <f>D15/J15</f>
        <v>1</v>
      </c>
    </row>
    <row r="16" spans="1:30" ht="21" hidden="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13"/>
      <c r="Q16" s="1145">
        <f t="shared" si="6"/>
        <v>111</v>
      </c>
      <c r="R16" s="1553" t="s">
        <v>8</v>
      </c>
      <c r="S16" s="1554">
        <f t="shared" si="0"/>
        <v>100</v>
      </c>
      <c r="T16" s="1553" t="s">
        <v>8</v>
      </c>
      <c r="U16" s="1554">
        <f t="shared" si="1"/>
        <v>100</v>
      </c>
      <c r="V16" s="1553" t="s">
        <v>8</v>
      </c>
      <c r="W16" s="1554">
        <f t="shared" si="2"/>
        <v>100</v>
      </c>
      <c r="X16" s="1555"/>
      <c r="Y16" s="3359"/>
      <c r="Z16" s="1144">
        <f t="shared" si="7"/>
        <v>111</v>
      </c>
      <c r="AA16" s="1556">
        <f>D16/F16</f>
        <v>1</v>
      </c>
      <c r="AB16" s="1556">
        <f>D16/H16</f>
        <v>1</v>
      </c>
      <c r="AC16" s="1556">
        <f>D16/J16</f>
        <v>1</v>
      </c>
    </row>
    <row r="17" spans="1:29" ht="156.75">
      <c r="A17" s="2861" t="s">
        <v>2752</v>
      </c>
      <c r="B17" s="577" t="s">
        <v>295</v>
      </c>
      <c r="C17" s="547" t="str">
        <f>估价对象房地状况!C15</f>
        <v>估价对象距离南京中心区域直线距离约为47公里，周边区域尚未开发，仅有项目本身与 “孔雀城”居住项目；综合评价估价对象所处区域目前的居住社区成熟度较差。</v>
      </c>
      <c r="D17" s="550">
        <v>100</v>
      </c>
      <c r="E17" s="551"/>
      <c r="F17" s="548">
        <f>SUMIF(90:90,E18,91:91)-SUMIF(90:90,C18,91:91)+100</f>
        <v>100</v>
      </c>
      <c r="G17" s="549"/>
      <c r="H17" s="548">
        <f>SUMIF(90:90,G18,91:91)-SUMIF(90:90,C18,91:91)+100</f>
        <v>102</v>
      </c>
      <c r="I17" s="551"/>
      <c r="J17" s="548">
        <f>SUMIF(90:90,I18,91:91)-SUMIF(90:90,C18,91:91)+100</f>
        <v>100</v>
      </c>
      <c r="K17" s="534">
        <v>2</v>
      </c>
      <c r="L17" s="2124"/>
      <c r="M17" s="2114"/>
      <c r="N17" s="2114"/>
      <c r="O17" s="2123"/>
      <c r="P17" s="3447" t="s">
        <v>540</v>
      </c>
      <c r="Q17" s="1557" t="str">
        <f t="shared" si="6"/>
        <v>居住社区成熟度</v>
      </c>
      <c r="R17" s="1558" t="s">
        <v>8</v>
      </c>
      <c r="S17" s="1559">
        <f t="shared" si="0"/>
        <v>100</v>
      </c>
      <c r="T17" s="1558" t="s">
        <v>8</v>
      </c>
      <c r="U17" s="1559">
        <f t="shared" si="1"/>
        <v>102</v>
      </c>
      <c r="V17" s="1558" t="s">
        <v>8</v>
      </c>
      <c r="W17" s="1559">
        <f t="shared" si="2"/>
        <v>100</v>
      </c>
      <c r="X17" s="1552"/>
      <c r="Y17" s="3447" t="s">
        <v>540</v>
      </c>
      <c r="Z17" s="1560" t="str">
        <f t="shared" si="7"/>
        <v>居住社区成熟度</v>
      </c>
      <c r="AA17" s="1561">
        <f t="shared" si="3"/>
        <v>1</v>
      </c>
      <c r="AB17" s="1561">
        <f t="shared" si="4"/>
        <v>0.98039215686274506</v>
      </c>
      <c r="AC17" s="1561">
        <f t="shared" si="5"/>
        <v>1</v>
      </c>
    </row>
    <row r="18" spans="1:29" ht="20.25">
      <c r="A18" s="531"/>
      <c r="B18" s="552"/>
      <c r="C18" s="553" t="s">
        <v>3198</v>
      </c>
      <c r="D18" s="556"/>
      <c r="E18" s="557" t="s">
        <v>3198</v>
      </c>
      <c r="F18" s="554"/>
      <c r="G18" s="555" t="s">
        <v>3199</v>
      </c>
      <c r="H18" s="558"/>
      <c r="I18" s="557" t="s">
        <v>3198</v>
      </c>
      <c r="J18" s="554"/>
      <c r="K18" s="530"/>
      <c r="L18" s="2124"/>
      <c r="M18" s="2114"/>
      <c r="N18" s="2114"/>
      <c r="O18" s="2123"/>
      <c r="P18" s="3448"/>
      <c r="Q18" s="1557"/>
      <c r="R18" s="1558"/>
      <c r="S18" s="1559"/>
      <c r="T18" s="1558"/>
      <c r="U18" s="1559"/>
      <c r="V18" s="1558"/>
      <c r="W18" s="1559"/>
      <c r="X18" s="1552"/>
      <c r="Y18" s="3448"/>
      <c r="Z18" s="1560"/>
      <c r="AA18" s="1561">
        <v>1</v>
      </c>
      <c r="AB18" s="1561">
        <v>1</v>
      </c>
      <c r="AC18" s="1561">
        <v>1</v>
      </c>
    </row>
    <row r="19" spans="1:29" ht="128.25">
      <c r="A19" s="531"/>
      <c r="B19" s="559" t="s">
        <v>541</v>
      </c>
      <c r="C19" s="560" t="str">
        <f>估价对象房地状况!C16</f>
        <v>估价对象周边无大型商业，整体商业氛围较差，人流量少且构成多为本地居民；综合评价估价对象所处区域目前的商业繁华程度较差。</v>
      </c>
      <c r="D19" s="562">
        <v>100</v>
      </c>
      <c r="E19" s="563"/>
      <c r="F19" s="558">
        <f>SUMIF(92:92,E20,93:93)-SUMIF(92:92,C20,93:93)+100</f>
        <v>100</v>
      </c>
      <c r="G19" s="561"/>
      <c r="H19" s="564">
        <f>SUMIF(92:92,G20,93:93)-SUMIF(92:92,C20,93:93)+100</f>
        <v>102</v>
      </c>
      <c r="I19" s="563"/>
      <c r="J19" s="564">
        <f>SUMIF(92:92,I20,93:93)-SUMIF(92:92,C20,93:93)+100</f>
        <v>100</v>
      </c>
      <c r="K19" s="3234">
        <v>2</v>
      </c>
      <c r="L19" s="2124"/>
      <c r="M19" s="2114"/>
      <c r="N19" s="2114"/>
      <c r="O19" s="2123"/>
      <c r="P19" s="3448"/>
      <c r="Q19" s="1557" t="str">
        <f>B19</f>
        <v>商业繁华度</v>
      </c>
      <c r="R19" s="1558" t="s">
        <v>8</v>
      </c>
      <c r="S19" s="1559">
        <f>F19</f>
        <v>100</v>
      </c>
      <c r="T19" s="1558" t="s">
        <v>8</v>
      </c>
      <c r="U19" s="1559">
        <f>H19</f>
        <v>102</v>
      </c>
      <c r="V19" s="1558" t="s">
        <v>8</v>
      </c>
      <c r="W19" s="1559">
        <f>J19</f>
        <v>100</v>
      </c>
      <c r="X19" s="1552"/>
      <c r="Y19" s="3448"/>
      <c r="Z19" s="1560" t="str">
        <f>Q19</f>
        <v>商业繁华度</v>
      </c>
      <c r="AA19" s="1561">
        <f t="shared" si="3"/>
        <v>1</v>
      </c>
      <c r="AB19" s="1561">
        <f t="shared" si="4"/>
        <v>0.98039215686274506</v>
      </c>
      <c r="AC19" s="1561">
        <f t="shared" si="5"/>
        <v>1</v>
      </c>
    </row>
    <row r="20" spans="1:29" ht="20.25">
      <c r="A20" s="531"/>
      <c r="B20" s="565"/>
      <c r="C20" s="3231" t="s">
        <v>3198</v>
      </c>
      <c r="D20" s="562"/>
      <c r="E20" s="3232" t="s">
        <v>3198</v>
      </c>
      <c r="F20" s="558"/>
      <c r="G20" s="3233" t="s">
        <v>3199</v>
      </c>
      <c r="H20" s="554"/>
      <c r="I20" s="3232" t="s">
        <v>3198</v>
      </c>
      <c r="J20" s="554"/>
      <c r="K20" s="530"/>
      <c r="L20" s="2124"/>
      <c r="M20" s="2114"/>
      <c r="N20" s="2114"/>
      <c r="O20" s="2123"/>
      <c r="P20" s="3448"/>
      <c r="Q20" s="1557"/>
      <c r="R20" s="1558"/>
      <c r="S20" s="1559"/>
      <c r="T20" s="1558"/>
      <c r="U20" s="1559"/>
      <c r="V20" s="1558"/>
      <c r="W20" s="1559"/>
      <c r="X20" s="1552"/>
      <c r="Y20" s="3448"/>
      <c r="Z20" s="1560"/>
      <c r="AA20" s="1561">
        <v>1</v>
      </c>
      <c r="AB20" s="1561">
        <v>1</v>
      </c>
      <c r="AC20" s="1561">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48"/>
      <c r="Q21" s="1557" t="str">
        <f>B21</f>
        <v>办公集聚程度</v>
      </c>
      <c r="R21" s="1558" t="s">
        <v>8</v>
      </c>
      <c r="S21" s="1559">
        <f>F21</f>
        <v>100</v>
      </c>
      <c r="T21" s="1558" t="s">
        <v>8</v>
      </c>
      <c r="U21" s="1559">
        <f>H21</f>
        <v>100</v>
      </c>
      <c r="V21" s="1558" t="s">
        <v>8</v>
      </c>
      <c r="W21" s="1559">
        <f>J21</f>
        <v>100</v>
      </c>
      <c r="X21" s="1552"/>
      <c r="Y21" s="3448"/>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4"/>
      <c r="M22" s="2114"/>
      <c r="N22" s="2114"/>
      <c r="O22" s="2123"/>
      <c r="P22" s="3448"/>
      <c r="Q22" s="1557"/>
      <c r="R22" s="1558"/>
      <c r="S22" s="1559"/>
      <c r="T22" s="1558"/>
      <c r="U22" s="1559"/>
      <c r="V22" s="1558"/>
      <c r="W22" s="1559"/>
      <c r="X22" s="1552"/>
      <c r="Y22" s="3448"/>
      <c r="Z22" s="1560"/>
      <c r="AA22" s="1561">
        <v>1</v>
      </c>
      <c r="AB22" s="1561">
        <v>1</v>
      </c>
      <c r="AC22" s="1561">
        <v>1</v>
      </c>
    </row>
    <row r="23" spans="1:29" ht="185.25">
      <c r="A23" s="531"/>
      <c r="B23" s="559" t="s">
        <v>543</v>
      </c>
      <c r="C23" s="572" t="str">
        <f>估价对象房地状况!C18</f>
        <v>估价对象临近省道S124，周边多为乡级公路，道路密集度较差；周边有413路、612路、407路、513路等公交线路，距S3线一期终点高家冲站5.5公里，公共交通通达情况一般；综合评价交通便捷度一般。</v>
      </c>
      <c r="D23" s="562">
        <v>100</v>
      </c>
      <c r="E23" s="563"/>
      <c r="F23" s="564">
        <f>SUMIF(96:96,E24,97:97)-SUMIF(96:96,C24,97:97)+100</f>
        <v>97</v>
      </c>
      <c r="G23" s="561"/>
      <c r="H23" s="558">
        <f>SUMIF(96:96,G24,97:97)-SUMIF(96:96,C24,97:97)+100</f>
        <v>100</v>
      </c>
      <c r="I23" s="563"/>
      <c r="J23" s="558">
        <f>SUMIF(96:96,I24,97:97)-SUMIF(96:96,C24,97:97)+100</f>
        <v>97</v>
      </c>
      <c r="K23" s="534">
        <v>3</v>
      </c>
      <c r="L23" s="2124"/>
      <c r="M23" s="2114"/>
      <c r="N23" s="2114"/>
      <c r="O23" s="2123"/>
      <c r="P23" s="3448"/>
      <c r="Q23" s="1557" t="str">
        <f>B23</f>
        <v>交通便捷度</v>
      </c>
      <c r="R23" s="1558" t="s">
        <v>8</v>
      </c>
      <c r="S23" s="1559">
        <f>F23</f>
        <v>97</v>
      </c>
      <c r="T23" s="1558" t="s">
        <v>8</v>
      </c>
      <c r="U23" s="1559">
        <f>H23</f>
        <v>100</v>
      </c>
      <c r="V23" s="1558" t="s">
        <v>8</v>
      </c>
      <c r="W23" s="1559">
        <f>J23</f>
        <v>97</v>
      </c>
      <c r="X23" s="1552"/>
      <c r="Y23" s="3448"/>
      <c r="Z23" s="1560" t="str">
        <f>Q23</f>
        <v>交通便捷度</v>
      </c>
      <c r="AA23" s="1561">
        <f t="shared" si="3"/>
        <v>1.0309278350515463</v>
      </c>
      <c r="AB23" s="1561">
        <f t="shared" si="4"/>
        <v>1</v>
      </c>
      <c r="AC23" s="1561">
        <f t="shared" si="5"/>
        <v>1.0309278350515463</v>
      </c>
    </row>
    <row r="24" spans="1:29" ht="20.25">
      <c r="A24" s="531"/>
      <c r="B24" s="577"/>
      <c r="C24" s="553" t="s">
        <v>3199</v>
      </c>
      <c r="D24" s="556"/>
      <c r="E24" s="557" t="s">
        <v>3198</v>
      </c>
      <c r="F24" s="554"/>
      <c r="G24" s="557" t="s">
        <v>3199</v>
      </c>
      <c r="H24" s="554"/>
      <c r="I24" s="557" t="s">
        <v>3198</v>
      </c>
      <c r="J24" s="554"/>
      <c r="K24" s="530"/>
      <c r="L24" s="2124"/>
      <c r="M24" s="2114"/>
      <c r="N24" s="2114"/>
      <c r="O24" s="2123"/>
      <c r="P24" s="3448"/>
      <c r="Q24" s="1557"/>
      <c r="R24" s="1558"/>
      <c r="S24" s="1559"/>
      <c r="T24" s="1558"/>
      <c r="U24" s="1559"/>
      <c r="V24" s="1558"/>
      <c r="W24" s="1559"/>
      <c r="X24" s="1552"/>
      <c r="Y24" s="3448"/>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24"/>
      <c r="M25" s="2114"/>
      <c r="N25" s="2114"/>
      <c r="O25" s="2123"/>
      <c r="P25" s="3448"/>
      <c r="Q25" s="1557" t="str">
        <f t="shared" ref="Q25:Q39" si="8">B25</f>
        <v>区域土地利用方向</v>
      </c>
      <c r="R25" s="1558" t="s">
        <v>8</v>
      </c>
      <c r="S25" s="1559">
        <f>F25</f>
        <v>100</v>
      </c>
      <c r="T25" s="1558" t="s">
        <v>8</v>
      </c>
      <c r="U25" s="1559">
        <f>H25</f>
        <v>100</v>
      </c>
      <c r="V25" s="1558" t="s">
        <v>8</v>
      </c>
      <c r="W25" s="1559">
        <f>J25</f>
        <v>100</v>
      </c>
      <c r="X25" s="1552"/>
      <c r="Y25" s="3448"/>
      <c r="Z25" s="1560" t="str">
        <f>Q25</f>
        <v>区域土地利用方向</v>
      </c>
      <c r="AA25" s="1561">
        <f t="shared" si="3"/>
        <v>1</v>
      </c>
      <c r="AB25" s="1561">
        <f t="shared" si="4"/>
        <v>1</v>
      </c>
      <c r="AC25" s="1561">
        <f t="shared" si="5"/>
        <v>1</v>
      </c>
    </row>
    <row r="26" spans="1:29" ht="20.25">
      <c r="A26" s="514"/>
      <c r="B26" s="1005"/>
      <c r="C26" s="553" t="s">
        <v>3214</v>
      </c>
      <c r="D26" s="556"/>
      <c r="E26" s="553" t="s">
        <v>3214</v>
      </c>
      <c r="F26" s="554"/>
      <c r="G26" s="553" t="s">
        <v>3214</v>
      </c>
      <c r="H26" s="554"/>
      <c r="I26" s="553" t="s">
        <v>3214</v>
      </c>
      <c r="J26" s="554"/>
      <c r="K26" s="530"/>
      <c r="L26" s="2124"/>
      <c r="M26" s="2114"/>
      <c r="N26" s="2114"/>
      <c r="O26" s="2123"/>
      <c r="P26" s="3448"/>
      <c r="Q26" s="1557"/>
      <c r="R26" s="1558"/>
      <c r="S26" s="1559"/>
      <c r="T26" s="1558"/>
      <c r="U26" s="1559"/>
      <c r="V26" s="1558"/>
      <c r="W26" s="1559"/>
      <c r="X26" s="1552"/>
      <c r="Y26" s="3448"/>
      <c r="Z26" s="1560"/>
      <c r="AA26" s="1561"/>
      <c r="AB26" s="1561"/>
      <c r="AC26" s="1561"/>
    </row>
    <row r="27" spans="1:29" ht="156.75">
      <c r="A27" s="514"/>
      <c r="B27" s="577" t="s">
        <v>545</v>
      </c>
      <c r="C27" s="560" t="str">
        <f>估价对象房地状况!C20</f>
        <v>估价对象所在区域内无公园、水系、湖泊，自然环境较差；无博物馆、科技馆、体育馆、高等学府等人文设施，人文环境较差；综合评价自然及人文环境环境较差。</v>
      </c>
      <c r="D27" s="562">
        <v>100</v>
      </c>
      <c r="E27" s="563"/>
      <c r="F27" s="558">
        <f>SUMIF(100:100,E28,101:101)-SUMIF(100:100,C28,101:101)+100</f>
        <v>100</v>
      </c>
      <c r="G27" s="561"/>
      <c r="H27" s="558">
        <f>SUMIF(100:100,G28,101:101)-SUMIF(100:100,C28,101:101)+100</f>
        <v>103</v>
      </c>
      <c r="I27" s="563"/>
      <c r="J27" s="558">
        <f>SUMIF(100:100,I28,101:101)-SUMIF(100:100,C28,101:101)+100</f>
        <v>100</v>
      </c>
      <c r="K27" s="534">
        <v>3</v>
      </c>
      <c r="L27" s="2124"/>
      <c r="M27" s="2114"/>
      <c r="N27" s="2114"/>
      <c r="O27" s="2123"/>
      <c r="P27" s="3448"/>
      <c r="Q27" s="1557" t="str">
        <f t="shared" si="8"/>
        <v>自然及人文环境状况</v>
      </c>
      <c r="R27" s="1558" t="s">
        <v>8</v>
      </c>
      <c r="S27" s="1559">
        <f>F27</f>
        <v>100</v>
      </c>
      <c r="T27" s="1558" t="s">
        <v>8</v>
      </c>
      <c r="U27" s="1559">
        <f>H27</f>
        <v>103</v>
      </c>
      <c r="V27" s="1558" t="s">
        <v>8</v>
      </c>
      <c r="W27" s="1559">
        <f>J27</f>
        <v>100</v>
      </c>
      <c r="X27" s="1552"/>
      <c r="Y27" s="3448"/>
      <c r="Z27" s="1560" t="str">
        <f>Q27</f>
        <v>自然及人文环境状况</v>
      </c>
      <c r="AA27" s="1561">
        <f t="shared" si="3"/>
        <v>1</v>
      </c>
      <c r="AB27" s="1561">
        <f t="shared" si="4"/>
        <v>0.970873786407767</v>
      </c>
      <c r="AC27" s="1561">
        <f t="shared" si="5"/>
        <v>1</v>
      </c>
    </row>
    <row r="28" spans="1:29" ht="20.25">
      <c r="A28" s="514"/>
      <c r="B28" s="565"/>
      <c r="C28" s="553" t="s">
        <v>3198</v>
      </c>
      <c r="D28" s="556"/>
      <c r="E28" s="553" t="s">
        <v>3198</v>
      </c>
      <c r="F28" s="554"/>
      <c r="G28" s="553" t="s">
        <v>3199</v>
      </c>
      <c r="H28" s="554"/>
      <c r="I28" s="553" t="s">
        <v>3198</v>
      </c>
      <c r="J28" s="554"/>
      <c r="K28" s="530"/>
      <c r="L28" s="2124"/>
      <c r="M28" s="2114"/>
      <c r="N28" s="2114"/>
      <c r="O28" s="2123"/>
      <c r="P28" s="3448"/>
      <c r="Q28" s="1557"/>
      <c r="R28" s="1558"/>
      <c r="S28" s="1559"/>
      <c r="T28" s="1558"/>
      <c r="U28" s="1559"/>
      <c r="V28" s="1558"/>
      <c r="W28" s="1559"/>
      <c r="X28" s="1552"/>
      <c r="Y28" s="3448"/>
      <c r="Z28" s="1560"/>
      <c r="AA28" s="1561">
        <v>1</v>
      </c>
      <c r="AB28" s="1561">
        <v>1</v>
      </c>
      <c r="AC28" s="1561">
        <v>1</v>
      </c>
    </row>
    <row r="29" spans="1:29" s="1214" customFormat="1" ht="199.5">
      <c r="A29" s="576"/>
      <c r="B29" s="2552" t="s">
        <v>2547</v>
      </c>
      <c r="C29" s="572"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D29" s="562">
        <v>100</v>
      </c>
      <c r="E29" s="563"/>
      <c r="F29" s="558">
        <f>SUMIF(102:102,E30,103:103)-SUMIF(102:102,C30,103:103)+100</f>
        <v>100</v>
      </c>
      <c r="G29" s="561"/>
      <c r="H29" s="558">
        <f>SUMIF(102:102,G30,103:103)-SUMIF(102:102,C30,103:103)+100</f>
        <v>102</v>
      </c>
      <c r="I29" s="563"/>
      <c r="J29" s="558">
        <f>SUMIF(102:102,I30,103:103)-SUMIF(102:102,C30,103:103)+100</f>
        <v>100</v>
      </c>
      <c r="K29" s="3234">
        <v>2</v>
      </c>
      <c r="L29" s="2117"/>
      <c r="M29" s="2114"/>
      <c r="N29" s="2114"/>
      <c r="O29" s="2119"/>
      <c r="P29" s="3448"/>
      <c r="Q29" s="1145" t="str">
        <f t="shared" si="8"/>
        <v>公共配套设施</v>
      </c>
      <c r="R29" s="1553" t="s">
        <v>8</v>
      </c>
      <c r="S29" s="1554">
        <f>F29</f>
        <v>100</v>
      </c>
      <c r="T29" s="1553" t="s">
        <v>8</v>
      </c>
      <c r="U29" s="1554">
        <f>H29</f>
        <v>102</v>
      </c>
      <c r="V29" s="1553" t="s">
        <v>8</v>
      </c>
      <c r="W29" s="1554">
        <f>J29</f>
        <v>100</v>
      </c>
      <c r="X29" s="1555"/>
      <c r="Y29" s="3448"/>
      <c r="Z29" s="1144" t="str">
        <f>Q29</f>
        <v>公共配套设施</v>
      </c>
      <c r="AA29" s="1561">
        <f>D29/F29</f>
        <v>1</v>
      </c>
      <c r="AB29" s="1561">
        <f>D29/H29</f>
        <v>0.98039215686274506</v>
      </c>
      <c r="AC29" s="1561">
        <f>D29/J29</f>
        <v>1</v>
      </c>
    </row>
    <row r="30" spans="1:29" s="1214" customFormat="1" ht="20.25">
      <c r="A30" s="576"/>
      <c r="B30" s="565"/>
      <c r="C30" s="578" t="s">
        <v>3198</v>
      </c>
      <c r="D30" s="556"/>
      <c r="E30" s="553" t="s">
        <v>3198</v>
      </c>
      <c r="F30" s="554"/>
      <c r="G30" s="3235" t="s">
        <v>3199</v>
      </c>
      <c r="H30" s="554"/>
      <c r="I30" s="553" t="s">
        <v>3198</v>
      </c>
      <c r="J30" s="554"/>
      <c r="K30" s="530"/>
      <c r="L30" s="2117"/>
      <c r="M30" s="2114"/>
      <c r="N30" s="2114"/>
      <c r="O30" s="2119"/>
      <c r="P30" s="3448"/>
      <c r="Q30" s="1145"/>
      <c r="R30" s="1553"/>
      <c r="S30" s="1554"/>
      <c r="T30" s="1553"/>
      <c r="U30" s="1554"/>
      <c r="V30" s="1553"/>
      <c r="W30" s="1554"/>
      <c r="X30" s="1555"/>
      <c r="Y30" s="3448"/>
      <c r="Z30" s="1144"/>
      <c r="AA30" s="1561">
        <v>1</v>
      </c>
      <c r="AB30" s="1561">
        <v>1</v>
      </c>
      <c r="AC30" s="1561">
        <v>1</v>
      </c>
    </row>
    <row r="31" spans="1:29" s="1214" customFormat="1" ht="28.5">
      <c r="A31" s="576"/>
      <c r="B31" s="255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7"/>
      <c r="M31" s="2114"/>
      <c r="N31" s="2114"/>
      <c r="O31" s="2119"/>
      <c r="P31" s="3448"/>
      <c r="Q31" s="2539" t="str">
        <f t="shared" ref="Q31" si="9">B31</f>
        <v>基础设施水平</v>
      </c>
      <c r="R31" s="1553" t="s">
        <v>8</v>
      </c>
      <c r="S31" s="1554">
        <f>F31</f>
        <v>100</v>
      </c>
      <c r="T31" s="1553" t="s">
        <v>8</v>
      </c>
      <c r="U31" s="1554">
        <f>H31</f>
        <v>100</v>
      </c>
      <c r="V31" s="1553" t="s">
        <v>8</v>
      </c>
      <c r="W31" s="1554">
        <f>J31</f>
        <v>100</v>
      </c>
      <c r="X31" s="1555"/>
      <c r="Y31" s="3448"/>
      <c r="Z31" s="2536" t="str">
        <f>Q31</f>
        <v>基础设施水平</v>
      </c>
      <c r="AA31" s="1561">
        <f>D31/F31</f>
        <v>1</v>
      </c>
      <c r="AB31" s="1561">
        <f>D31/H31</f>
        <v>1</v>
      </c>
      <c r="AC31" s="1561">
        <f>D31/J31</f>
        <v>1</v>
      </c>
    </row>
    <row r="32" spans="1:29" s="1214" customFormat="1" ht="21" thickBot="1">
      <c r="A32" s="576"/>
      <c r="B32" s="565"/>
      <c r="C32" s="578" t="s">
        <v>3200</v>
      </c>
      <c r="D32" s="556"/>
      <c r="E32" s="578" t="s">
        <v>3200</v>
      </c>
      <c r="F32" s="554"/>
      <c r="G32" s="578" t="s">
        <v>3200</v>
      </c>
      <c r="H32" s="554"/>
      <c r="I32" s="578" t="s">
        <v>3200</v>
      </c>
      <c r="J32" s="554"/>
      <c r="K32" s="530"/>
      <c r="L32" s="2117"/>
      <c r="M32" s="2114"/>
      <c r="N32" s="2114"/>
      <c r="O32" s="2119"/>
      <c r="P32" s="3448"/>
      <c r="Q32" s="2539"/>
      <c r="R32" s="1553"/>
      <c r="S32" s="1554"/>
      <c r="T32" s="1553"/>
      <c r="U32" s="1554"/>
      <c r="V32" s="1553"/>
      <c r="W32" s="1554"/>
      <c r="X32" s="1555"/>
      <c r="Y32" s="3448"/>
      <c r="Z32" s="2536"/>
      <c r="AA32" s="1561">
        <v>1</v>
      </c>
      <c r="AB32" s="1561">
        <v>1</v>
      </c>
      <c r="AC32" s="1561">
        <v>1</v>
      </c>
    </row>
    <row r="33" spans="1:29" ht="21" hidden="1" customHeight="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4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48"/>
      <c r="Z33" s="1560" t="str">
        <f t="shared" ref="Z33:Z47" si="13">Q33</f>
        <v>临街状况</v>
      </c>
      <c r="AA33" s="1561">
        <f t="shared" si="3"/>
        <v>1</v>
      </c>
      <c r="AB33" s="1561">
        <f t="shared" si="4"/>
        <v>1</v>
      </c>
      <c r="AC33" s="1561">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48"/>
      <c r="Q34" s="1557" t="str">
        <f t="shared" si="8"/>
        <v>毗邻道路的类型与等级</v>
      </c>
      <c r="R34" s="1558" t="s">
        <v>8</v>
      </c>
      <c r="S34" s="1559">
        <f t="shared" si="10"/>
        <v>100</v>
      </c>
      <c r="T34" s="1558" t="s">
        <v>8</v>
      </c>
      <c r="U34" s="1559">
        <f t="shared" si="11"/>
        <v>100</v>
      </c>
      <c r="V34" s="1558" t="s">
        <v>8</v>
      </c>
      <c r="W34" s="1559">
        <f t="shared" si="12"/>
        <v>100</v>
      </c>
      <c r="X34" s="1552"/>
      <c r="Y34" s="3448"/>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4"/>
      <c r="M35" s="2114"/>
      <c r="N35" s="2114"/>
      <c r="O35" s="2123"/>
      <c r="P35" s="3448"/>
      <c r="Q35" s="1557"/>
      <c r="R35" s="1558"/>
      <c r="S35" s="1559"/>
      <c r="T35" s="1558"/>
      <c r="U35" s="1559"/>
      <c r="V35" s="1558"/>
      <c r="W35" s="1559"/>
      <c r="X35" s="1552"/>
      <c r="Y35" s="3448"/>
      <c r="Z35" s="1560"/>
      <c r="AA35" s="1561">
        <v>1</v>
      </c>
      <c r="AB35" s="1561">
        <v>1</v>
      </c>
      <c r="AC35" s="1561">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48"/>
      <c r="Q36" s="1557" t="str">
        <f t="shared" si="8"/>
        <v>土地级别</v>
      </c>
      <c r="R36" s="1558" t="s">
        <v>8</v>
      </c>
      <c r="S36" s="1559">
        <f t="shared" si="10"/>
        <v>100</v>
      </c>
      <c r="T36" s="1558" t="s">
        <v>8</v>
      </c>
      <c r="U36" s="1559">
        <f t="shared" si="11"/>
        <v>100</v>
      </c>
      <c r="V36" s="1558" t="s">
        <v>8</v>
      </c>
      <c r="W36" s="1559">
        <f t="shared" si="12"/>
        <v>100</v>
      </c>
      <c r="X36" s="1552"/>
      <c r="Y36" s="3448"/>
      <c r="Z36" s="1560" t="str">
        <f t="shared" si="13"/>
        <v>土地级别</v>
      </c>
      <c r="AA36" s="1561">
        <f t="shared" si="3"/>
        <v>1</v>
      </c>
      <c r="AB36" s="1561">
        <f t="shared" si="4"/>
        <v>1</v>
      </c>
      <c r="AC36" s="1561">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48"/>
      <c r="Q37" s="1557">
        <f t="shared" si="8"/>
        <v>111</v>
      </c>
      <c r="R37" s="1558" t="s">
        <v>8</v>
      </c>
      <c r="S37" s="1559">
        <f t="shared" si="10"/>
        <v>100</v>
      </c>
      <c r="T37" s="1558" t="s">
        <v>8</v>
      </c>
      <c r="U37" s="1559">
        <f t="shared" si="11"/>
        <v>100</v>
      </c>
      <c r="V37" s="1558" t="s">
        <v>8</v>
      </c>
      <c r="W37" s="1559">
        <f t="shared" si="12"/>
        <v>100</v>
      </c>
      <c r="X37" s="1552"/>
      <c r="Y37" s="3448"/>
      <c r="Z37" s="1560">
        <f t="shared" si="13"/>
        <v>111</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49" t="s">
        <v>550</v>
      </c>
      <c r="Q38" s="1557">
        <f t="shared" si="8"/>
        <v>111</v>
      </c>
      <c r="R38" s="1558" t="s">
        <v>8</v>
      </c>
      <c r="S38" s="1559">
        <f t="shared" si="10"/>
        <v>100</v>
      </c>
      <c r="T38" s="1558" t="s">
        <v>8</v>
      </c>
      <c r="U38" s="1559">
        <f t="shared" si="11"/>
        <v>100</v>
      </c>
      <c r="V38" s="1558" t="s">
        <v>8</v>
      </c>
      <c r="W38" s="1559">
        <f t="shared" si="12"/>
        <v>100</v>
      </c>
      <c r="X38" s="1552"/>
      <c r="Y38" s="3450" t="s">
        <v>550</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50"/>
      <c r="Q39" s="1557">
        <f t="shared" si="8"/>
        <v>111</v>
      </c>
      <c r="R39" s="1562" t="s">
        <v>8</v>
      </c>
      <c r="S39" s="1563">
        <f t="shared" si="10"/>
        <v>100</v>
      </c>
      <c r="T39" s="1562" t="s">
        <v>8</v>
      </c>
      <c r="U39" s="1563">
        <f t="shared" si="11"/>
        <v>100</v>
      </c>
      <c r="V39" s="1562" t="s">
        <v>8</v>
      </c>
      <c r="W39" s="1563">
        <f t="shared" si="12"/>
        <v>100</v>
      </c>
      <c r="X39" s="1564"/>
      <c r="Y39" s="3450"/>
      <c r="Z39" s="1565">
        <f t="shared" si="13"/>
        <v>111</v>
      </c>
      <c r="AA39" s="1561">
        <f t="shared" si="3"/>
        <v>1</v>
      </c>
      <c r="AB39" s="1561">
        <f t="shared" si="4"/>
        <v>1</v>
      </c>
      <c r="AC39" s="1561">
        <f t="shared" si="5"/>
        <v>1</v>
      </c>
    </row>
    <row r="40" spans="1:29" ht="20.25">
      <c r="A40" s="2859" t="s">
        <v>2753</v>
      </c>
      <c r="B40" s="594" t="s">
        <v>552</v>
      </c>
      <c r="C40" s="595">
        <f>'数据-基础表'!A3</f>
        <v>27011.59</v>
      </c>
      <c r="D40" s="596">
        <v>100</v>
      </c>
      <c r="E40" s="595">
        <f>和县土地案例!F3</f>
        <v>58481.52</v>
      </c>
      <c r="F40" s="596">
        <f>LOOKUP(E40,119:119,120:120)-LOOKUP(C40,119:119,120:120)+100</f>
        <v>100.5</v>
      </c>
      <c r="G40" s="595">
        <f>和县土地案例!F4</f>
        <v>26917.5</v>
      </c>
      <c r="H40" s="596">
        <f>LOOKUP(G40,119:119,120:120)-LOOKUP(C40,119:119,120:120)+100</f>
        <v>100</v>
      </c>
      <c r="I40" s="597">
        <f>和县土地案例!F7</f>
        <v>65466.400000000001</v>
      </c>
      <c r="J40" s="596">
        <f>LOOKUP(I40,119:119,120:120)-LOOKUP(C40,119:119,120:120)+100</f>
        <v>101</v>
      </c>
      <c r="K40" s="580"/>
      <c r="L40" s="2124"/>
      <c r="M40" s="2114"/>
      <c r="N40" s="2114"/>
      <c r="O40" s="2123"/>
      <c r="P40" s="3450"/>
      <c r="Q40" s="1557" t="str">
        <f>B40</f>
        <v>宗地面积</v>
      </c>
      <c r="R40" s="1558" t="s">
        <v>8</v>
      </c>
      <c r="S40" s="1559">
        <f t="shared" si="10"/>
        <v>100.5</v>
      </c>
      <c r="T40" s="1558" t="s">
        <v>8</v>
      </c>
      <c r="U40" s="1559">
        <f t="shared" si="11"/>
        <v>100</v>
      </c>
      <c r="V40" s="1558" t="s">
        <v>8</v>
      </c>
      <c r="W40" s="1559">
        <f t="shared" si="12"/>
        <v>101</v>
      </c>
      <c r="X40" s="1552"/>
      <c r="Y40" s="3450"/>
      <c r="Z40" s="1560" t="str">
        <f t="shared" si="13"/>
        <v>宗地面积</v>
      </c>
      <c r="AA40" s="1561">
        <f t="shared" si="3"/>
        <v>0.99502487562189057</v>
      </c>
      <c r="AB40" s="1561">
        <f t="shared" si="4"/>
        <v>1</v>
      </c>
      <c r="AC40" s="1561">
        <f t="shared" si="5"/>
        <v>0.99009900990099009</v>
      </c>
    </row>
    <row r="41" spans="1:29" ht="20.25">
      <c r="A41" s="593"/>
      <c r="B41" s="526" t="s">
        <v>553</v>
      </c>
      <c r="C41" s="598" t="s">
        <v>3201</v>
      </c>
      <c r="D41" s="539">
        <v>100</v>
      </c>
      <c r="E41" s="598" t="s">
        <v>3201</v>
      </c>
      <c r="F41" s="539">
        <f>SUMIF(121:121,E41,122:122)-SUMIF(121:121,C41,122:122)+100</f>
        <v>100</v>
      </c>
      <c r="G41" s="598" t="s">
        <v>3201</v>
      </c>
      <c r="H41" s="539">
        <f>SUMIF(121:121,G41,122:122)-SUMIF(121:121,C41,122:122)+100</f>
        <v>100</v>
      </c>
      <c r="I41" s="598" t="s">
        <v>3201</v>
      </c>
      <c r="J41" s="539">
        <f>SUMIF(121:121,I41,122:122)-SUMIF(121:121,C41,122:122)+100</f>
        <v>100</v>
      </c>
      <c r="K41" s="583">
        <v>2</v>
      </c>
      <c r="L41" s="2124"/>
      <c r="M41" s="2114"/>
      <c r="N41" s="2114"/>
      <c r="O41" s="2123"/>
      <c r="P41" s="3450"/>
      <c r="Q41" s="1557" t="str">
        <f t="shared" ref="Q41:Q47" si="14">B41</f>
        <v>宗地形状</v>
      </c>
      <c r="R41" s="1558" t="s">
        <v>8</v>
      </c>
      <c r="S41" s="1559">
        <f t="shared" si="10"/>
        <v>100</v>
      </c>
      <c r="T41" s="1558" t="s">
        <v>8</v>
      </c>
      <c r="U41" s="1559">
        <f t="shared" si="11"/>
        <v>100</v>
      </c>
      <c r="V41" s="1558" t="s">
        <v>8</v>
      </c>
      <c r="W41" s="1559">
        <f t="shared" si="12"/>
        <v>100</v>
      </c>
      <c r="X41" s="1552"/>
      <c r="Y41" s="3450"/>
      <c r="Z41" s="1560" t="str">
        <f t="shared" si="13"/>
        <v>宗地形状</v>
      </c>
      <c r="AA41" s="1561">
        <f t="shared" si="3"/>
        <v>1</v>
      </c>
      <c r="AB41" s="1561">
        <f t="shared" si="4"/>
        <v>1</v>
      </c>
      <c r="AC41" s="1561">
        <f t="shared" si="5"/>
        <v>1</v>
      </c>
    </row>
    <row r="42" spans="1:29" ht="20.25" hidden="1">
      <c r="A42" s="593"/>
      <c r="B42" s="526" t="s">
        <v>554</v>
      </c>
      <c r="C42" s="3202" t="s">
        <v>3202</v>
      </c>
      <c r="D42" s="539">
        <v>100</v>
      </c>
      <c r="E42" s="3202" t="s">
        <v>3202</v>
      </c>
      <c r="F42" s="539">
        <f>SUMIF(123:123,E42,124:124)-SUMIF(123:123,C42,124:124)+100</f>
        <v>100</v>
      </c>
      <c r="G42" s="3202" t="s">
        <v>3202</v>
      </c>
      <c r="H42" s="539">
        <f>SUMIF(123:123,G42,124:124)-SUMIF(123:123,C42,124:124)+100</f>
        <v>100</v>
      </c>
      <c r="I42" s="3202" t="s">
        <v>3202</v>
      </c>
      <c r="J42" s="539">
        <f>SUMIF(123:123,I42,124:124)-SUMIF(123:123,C42,124:124)+100</f>
        <v>100</v>
      </c>
      <c r="K42" s="583">
        <v>2</v>
      </c>
      <c r="L42" s="2124"/>
      <c r="M42" s="2114"/>
      <c r="N42" s="2114"/>
      <c r="O42" s="2123"/>
      <c r="P42" s="3450"/>
      <c r="Q42" s="1557" t="str">
        <f t="shared" si="14"/>
        <v>临街宽度及深度</v>
      </c>
      <c r="R42" s="1558" t="s">
        <v>8</v>
      </c>
      <c r="S42" s="1559">
        <f t="shared" si="10"/>
        <v>100</v>
      </c>
      <c r="T42" s="1558" t="s">
        <v>8</v>
      </c>
      <c r="U42" s="1559">
        <f t="shared" si="11"/>
        <v>100</v>
      </c>
      <c r="V42" s="1558" t="s">
        <v>8</v>
      </c>
      <c r="W42" s="1559">
        <f t="shared" si="12"/>
        <v>100</v>
      </c>
      <c r="X42" s="1552"/>
      <c r="Y42" s="3450"/>
      <c r="Z42" s="1560" t="str">
        <f t="shared" si="13"/>
        <v>临街宽度及深度</v>
      </c>
      <c r="AA42" s="1561">
        <f t="shared" si="3"/>
        <v>1</v>
      </c>
      <c r="AB42" s="1561">
        <f t="shared" si="4"/>
        <v>1</v>
      </c>
      <c r="AC42" s="1561">
        <f t="shared" si="5"/>
        <v>1</v>
      </c>
    </row>
    <row r="43" spans="1:29" s="1214" customFormat="1" ht="20.25">
      <c r="A43" s="599"/>
      <c r="B43" s="1877" t="s">
        <v>2423</v>
      </c>
      <c r="C43" s="3203" t="s">
        <v>3203</v>
      </c>
      <c r="D43" s="254">
        <v>100</v>
      </c>
      <c r="E43" s="3203" t="s">
        <v>3203</v>
      </c>
      <c r="F43" s="539">
        <f>SUMIF(125:125,E43,126:126)-SUMIF(125:125,C43,126:126)+100</f>
        <v>100</v>
      </c>
      <c r="G43" s="3203" t="s">
        <v>3203</v>
      </c>
      <c r="H43" s="539">
        <f>SUMIF(125:125,G43,126:126)-SUMIF(125:125,C43,126:126)+100</f>
        <v>100</v>
      </c>
      <c r="I43" s="3203" t="s">
        <v>3203</v>
      </c>
      <c r="J43" s="539">
        <f>SUMIF(125:125,I43,126:126)-SUMIF(125:125,C43,126:126)+100</f>
        <v>100</v>
      </c>
      <c r="K43" s="583">
        <v>2</v>
      </c>
      <c r="L43" s="2117"/>
      <c r="M43" s="2114"/>
      <c r="N43" s="2114"/>
      <c r="O43" s="2119"/>
      <c r="P43" s="3450"/>
      <c r="Q43" s="1557" t="str">
        <f t="shared" si="14"/>
        <v>宗地开发程度</v>
      </c>
      <c r="R43" s="1553" t="s">
        <v>8</v>
      </c>
      <c r="S43" s="1554">
        <f t="shared" si="10"/>
        <v>100</v>
      </c>
      <c r="T43" s="1553" t="s">
        <v>8</v>
      </c>
      <c r="U43" s="1554">
        <f t="shared" si="11"/>
        <v>100</v>
      </c>
      <c r="V43" s="1553" t="s">
        <v>8</v>
      </c>
      <c r="W43" s="1554">
        <f t="shared" si="12"/>
        <v>100</v>
      </c>
      <c r="X43" s="1555"/>
      <c r="Y43" s="3450"/>
      <c r="Z43" s="1144" t="str">
        <f t="shared" si="13"/>
        <v>宗地开发程度</v>
      </c>
      <c r="AA43" s="1556">
        <f t="shared" si="3"/>
        <v>1</v>
      </c>
      <c r="AB43" s="1556">
        <f t="shared" si="4"/>
        <v>1</v>
      </c>
      <c r="AC43" s="1556">
        <f t="shared" si="5"/>
        <v>1</v>
      </c>
    </row>
    <row r="44" spans="1:29" ht="21" thickBot="1">
      <c r="A44" s="593"/>
      <c r="B44" s="526" t="s">
        <v>555</v>
      </c>
      <c r="C44" s="3202" t="s">
        <v>3204</v>
      </c>
      <c r="D44" s="539">
        <v>100</v>
      </c>
      <c r="E44" s="3202" t="s">
        <v>3204</v>
      </c>
      <c r="F44" s="539">
        <f>SUMIF(127:127,E44,128:128)-SUMIF(127:127,C44,128:128)+100</f>
        <v>100</v>
      </c>
      <c r="G44" s="3202" t="s">
        <v>3204</v>
      </c>
      <c r="H44" s="539">
        <f>SUMIF(127:127,G44,128:128)-SUMIF(127:127,C44,128:128)+100</f>
        <v>100</v>
      </c>
      <c r="I44" s="3202" t="s">
        <v>3204</v>
      </c>
      <c r="J44" s="539">
        <f>SUMIF(127:127,I44,128:128)-SUMIF(127:127,C44,128:128)+100</f>
        <v>100</v>
      </c>
      <c r="K44" s="583">
        <v>2</v>
      </c>
      <c r="L44" s="2124"/>
      <c r="M44" s="2114"/>
      <c r="N44" s="2114"/>
      <c r="O44" s="2123"/>
      <c r="P44" s="3450" t="s">
        <v>550</v>
      </c>
      <c r="Q44" s="1557" t="str">
        <f t="shared" si="14"/>
        <v>工程地质条件</v>
      </c>
      <c r="R44" s="1558" t="s">
        <v>8</v>
      </c>
      <c r="S44" s="1559">
        <f t="shared" si="10"/>
        <v>100</v>
      </c>
      <c r="T44" s="1558" t="s">
        <v>8</v>
      </c>
      <c r="U44" s="1559">
        <f t="shared" si="11"/>
        <v>100</v>
      </c>
      <c r="V44" s="1558" t="s">
        <v>8</v>
      </c>
      <c r="W44" s="1559">
        <f t="shared" si="12"/>
        <v>100</v>
      </c>
      <c r="X44" s="1552"/>
      <c r="Y44" s="3450" t="s">
        <v>550</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50"/>
      <c r="Q45" s="1557">
        <f t="shared" si="14"/>
        <v>111</v>
      </c>
      <c r="R45" s="1558" t="s">
        <v>8</v>
      </c>
      <c r="S45" s="1559">
        <f t="shared" si="10"/>
        <v>100</v>
      </c>
      <c r="T45" s="1558" t="s">
        <v>8</v>
      </c>
      <c r="U45" s="1559">
        <f t="shared" si="11"/>
        <v>100</v>
      </c>
      <c r="V45" s="1558" t="s">
        <v>8</v>
      </c>
      <c r="W45" s="1559">
        <f t="shared" si="12"/>
        <v>100</v>
      </c>
      <c r="X45" s="1552"/>
      <c r="Y45" s="3450"/>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50"/>
      <c r="Q46" s="1557">
        <f t="shared" si="14"/>
        <v>111</v>
      </c>
      <c r="R46" s="1558" t="s">
        <v>8</v>
      </c>
      <c r="S46" s="1559">
        <f t="shared" si="10"/>
        <v>100</v>
      </c>
      <c r="T46" s="1558" t="s">
        <v>8</v>
      </c>
      <c r="U46" s="1559">
        <f t="shared" si="11"/>
        <v>100</v>
      </c>
      <c r="V46" s="1558" t="s">
        <v>8</v>
      </c>
      <c r="W46" s="1559">
        <f t="shared" si="12"/>
        <v>100</v>
      </c>
      <c r="X46" s="1552"/>
      <c r="Y46" s="3450"/>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50"/>
      <c r="Q47" s="1557">
        <f t="shared" si="14"/>
        <v>111</v>
      </c>
      <c r="R47" s="1562" t="s">
        <v>8</v>
      </c>
      <c r="S47" s="1563">
        <f t="shared" si="10"/>
        <v>100</v>
      </c>
      <c r="T47" s="1562" t="s">
        <v>8</v>
      </c>
      <c r="U47" s="1563">
        <f t="shared" si="11"/>
        <v>100</v>
      </c>
      <c r="V47" s="1562" t="s">
        <v>8</v>
      </c>
      <c r="W47" s="1563">
        <f t="shared" si="12"/>
        <v>100</v>
      </c>
      <c r="X47" s="1564"/>
      <c r="Y47" s="3450"/>
      <c r="Z47" s="1565">
        <f t="shared" si="13"/>
        <v>111</v>
      </c>
      <c r="AA47" s="1561">
        <f t="shared" si="3"/>
        <v>1</v>
      </c>
      <c r="AB47" s="1561">
        <f t="shared" si="4"/>
        <v>1</v>
      </c>
      <c r="AC47" s="1561">
        <f t="shared" si="5"/>
        <v>1</v>
      </c>
    </row>
    <row r="48" spans="1:29" ht="20.25">
      <c r="A48" s="606" t="s">
        <v>556</v>
      </c>
      <c r="B48" s="607" t="s">
        <v>3196</v>
      </c>
      <c r="C48" s="608" t="s">
        <v>1</v>
      </c>
      <c r="D48" s="609"/>
      <c r="E48" s="610">
        <v>1704</v>
      </c>
      <c r="F48" s="611"/>
      <c r="G48" s="612">
        <v>2619</v>
      </c>
      <c r="H48" s="613"/>
      <c r="I48" s="610">
        <v>1950</v>
      </c>
      <c r="J48" s="613"/>
      <c r="K48" s="1334"/>
      <c r="L48" s="2126"/>
      <c r="M48" s="2114"/>
      <c r="N48" s="2114"/>
      <c r="O48" s="2127"/>
      <c r="P48" s="3413" t="str">
        <f>A48</f>
        <v>成交单价</v>
      </c>
      <c r="Q48" s="3413"/>
      <c r="R48" s="3414">
        <f>E48</f>
        <v>1704</v>
      </c>
      <c r="S48" s="3414"/>
      <c r="T48" s="3414">
        <f>G48</f>
        <v>2619</v>
      </c>
      <c r="U48" s="3414"/>
      <c r="V48" s="3414">
        <f>I48</f>
        <v>1950</v>
      </c>
      <c r="W48" s="3414"/>
      <c r="X48" s="1544"/>
      <c r="Y48" s="1566"/>
      <c r="Z48" s="1544"/>
      <c r="AA48" s="1544"/>
      <c r="AB48" s="1544"/>
      <c r="AC48" s="1544"/>
    </row>
    <row r="49" spans="1:29" ht="21" thickBot="1">
      <c r="A49" s="614" t="s">
        <v>2691</v>
      </c>
      <c r="B49" s="615"/>
      <c r="C49" s="616">
        <f>R50</f>
        <v>2134</v>
      </c>
      <c r="D49" s="617"/>
      <c r="E49" s="616">
        <f>R49</f>
        <v>1804</v>
      </c>
      <c r="F49" s="618"/>
      <c r="G49" s="619">
        <f>T49</f>
        <v>2499</v>
      </c>
      <c r="H49" s="617"/>
      <c r="I49" s="616">
        <f>V49</f>
        <v>2098</v>
      </c>
      <c r="J49" s="617"/>
      <c r="K49" s="1335"/>
      <c r="L49" s="2126"/>
      <c r="M49" s="2114"/>
      <c r="N49" s="2114"/>
      <c r="O49" s="2127"/>
      <c r="P49" s="3413" t="str">
        <f>A49</f>
        <v>比较价格（元/平方米）</v>
      </c>
      <c r="Q49" s="3413"/>
      <c r="R49" s="3415">
        <f>ROUND(PRODUCT(R48,AA9:AA47),0)</f>
        <v>1804</v>
      </c>
      <c r="S49" s="3415"/>
      <c r="T49" s="3415">
        <f>ROUND(PRODUCT(T48,AB9:AB47),0)</f>
        <v>2499</v>
      </c>
      <c r="U49" s="3415"/>
      <c r="V49" s="3415">
        <f>ROUND(PRODUCT(V48,AC9:AC47),0)</f>
        <v>2098</v>
      </c>
      <c r="W49" s="3415"/>
      <c r="X49" s="1544"/>
      <c r="Y49" s="1544"/>
      <c r="Z49" s="1544"/>
      <c r="AA49" s="1544"/>
      <c r="AB49" s="1544"/>
      <c r="AC49" s="1544"/>
    </row>
    <row r="50" spans="1:29" ht="21" thickBot="1">
      <c r="A50" s="620" t="s">
        <v>2930</v>
      </c>
      <c r="B50" s="621"/>
      <c r="C50" s="622">
        <f>R50</f>
        <v>2134</v>
      </c>
      <c r="D50" s="622"/>
      <c r="E50" s="622"/>
      <c r="F50" s="622"/>
      <c r="G50" s="622"/>
      <c r="H50" s="622"/>
      <c r="I50" s="622"/>
      <c r="J50" s="622"/>
      <c r="K50" s="1336"/>
      <c r="L50" s="2126"/>
      <c r="M50" s="2114"/>
      <c r="N50" s="2114"/>
      <c r="O50" s="2127"/>
      <c r="P50" s="3410" t="str">
        <f>A50</f>
        <v>估价对象XX用房的比较价格（楼面单价，元/平方米）</v>
      </c>
      <c r="Q50" s="3411"/>
      <c r="R50" s="3412">
        <f>ROUND(AVERAGE(R49:V49),0)</f>
        <v>2134</v>
      </c>
      <c r="S50" s="3412"/>
      <c r="T50" s="3412"/>
      <c r="U50" s="3412"/>
      <c r="V50" s="3412"/>
      <c r="W50" s="3412"/>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5.8685446009389741E-2</v>
      </c>
      <c r="F53" s="626" t="str">
        <f>IF(OR(E53&gt;=0.3,E53&lt;=-0.3),"超过30%","")</f>
        <v/>
      </c>
      <c r="G53" s="625">
        <f>IF(G48&lt;G49,G49/G48-1,G48/G49-1)</f>
        <v>4.8019207683073217E-2</v>
      </c>
      <c r="H53" s="626" t="str">
        <f>IF(OR(G53&gt;=0.3,G53&lt;=-0.3),"超过30%","")</f>
        <v/>
      </c>
      <c r="I53" s="625">
        <f>IF(I48&lt;I49,I49/I48-1,I48/I49-1)</f>
        <v>7.5897435897435805E-2</v>
      </c>
      <c r="J53" s="626" t="str">
        <f>IF(OR(I53&gt;=0.3,I53&lt;=-0.3),"超过30%","")</f>
        <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0.3852549889135255</v>
      </c>
      <c r="F54" s="626" t="str">
        <f>IF(OR(E54&gt;=0.2,E54&lt;=-0.2),"超过20%","")</f>
        <v>超过20%</v>
      </c>
      <c r="G54" s="625">
        <f>IF(G49&lt;I49,I49/G49-1,G49/I49-1)</f>
        <v>0.1911344137273594</v>
      </c>
      <c r="H54" s="626" t="str">
        <f>IF(OR(G54&gt;=0.2,G54&lt;=-0.2),"超过20%","")</f>
        <v/>
      </c>
      <c r="I54" s="625">
        <f>IF(I49&lt;E49,E49/I49-1,I49/E49-1)</f>
        <v>0.16297117516629722</v>
      </c>
      <c r="J54" s="626"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0.5369718309859155</v>
      </c>
      <c r="F55" s="626" t="str">
        <f>IF(OR(E55&gt;=0.3,E55&lt;=-0.3),"超过30%","")</f>
        <v>超过30%</v>
      </c>
      <c r="G55" s="625">
        <f>IF(G48&lt;I48,I48/G48-1,G48/I48-1)</f>
        <v>0.34307692307692306</v>
      </c>
      <c r="H55" s="626" t="str">
        <f>IF(OR(G55&gt;=0.3,G55&lt;=-0.3),"超过30%","")</f>
        <v>超过30%</v>
      </c>
      <c r="I55" s="625">
        <f>IF(I48&lt;E48,E48/I48-1,I48/E48-1)</f>
        <v>0.14436619718309851</v>
      </c>
      <c r="J55" s="626"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1723</v>
      </c>
      <c r="D57" s="2209" t="s">
        <v>2292</v>
      </c>
      <c r="E57" s="630" t="s">
        <v>562</v>
      </c>
      <c r="F57" s="631" t="s">
        <v>563</v>
      </c>
      <c r="G57" s="3439" t="s">
        <v>2280</v>
      </c>
      <c r="H57" s="3440"/>
      <c r="I57" s="1540" t="s">
        <v>1721</v>
      </c>
      <c r="J57" s="1540" t="str">
        <f>项目基本情况!F41</f>
        <v>安徽省马鞍山市</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2" t="s">
        <v>564</v>
      </c>
      <c r="B58" s="633">
        <f>C50</f>
        <v>2134</v>
      </c>
      <c r="C58" s="634">
        <v>1</v>
      </c>
      <c r="D58" s="2210">
        <v>1</v>
      </c>
      <c r="E58" s="634">
        <f>'数据-汇总表'!E8+'数据-汇总表'!E9</f>
        <v>67528.97</v>
      </c>
      <c r="F58" s="635">
        <f t="shared" ref="F58:F67" si="15">ROUND(B58*E58/10000,0)</f>
        <v>14411</v>
      </c>
      <c r="G58" s="3441"/>
      <c r="H58" s="3442"/>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565</v>
      </c>
      <c r="B59" s="637">
        <f>ROUND($C$50*C59*D59,0)</f>
        <v>0</v>
      </c>
      <c r="C59" s="377">
        <f t="shared" ref="C59:C67" si="16">IF($C$57="北京市系数",I59,J59)</f>
        <v>0</v>
      </c>
      <c r="D59" s="2211">
        <v>0.25</v>
      </c>
      <c r="E59" s="638">
        <v>0</v>
      </c>
      <c r="F59" s="635">
        <f t="shared" si="15"/>
        <v>0</v>
      </c>
      <c r="G59" s="3443"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566</v>
      </c>
      <c r="B60" s="637">
        <f t="shared" ref="B60:B67" si="17">ROUND($C$50*C60*D60,0)</f>
        <v>0</v>
      </c>
      <c r="C60" s="377">
        <f t="shared" si="16"/>
        <v>0</v>
      </c>
      <c r="D60" s="2211">
        <v>0.25</v>
      </c>
      <c r="E60" s="638">
        <v>0</v>
      </c>
      <c r="F60" s="635">
        <f t="shared" si="15"/>
        <v>0</v>
      </c>
      <c r="G60" s="3443"/>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567</v>
      </c>
      <c r="B61" s="637">
        <f t="shared" si="17"/>
        <v>0</v>
      </c>
      <c r="C61" s="377">
        <f t="shared" si="16"/>
        <v>0</v>
      </c>
      <c r="D61" s="2211">
        <v>0.25</v>
      </c>
      <c r="E61" s="638">
        <v>0</v>
      </c>
      <c r="F61" s="635">
        <f t="shared" si="15"/>
        <v>0</v>
      </c>
      <c r="G61" s="3443"/>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6" t="s">
        <v>568</v>
      </c>
      <c r="B62" s="637">
        <f t="shared" si="17"/>
        <v>0</v>
      </c>
      <c r="C62" s="377">
        <f t="shared" si="16"/>
        <v>0</v>
      </c>
      <c r="D62" s="2211">
        <v>0.25</v>
      </c>
      <c r="E62" s="638">
        <v>0</v>
      </c>
      <c r="F62" s="635">
        <f t="shared" si="15"/>
        <v>0</v>
      </c>
      <c r="G62" s="3443"/>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2327</v>
      </c>
      <c r="B63" s="637">
        <f t="shared" si="17"/>
        <v>0</v>
      </c>
      <c r="C63" s="377">
        <f t="shared" si="16"/>
        <v>0</v>
      </c>
      <c r="D63" s="2211">
        <v>0.25</v>
      </c>
      <c r="E63" s="640">
        <f>'数据-汇总表'!E11</f>
        <v>0</v>
      </c>
      <c r="F63" s="635">
        <f t="shared" si="15"/>
        <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6" t="s">
        <v>569</v>
      </c>
      <c r="B64" s="637">
        <f t="shared" si="17"/>
        <v>0</v>
      </c>
      <c r="C64" s="377">
        <f t="shared" si="16"/>
        <v>0</v>
      </c>
      <c r="D64" s="2211">
        <v>0.25</v>
      </c>
      <c r="E64" s="640">
        <f>'数据-汇总表'!E12</f>
        <v>0</v>
      </c>
      <c r="F64" s="635">
        <f t="shared" si="15"/>
        <v>0</v>
      </c>
      <c r="G64" s="1928" t="s">
        <v>1676</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6" t="s">
        <v>570</v>
      </c>
      <c r="B65" s="637">
        <f t="shared" si="17"/>
        <v>0</v>
      </c>
      <c r="C65" s="377">
        <f t="shared" si="16"/>
        <v>0</v>
      </c>
      <c r="D65" s="2211">
        <v>0.25</v>
      </c>
      <c r="E65" s="640">
        <f>'数据-汇总表'!E13</f>
        <v>0</v>
      </c>
      <c r="F65" s="635">
        <f t="shared" si="15"/>
        <v>0</v>
      </c>
      <c r="G65" s="1928" t="s">
        <v>922</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6" t="s">
        <v>571</v>
      </c>
      <c r="B66" s="637">
        <f t="shared" si="17"/>
        <v>0</v>
      </c>
      <c r="C66" s="377">
        <f t="shared" si="16"/>
        <v>0</v>
      </c>
      <c r="D66" s="2211">
        <v>0.25</v>
      </c>
      <c r="E66" s="640">
        <f>'数据-汇总表'!E14</f>
        <v>0</v>
      </c>
      <c r="F66" s="635">
        <f t="shared" si="15"/>
        <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6" t="s">
        <v>572</v>
      </c>
      <c r="B67" s="637">
        <f t="shared" si="17"/>
        <v>0</v>
      </c>
      <c r="C67" s="377">
        <f t="shared" si="16"/>
        <v>0</v>
      </c>
      <c r="D67" s="2211">
        <v>0.25</v>
      </c>
      <c r="E67" s="640">
        <f>'数据-汇总表'!E15</f>
        <v>0</v>
      </c>
      <c r="F67" s="635">
        <f t="shared" si="15"/>
        <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1" t="s">
        <v>573</v>
      </c>
      <c r="B68" s="642" t="s">
        <v>17</v>
      </c>
      <c r="C68" s="642" t="s">
        <v>18</v>
      </c>
      <c r="D68" s="642" t="s">
        <v>2293</v>
      </c>
      <c r="E68" s="642">
        <f>IF(B48="楼面地价",SUM(E58:E67),'数据-汇总表'!D3)</f>
        <v>67528.97</v>
      </c>
      <c r="F68" s="643">
        <f>IF(B48="楼面地价",SUM(F58:F67),ROUND(C50*E68/10000,0))</f>
        <v>14411</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2019-7-1</v>
      </c>
      <c r="D70" s="2751">
        <f>EDATE(C70,-3)</f>
        <v>43556</v>
      </c>
      <c r="E70" s="2751">
        <f t="shared" ref="E70:N70" si="18">EDATE(D70,-3)</f>
        <v>43466</v>
      </c>
      <c r="F70" s="2751">
        <f t="shared" si="18"/>
        <v>43374</v>
      </c>
      <c r="G70" s="2751">
        <f t="shared" si="18"/>
        <v>43282</v>
      </c>
      <c r="H70" s="2751">
        <f t="shared" si="18"/>
        <v>43191</v>
      </c>
      <c r="I70" s="2751">
        <f t="shared" si="18"/>
        <v>43101</v>
      </c>
      <c r="J70" s="2751">
        <f t="shared" si="18"/>
        <v>43009</v>
      </c>
      <c r="K70" s="2751">
        <f t="shared" si="18"/>
        <v>42917</v>
      </c>
      <c r="L70" s="2751">
        <f t="shared" si="18"/>
        <v>42826</v>
      </c>
      <c r="M70" s="2751">
        <f t="shared" si="18"/>
        <v>42736</v>
      </c>
      <c r="N70" s="2751">
        <f t="shared" si="18"/>
        <v>42644</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1" customFormat="1" ht="15">
      <c r="A72" s="2529" t="s">
        <v>2531</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4" customFormat="1" ht="27" customHeight="1">
      <c r="A73" s="2758" t="s">
        <v>922</v>
      </c>
      <c r="B73" s="478" t="str">
        <f>"北京市平均增长率"&amp;TEXT(SUMIF(基准地价!N21:N25,A73,基准地价!P21:P25),"0.00%")</f>
        <v>北京市平均增长率2.23%</v>
      </c>
      <c r="C73" s="892">
        <v>100</v>
      </c>
      <c r="D73" s="3205">
        <f>C73-$C$74</f>
        <v>99</v>
      </c>
      <c r="E73" s="3205">
        <f t="shared" ref="E73:N73" si="20">D73-$C$74</f>
        <v>98</v>
      </c>
      <c r="F73" s="3205">
        <f t="shared" si="20"/>
        <v>97</v>
      </c>
      <c r="G73" s="3205">
        <f t="shared" si="20"/>
        <v>96</v>
      </c>
      <c r="H73" s="3205">
        <f t="shared" si="20"/>
        <v>95</v>
      </c>
      <c r="I73" s="3205">
        <f t="shared" si="20"/>
        <v>94</v>
      </c>
      <c r="J73" s="3205">
        <f t="shared" si="20"/>
        <v>93</v>
      </c>
      <c r="K73" s="3205">
        <f t="shared" si="20"/>
        <v>92</v>
      </c>
      <c r="L73" s="3205">
        <f t="shared" si="20"/>
        <v>91</v>
      </c>
      <c r="M73" s="3205">
        <f t="shared" si="20"/>
        <v>90</v>
      </c>
      <c r="N73" s="3205">
        <f t="shared" si="20"/>
        <v>89</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2645</v>
      </c>
      <c r="B74" s="2757"/>
      <c r="C74" s="3204">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206" t="s">
        <v>3205</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0（含）-2.5</v>
      </c>
      <c r="D81" s="681" t="str">
        <f t="shared" ref="D81:L81" si="21">D82&amp;"（含）"&amp;"-"&amp;E82</f>
        <v>2.5（含）-3</v>
      </c>
      <c r="E81" s="681" t="str">
        <f t="shared" si="21"/>
        <v>3（含）-3.5</v>
      </c>
      <c r="F81" s="681" t="str">
        <f t="shared" si="21"/>
        <v>3.5（含）-4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v>2.5</v>
      </c>
      <c r="E82" s="540">
        <v>3</v>
      </c>
      <c r="F82" s="540">
        <v>3.5</v>
      </c>
      <c r="G82" s="540">
        <v>4</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8"/>
      <c r="O83" s="2148"/>
      <c r="P83" s="2147"/>
      <c r="Q83" s="2140"/>
      <c r="R83" s="2127"/>
      <c r="S83" s="2127"/>
      <c r="T83" s="2127"/>
      <c r="U83" s="2127"/>
      <c r="V83" s="2127"/>
      <c r="W83" s="2127"/>
      <c r="X83" s="2127"/>
      <c r="Y83" s="2127"/>
      <c r="Z83" s="2127"/>
      <c r="AA83" s="2127"/>
      <c r="AB83" s="2127"/>
      <c r="AC83" s="2127"/>
    </row>
    <row r="84" spans="1:29" s="1333" customFormat="1" ht="15.75" hidden="1" thickTop="1">
      <c r="A84" s="686"/>
      <c r="B84" s="672" t="str">
        <f>B14</f>
        <v>配建</v>
      </c>
      <c r="C84" s="687"/>
      <c r="D84" s="1370"/>
      <c r="E84" s="1371"/>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5.75" hidden="1"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5.75" hidden="1"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5.75" hidden="1"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5.75" hidden="1"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5.75" hidden="1"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98</v>
      </c>
      <c r="E91" s="678">
        <f>D91-$K17</f>
        <v>96</v>
      </c>
      <c r="F91" s="678">
        <f>E91-$K17</f>
        <v>94</v>
      </c>
      <c r="G91" s="678">
        <f>F91-$K17</f>
        <v>92</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98</v>
      </c>
      <c r="E93" s="678">
        <f>D93-$K19</f>
        <v>96</v>
      </c>
      <c r="F93" s="678">
        <f>E93-$K19</f>
        <v>94</v>
      </c>
      <c r="G93" s="678">
        <f>F93-$K19</f>
        <v>92</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97</v>
      </c>
      <c r="E97" s="678">
        <f>D97-$K23</f>
        <v>94</v>
      </c>
      <c r="F97" s="678">
        <f>E97-$K23</f>
        <v>91</v>
      </c>
      <c r="G97" s="678">
        <f>F97-$K23</f>
        <v>88</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8"/>
      <c r="B99" s="677"/>
      <c r="C99" s="711">
        <v>100</v>
      </c>
      <c r="D99" s="678">
        <f>C99-$K25</f>
        <v>97</v>
      </c>
      <c r="E99" s="678">
        <f>D99-$K25</f>
        <v>94</v>
      </c>
      <c r="F99" s="678">
        <f>E99-$K25</f>
        <v>91</v>
      </c>
      <c r="G99" s="678">
        <f>F99-$K25</f>
        <v>88</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6"/>
      <c r="B102" s="1878" t="s">
        <v>2547</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6"/>
      <c r="B104" s="2558" t="s">
        <v>2549</v>
      </c>
      <c r="C104" s="2559" t="s">
        <v>2550</v>
      </c>
      <c r="D104" s="2559" t="s">
        <v>2551</v>
      </c>
      <c r="E104" s="2559" t="s">
        <v>2552</v>
      </c>
      <c r="F104" s="2559" t="s">
        <v>2553</v>
      </c>
      <c r="G104" s="2559" t="s">
        <v>2554</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hidden="1"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hidden="1"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hidden="1"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hidden="1"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hidden="1"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hidden="1"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hidden="1"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5" hidden="1"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5.75" hidden="1"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9.25" thickTop="1">
      <c r="A118" s="663" t="s">
        <v>551</v>
      </c>
      <c r="B118" s="664" t="s">
        <v>593</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039" t="str">
        <f t="shared" si="26"/>
        <v>(含)-</v>
      </c>
      <c r="K118" s="3039" t="str">
        <f t="shared" si="26"/>
        <v>(含)-</v>
      </c>
      <c r="L118" s="3040" t="str">
        <f t="shared" si="26"/>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20000</v>
      </c>
      <c r="E119" s="729">
        <v>40000</v>
      </c>
      <c r="F119" s="729">
        <v>60000</v>
      </c>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100</v>
      </c>
      <c r="E120" s="725">
        <v>100.5</v>
      </c>
      <c r="F120" s="725">
        <v>101</v>
      </c>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207" t="s">
        <v>3206</v>
      </c>
      <c r="D121" s="3207" t="s">
        <v>3207</v>
      </c>
      <c r="E121" s="3207" t="s">
        <v>3208</v>
      </c>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3208" t="s">
        <v>3216</v>
      </c>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2424</v>
      </c>
      <c r="C125" s="1370" t="s">
        <v>3209</v>
      </c>
      <c r="D125" s="1370" t="s">
        <v>3210</v>
      </c>
      <c r="E125" s="1370" t="s">
        <v>3211</v>
      </c>
      <c r="F125" s="1370" t="s">
        <v>3212</v>
      </c>
      <c r="G125" s="1370" t="s">
        <v>3213</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208" t="s">
        <v>3215</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419" t="s">
        <v>522</v>
      </c>
      <c r="D6" s="3420"/>
      <c r="E6" s="3453" t="s">
        <v>523</v>
      </c>
      <c r="F6" s="3454"/>
      <c r="G6" s="3419" t="s">
        <v>524</v>
      </c>
      <c r="H6" s="3420"/>
      <c r="I6" s="3419" t="s">
        <v>525</v>
      </c>
      <c r="J6" s="3420"/>
      <c r="K6" s="513" t="s">
        <v>526</v>
      </c>
      <c r="L6" s="2115"/>
      <c r="M6" s="2116"/>
      <c r="N6" s="2116"/>
      <c r="O6" s="2116"/>
      <c r="P6" s="3421" t="s">
        <v>527</v>
      </c>
      <c r="Q6" s="3422"/>
      <c r="R6" s="3427" t="s">
        <v>523</v>
      </c>
      <c r="S6" s="3428"/>
      <c r="T6" s="3427" t="s">
        <v>524</v>
      </c>
      <c r="U6" s="3428"/>
      <c r="V6" s="3414" t="s">
        <v>525</v>
      </c>
      <c r="W6" s="3414"/>
      <c r="X6" s="1552"/>
      <c r="Y6" s="3427" t="s">
        <v>527</v>
      </c>
      <c r="Z6" s="3428"/>
      <c r="AA6" s="3416" t="s">
        <v>523</v>
      </c>
      <c r="AB6" s="3417" t="s">
        <v>524</v>
      </c>
      <c r="AC6" s="3416" t="s">
        <v>525</v>
      </c>
    </row>
    <row r="7" spans="1:29" ht="15">
      <c r="A7" s="514"/>
      <c r="B7" s="515"/>
      <c r="C7" s="3435" t="s">
        <v>2924</v>
      </c>
      <c r="D7" s="3436"/>
      <c r="E7" s="3455" t="s">
        <v>2925</v>
      </c>
      <c r="F7" s="3456"/>
      <c r="G7" s="3435" t="s">
        <v>2926</v>
      </c>
      <c r="H7" s="3436"/>
      <c r="I7" s="3435" t="s">
        <v>2927</v>
      </c>
      <c r="J7" s="3436"/>
      <c r="K7" s="513"/>
      <c r="L7" s="2115"/>
      <c r="M7" s="2116"/>
      <c r="N7" s="2116"/>
      <c r="O7" s="2116"/>
      <c r="P7" s="3423"/>
      <c r="Q7" s="3424"/>
      <c r="R7" s="3429"/>
      <c r="S7" s="3430"/>
      <c r="T7" s="3429"/>
      <c r="U7" s="3430"/>
      <c r="V7" s="3414"/>
      <c r="W7" s="3414"/>
      <c r="X7" s="1552"/>
      <c r="Y7" s="3429"/>
      <c r="Z7" s="3430"/>
      <c r="AA7" s="3417"/>
      <c r="AB7" s="3417"/>
      <c r="AC7" s="3417"/>
    </row>
    <row r="8" spans="1:29" ht="15.75" thickBot="1">
      <c r="A8" s="516"/>
      <c r="B8" s="517"/>
      <c r="C8" s="3433" t="s">
        <v>2928</v>
      </c>
      <c r="D8" s="3434"/>
      <c r="E8" s="3451" t="s">
        <v>2928</v>
      </c>
      <c r="F8" s="3452"/>
      <c r="G8" s="3433" t="s">
        <v>2928</v>
      </c>
      <c r="H8" s="3434"/>
      <c r="I8" s="3433" t="s">
        <v>2928</v>
      </c>
      <c r="J8" s="3434"/>
      <c r="K8" s="513" t="s">
        <v>528</v>
      </c>
      <c r="L8" s="2115"/>
      <c r="M8" s="2116"/>
      <c r="N8" s="2116"/>
      <c r="O8" s="2116"/>
      <c r="P8" s="3425"/>
      <c r="Q8" s="3426"/>
      <c r="R8" s="3429"/>
      <c r="S8" s="3430"/>
      <c r="T8" s="3431"/>
      <c r="U8" s="3432"/>
      <c r="V8" s="3414"/>
      <c r="W8" s="3414"/>
      <c r="X8" s="1552"/>
      <c r="Y8" s="3431"/>
      <c r="Z8" s="3432"/>
      <c r="AA8" s="3418"/>
      <c r="AB8" s="3418"/>
      <c r="AC8" s="3418"/>
    </row>
    <row r="9" spans="1:29" s="1214" customFormat="1" ht="15.75" thickBot="1">
      <c r="A9" s="2863"/>
      <c r="B9" s="2870" t="s">
        <v>529</v>
      </c>
      <c r="C9" s="518">
        <f>'数据-取费表'!B2</f>
        <v>43656</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44" t="s">
        <v>530</v>
      </c>
      <c r="Q9" s="3446"/>
      <c r="R9" s="1553" t="s">
        <v>8</v>
      </c>
      <c r="S9" s="1554">
        <f t="shared" ref="S9:S17" si="0">F9</f>
        <v>0</v>
      </c>
      <c r="T9" s="1553" t="s">
        <v>8</v>
      </c>
      <c r="U9" s="1554">
        <f t="shared" ref="U9:U17" si="1">H9</f>
        <v>0</v>
      </c>
      <c r="V9" s="1553" t="s">
        <v>8</v>
      </c>
      <c r="W9" s="1554">
        <f t="shared" ref="W9:W17" si="2">J9</f>
        <v>0</v>
      </c>
      <c r="X9" s="1555"/>
      <c r="Y9" s="3444" t="s">
        <v>530</v>
      </c>
      <c r="Z9" s="3445"/>
      <c r="AA9" s="1556" t="e">
        <f>D9/F9</f>
        <v>#DIV/0!</v>
      </c>
      <c r="AB9" s="1556" t="e">
        <f>D9/H9</f>
        <v>#DIV/0!</v>
      </c>
      <c r="AC9" s="1556" t="e">
        <f>D9/J9</f>
        <v>#DIV/0!</v>
      </c>
    </row>
    <row r="10" spans="1:29" s="1214" customFormat="1" ht="15.7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44" t="s">
        <v>533</v>
      </c>
      <c r="Q10" s="3445"/>
      <c r="R10" s="1553" t="s">
        <v>8</v>
      </c>
      <c r="S10" s="1554">
        <f t="shared" si="0"/>
        <v>0</v>
      </c>
      <c r="T10" s="1553" t="s">
        <v>8</v>
      </c>
      <c r="U10" s="1554">
        <f t="shared" si="1"/>
        <v>0</v>
      </c>
      <c r="V10" s="1553" t="s">
        <v>8</v>
      </c>
      <c r="W10" s="1554">
        <f t="shared" si="2"/>
        <v>0</v>
      </c>
      <c r="X10" s="1555"/>
      <c r="Y10" s="3444" t="s">
        <v>533</v>
      </c>
      <c r="Z10" s="3445"/>
      <c r="AA10" s="1556" t="e">
        <f t="shared" ref="AA10:AA42" si="3">D10/F10</f>
        <v>#DIV/0!</v>
      </c>
      <c r="AB10" s="1556" t="e">
        <f t="shared" ref="AB10:AB42" si="4">D10/H10</f>
        <v>#DIV/0!</v>
      </c>
      <c r="AC10" s="1556" t="e">
        <f t="shared" ref="AC10:AC42" si="5">D10/J10</f>
        <v>#DIV/0!</v>
      </c>
    </row>
    <row r="11" spans="1:29" s="1214" customFormat="1" ht="15">
      <c r="A11" s="2865"/>
      <c r="B11" s="2872" t="s">
        <v>2754</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13" t="s">
        <v>535</v>
      </c>
      <c r="Q11" s="1145" t="str">
        <f t="shared" ref="Q11:Q17" si="6">B11</f>
        <v>用途</v>
      </c>
      <c r="R11" s="1553" t="s">
        <v>8</v>
      </c>
      <c r="S11" s="1554">
        <f t="shared" si="0"/>
        <v>100</v>
      </c>
      <c r="T11" s="1553" t="s">
        <v>8</v>
      </c>
      <c r="U11" s="1554">
        <f t="shared" si="1"/>
        <v>100</v>
      </c>
      <c r="V11" s="1553" t="s">
        <v>8</v>
      </c>
      <c r="W11" s="1554">
        <f t="shared" si="2"/>
        <v>100</v>
      </c>
      <c r="X11" s="1555"/>
      <c r="Y11" s="3359" t="s">
        <v>536</v>
      </c>
      <c r="Z11" s="1144" t="str">
        <f t="shared" ref="Z11:Z17" si="7">Q11</f>
        <v>用途</v>
      </c>
      <c r="AA11" s="1556">
        <f t="shared" si="3"/>
        <v>1</v>
      </c>
      <c r="AB11" s="1556">
        <f t="shared" si="4"/>
        <v>1</v>
      </c>
      <c r="AC11" s="1556">
        <f t="shared" si="5"/>
        <v>1</v>
      </c>
    </row>
    <row r="12" spans="1:29" s="1332" customFormat="1" ht="27">
      <c r="A12" s="2866"/>
      <c r="B12" s="2871" t="s">
        <v>2755</v>
      </c>
      <c r="C12" s="527"/>
      <c r="D12" s="254">
        <v>100</v>
      </c>
      <c r="E12" s="527"/>
      <c r="F12" s="254">
        <f>ROUND(100/'数据-取费表'!G16,0)</f>
        <v>101</v>
      </c>
      <c r="G12" s="527"/>
      <c r="H12" s="254">
        <f>ROUND(100/'数据-取费表'!G16,0)</f>
        <v>101</v>
      </c>
      <c r="I12" s="527"/>
      <c r="J12" s="254">
        <f>ROUND(100/'数据-取费表'!G16,0)</f>
        <v>101</v>
      </c>
      <c r="K12" s="530"/>
      <c r="L12" s="2120"/>
      <c r="M12" s="2160"/>
      <c r="N12" s="2160"/>
      <c r="O12" s="2121"/>
      <c r="P12" s="3413"/>
      <c r="Q12" s="1145" t="str">
        <f t="shared" si="6"/>
        <v>土地使用年限（年）</v>
      </c>
      <c r="R12" s="1553" t="s">
        <v>8</v>
      </c>
      <c r="S12" s="1554">
        <f t="shared" si="0"/>
        <v>101</v>
      </c>
      <c r="T12" s="1553" t="s">
        <v>8</v>
      </c>
      <c r="U12" s="1554">
        <f t="shared" si="1"/>
        <v>101</v>
      </c>
      <c r="V12" s="1553" t="s">
        <v>8</v>
      </c>
      <c r="W12" s="1554">
        <f t="shared" si="2"/>
        <v>101</v>
      </c>
      <c r="X12" s="1555"/>
      <c r="Y12" s="3359"/>
      <c r="Z12" s="1144" t="str">
        <f t="shared" si="7"/>
        <v>土地使用年限（年）</v>
      </c>
      <c r="AA12" s="1556">
        <f t="shared" si="3"/>
        <v>0.99009900990099009</v>
      </c>
      <c r="AB12" s="1556">
        <f t="shared" si="4"/>
        <v>0.99009900990099009</v>
      </c>
      <c r="AC12" s="1556">
        <f t="shared" si="5"/>
        <v>0.99009900990099009</v>
      </c>
    </row>
    <row r="13" spans="1:29" ht="15">
      <c r="A13" s="2867"/>
      <c r="B13" s="2871"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13"/>
      <c r="Q13" s="1145" t="str">
        <f t="shared" si="6"/>
        <v>容积率</v>
      </c>
      <c r="R13" s="1553" t="s">
        <v>8</v>
      </c>
      <c r="S13" s="1554" t="e">
        <f t="shared" si="0"/>
        <v>#N/A</v>
      </c>
      <c r="T13" s="1553" t="s">
        <v>8</v>
      </c>
      <c r="U13" s="1554" t="e">
        <f t="shared" si="1"/>
        <v>#N/A</v>
      </c>
      <c r="V13" s="1553" t="s">
        <v>8</v>
      </c>
      <c r="W13" s="1554" t="e">
        <f t="shared" si="2"/>
        <v>#N/A</v>
      </c>
      <c r="X13" s="1555"/>
      <c r="Y13" s="3359"/>
      <c r="Z13" s="1144" t="str">
        <f t="shared" si="7"/>
        <v>容积率</v>
      </c>
      <c r="AA13" s="1556" t="e">
        <f t="shared" si="3"/>
        <v>#N/A</v>
      </c>
      <c r="AB13" s="1556" t="e">
        <f t="shared" si="4"/>
        <v>#N/A</v>
      </c>
      <c r="AC13" s="1556" t="e">
        <f t="shared" si="5"/>
        <v>#N/A</v>
      </c>
    </row>
    <row r="14" spans="1:29" s="1214"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13"/>
      <c r="Q14" s="1145">
        <f t="shared" si="6"/>
        <v>111</v>
      </c>
      <c r="R14" s="1553" t="s">
        <v>8</v>
      </c>
      <c r="S14" s="1554">
        <f t="shared" si="0"/>
        <v>100</v>
      </c>
      <c r="T14" s="1553" t="s">
        <v>8</v>
      </c>
      <c r="U14" s="1554">
        <f t="shared" si="1"/>
        <v>100</v>
      </c>
      <c r="V14" s="1553" t="s">
        <v>8</v>
      </c>
      <c r="W14" s="1554">
        <f t="shared" si="2"/>
        <v>100</v>
      </c>
      <c r="X14" s="1555"/>
      <c r="Y14" s="3359"/>
      <c r="Z14" s="1144">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13"/>
      <c r="Q15" s="1145">
        <f t="shared" si="6"/>
        <v>111</v>
      </c>
      <c r="R15" s="1553" t="s">
        <v>8</v>
      </c>
      <c r="S15" s="1554">
        <f t="shared" si="0"/>
        <v>100</v>
      </c>
      <c r="T15" s="1553" t="s">
        <v>8</v>
      </c>
      <c r="U15" s="1554">
        <f t="shared" si="1"/>
        <v>100</v>
      </c>
      <c r="V15" s="1553" t="s">
        <v>8</v>
      </c>
      <c r="W15" s="1554">
        <f t="shared" si="2"/>
        <v>100</v>
      </c>
      <c r="X15" s="1555"/>
      <c r="Y15" s="3359"/>
      <c r="Z15" s="1144">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13"/>
      <c r="Q16" s="1145">
        <f t="shared" si="6"/>
        <v>111</v>
      </c>
      <c r="R16" s="1553" t="s">
        <v>8</v>
      </c>
      <c r="S16" s="1554">
        <f t="shared" si="0"/>
        <v>100</v>
      </c>
      <c r="T16" s="1553" t="s">
        <v>8</v>
      </c>
      <c r="U16" s="1554">
        <f t="shared" si="1"/>
        <v>100</v>
      </c>
      <c r="V16" s="1553" t="s">
        <v>8</v>
      </c>
      <c r="W16" s="1554">
        <f t="shared" si="2"/>
        <v>100</v>
      </c>
      <c r="X16" s="1555"/>
      <c r="Y16" s="3359"/>
      <c r="Z16" s="1144">
        <f t="shared" si="7"/>
        <v>111</v>
      </c>
      <c r="AA16" s="1556">
        <f t="shared" si="3"/>
        <v>1</v>
      </c>
      <c r="AB16" s="1556">
        <f t="shared" si="4"/>
        <v>1</v>
      </c>
      <c r="AC16" s="1556">
        <f t="shared" si="5"/>
        <v>1</v>
      </c>
    </row>
    <row r="17" spans="1:29" ht="57">
      <c r="A17" s="2861"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47" t="s">
        <v>540</v>
      </c>
      <c r="Q17" s="1557" t="str">
        <f t="shared" si="6"/>
        <v>产业集聚程度</v>
      </c>
      <c r="R17" s="1558" t="s">
        <v>8</v>
      </c>
      <c r="S17" s="1559">
        <f t="shared" si="0"/>
        <v>100</v>
      </c>
      <c r="T17" s="1558" t="s">
        <v>8</v>
      </c>
      <c r="U17" s="1559">
        <f t="shared" si="1"/>
        <v>100</v>
      </c>
      <c r="V17" s="1558" t="s">
        <v>8</v>
      </c>
      <c r="W17" s="1559">
        <f t="shared" si="2"/>
        <v>100</v>
      </c>
      <c r="X17" s="1552"/>
      <c r="Y17" s="3447"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4"/>
      <c r="M18" s="2116"/>
      <c r="N18" s="2116"/>
      <c r="O18" s="2123"/>
      <c r="P18" s="3448"/>
      <c r="Q18" s="1557"/>
      <c r="R18" s="1558"/>
      <c r="S18" s="1559"/>
      <c r="T18" s="1558"/>
      <c r="U18" s="1559"/>
      <c r="V18" s="1558"/>
      <c r="W18" s="1559"/>
      <c r="X18" s="1552"/>
      <c r="Y18" s="3448"/>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48"/>
      <c r="Q19" s="1557" t="str">
        <f>B19</f>
        <v>交通便捷度</v>
      </c>
      <c r="R19" s="1558" t="s">
        <v>8</v>
      </c>
      <c r="S19" s="1559">
        <f>F19</f>
        <v>100</v>
      </c>
      <c r="T19" s="1558" t="s">
        <v>8</v>
      </c>
      <c r="U19" s="1559">
        <f>H19</f>
        <v>100</v>
      </c>
      <c r="V19" s="1558" t="s">
        <v>8</v>
      </c>
      <c r="W19" s="1559">
        <f>J19</f>
        <v>100</v>
      </c>
      <c r="X19" s="1552"/>
      <c r="Y19" s="3448"/>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4"/>
      <c r="M20" s="2116"/>
      <c r="N20" s="2116"/>
      <c r="O20" s="2123"/>
      <c r="P20" s="3448"/>
      <c r="Q20" s="1557"/>
      <c r="R20" s="1558"/>
      <c r="S20" s="1559"/>
      <c r="T20" s="1558"/>
      <c r="U20" s="1559"/>
      <c r="V20" s="1558"/>
      <c r="W20" s="1559"/>
      <c r="X20" s="1552"/>
      <c r="Y20" s="3448"/>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48"/>
      <c r="Q21" s="1557" t="str">
        <f t="shared" ref="Q21:Q35" si="8">B21</f>
        <v>区域土地利用方向</v>
      </c>
      <c r="R21" s="1558" t="s">
        <v>8</v>
      </c>
      <c r="S21" s="1559">
        <f>F21</f>
        <v>100</v>
      </c>
      <c r="T21" s="1558" t="s">
        <v>8</v>
      </c>
      <c r="U21" s="1559">
        <f>H21</f>
        <v>100</v>
      </c>
      <c r="V21" s="1558" t="s">
        <v>8</v>
      </c>
      <c r="W21" s="1559">
        <f>J21</f>
        <v>100</v>
      </c>
      <c r="X21" s="1552"/>
      <c r="Y21" s="3448"/>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4"/>
      <c r="M22" s="2116"/>
      <c r="N22" s="2116"/>
      <c r="O22" s="2123"/>
      <c r="P22" s="3448"/>
      <c r="Q22" s="1557"/>
      <c r="R22" s="1558"/>
      <c r="S22" s="1559"/>
      <c r="T22" s="1558"/>
      <c r="U22" s="1559"/>
      <c r="V22" s="1558"/>
      <c r="W22" s="1559"/>
      <c r="X22" s="1552"/>
      <c r="Y22" s="3448"/>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48"/>
      <c r="Q23" s="1557" t="str">
        <f t="shared" si="8"/>
        <v>环境状况</v>
      </c>
      <c r="R23" s="1558" t="s">
        <v>8</v>
      </c>
      <c r="S23" s="1559">
        <f>F23</f>
        <v>100</v>
      </c>
      <c r="T23" s="1558" t="s">
        <v>8</v>
      </c>
      <c r="U23" s="1559">
        <f>H23</f>
        <v>100</v>
      </c>
      <c r="V23" s="1558" t="s">
        <v>8</v>
      </c>
      <c r="W23" s="1559">
        <f>J23</f>
        <v>100</v>
      </c>
      <c r="X23" s="1552"/>
      <c r="Y23" s="3448"/>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4"/>
      <c r="M24" s="2116"/>
      <c r="N24" s="2116"/>
      <c r="O24" s="2123"/>
      <c r="P24" s="3448"/>
      <c r="Q24" s="1557"/>
      <c r="R24" s="1558"/>
      <c r="S24" s="1559"/>
      <c r="T24" s="1558"/>
      <c r="U24" s="1559"/>
      <c r="V24" s="1558"/>
      <c r="W24" s="1559"/>
      <c r="X24" s="1552"/>
      <c r="Y24" s="3448"/>
      <c r="Z24" s="1560"/>
      <c r="AA24" s="1561">
        <v>1</v>
      </c>
      <c r="AB24" s="1561">
        <v>1</v>
      </c>
      <c r="AC24" s="1561">
        <v>1</v>
      </c>
    </row>
    <row r="25" spans="1:29" s="1214" customFormat="1" ht="42.75">
      <c r="A25" s="576"/>
      <c r="B25" s="255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48"/>
      <c r="Q25" s="1145" t="str">
        <f t="shared" si="8"/>
        <v>公共配套设施</v>
      </c>
      <c r="R25" s="1553" t="s">
        <v>8</v>
      </c>
      <c r="S25" s="1554">
        <f>F25</f>
        <v>100</v>
      </c>
      <c r="T25" s="1553" t="s">
        <v>8</v>
      </c>
      <c r="U25" s="1554">
        <f>H25</f>
        <v>100</v>
      </c>
      <c r="V25" s="1553" t="s">
        <v>8</v>
      </c>
      <c r="W25" s="1554">
        <f>J25</f>
        <v>100</v>
      </c>
      <c r="X25" s="1555"/>
      <c r="Y25" s="3448"/>
      <c r="Z25" s="1144" t="str">
        <f>Q25</f>
        <v>公共配套设施</v>
      </c>
      <c r="AA25" s="1561">
        <f>D25/F25</f>
        <v>1</v>
      </c>
      <c r="AB25" s="1561">
        <f>D25/H25</f>
        <v>1</v>
      </c>
      <c r="AC25" s="1561">
        <f>D25/J25</f>
        <v>1</v>
      </c>
    </row>
    <row r="26" spans="1:29" s="1214" customFormat="1" ht="15">
      <c r="A26" s="576"/>
      <c r="B26" s="594"/>
      <c r="C26" s="2553"/>
      <c r="D26" s="554"/>
      <c r="E26" s="553"/>
      <c r="F26" s="554"/>
      <c r="G26" s="553"/>
      <c r="H26" s="554"/>
      <c r="I26" s="575"/>
      <c r="J26" s="554"/>
      <c r="K26" s="530"/>
      <c r="L26" s="2117"/>
      <c r="M26" s="2118"/>
      <c r="N26" s="2118"/>
      <c r="O26" s="2119"/>
      <c r="P26" s="3448"/>
      <c r="Q26" s="1145"/>
      <c r="R26" s="1553"/>
      <c r="S26" s="1554"/>
      <c r="T26" s="1553"/>
      <c r="U26" s="1554"/>
      <c r="V26" s="1553"/>
      <c r="W26" s="1554"/>
      <c r="X26" s="1555"/>
      <c r="Y26" s="3448"/>
      <c r="Z26" s="1144"/>
      <c r="AA26" s="1556">
        <v>1</v>
      </c>
      <c r="AB26" s="1556">
        <v>1</v>
      </c>
      <c r="AC26" s="1556">
        <v>1</v>
      </c>
    </row>
    <row r="27" spans="1:29" s="1214" customFormat="1" ht="28.5">
      <c r="A27" s="576"/>
      <c r="B27" s="255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48"/>
      <c r="Q27" s="2539" t="str">
        <f t="shared" ref="Q27" si="9">B27</f>
        <v>基础设施水平</v>
      </c>
      <c r="R27" s="1553" t="s">
        <v>8</v>
      </c>
      <c r="S27" s="1554">
        <f>F27</f>
        <v>100</v>
      </c>
      <c r="T27" s="1553" t="s">
        <v>8</v>
      </c>
      <c r="U27" s="1554">
        <f>H27</f>
        <v>100</v>
      </c>
      <c r="V27" s="1553" t="s">
        <v>8</v>
      </c>
      <c r="W27" s="1554">
        <f>J27</f>
        <v>100</v>
      </c>
      <c r="X27" s="1555"/>
      <c r="Y27" s="3448"/>
      <c r="Z27" s="2536" t="str">
        <f>Q27</f>
        <v>基础设施水平</v>
      </c>
      <c r="AA27" s="1561">
        <f>D27/F27</f>
        <v>1</v>
      </c>
      <c r="AB27" s="1561">
        <f>D27/H27</f>
        <v>1</v>
      </c>
      <c r="AC27" s="1561">
        <f>D27/J27</f>
        <v>1</v>
      </c>
    </row>
    <row r="28" spans="1:29" s="1214" customFormat="1" ht="15">
      <c r="A28" s="576"/>
      <c r="B28" s="594"/>
      <c r="C28" s="2553"/>
      <c r="D28" s="554"/>
      <c r="E28" s="578"/>
      <c r="F28" s="554"/>
      <c r="G28" s="578"/>
      <c r="H28" s="554"/>
      <c r="I28" s="578"/>
      <c r="J28" s="554"/>
      <c r="K28" s="530"/>
      <c r="L28" s="2117"/>
      <c r="M28" s="2118"/>
      <c r="N28" s="2118"/>
      <c r="O28" s="2119"/>
      <c r="P28" s="3448"/>
      <c r="Q28" s="2539"/>
      <c r="R28" s="1553"/>
      <c r="S28" s="1554"/>
      <c r="T28" s="1553"/>
      <c r="U28" s="1554"/>
      <c r="V28" s="1553"/>
      <c r="W28" s="1554"/>
      <c r="X28" s="1555"/>
      <c r="Y28" s="3448"/>
      <c r="Z28" s="2536"/>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4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48"/>
      <c r="Z29" s="1560" t="str">
        <f t="shared" ref="Z29:Z42" si="13">Q29</f>
        <v>临街状况</v>
      </c>
      <c r="AA29" s="1561">
        <f t="shared" si="3"/>
        <v>1</v>
      </c>
      <c r="AB29" s="1561">
        <f t="shared" si="4"/>
        <v>1</v>
      </c>
      <c r="AC29" s="1561">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48"/>
      <c r="Q30" s="1557" t="str">
        <f t="shared" si="8"/>
        <v>毗邻道路的类型与等级</v>
      </c>
      <c r="R30" s="1558" t="s">
        <v>8</v>
      </c>
      <c r="S30" s="1559">
        <f t="shared" si="10"/>
        <v>100</v>
      </c>
      <c r="T30" s="1558" t="s">
        <v>8</v>
      </c>
      <c r="U30" s="1559">
        <f t="shared" si="11"/>
        <v>100</v>
      </c>
      <c r="V30" s="1558" t="s">
        <v>8</v>
      </c>
      <c r="W30" s="1559">
        <f t="shared" si="12"/>
        <v>100</v>
      </c>
      <c r="X30" s="1552"/>
      <c r="Y30" s="3448"/>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4"/>
      <c r="M31" s="2116"/>
      <c r="N31" s="2116"/>
      <c r="O31" s="2123"/>
      <c r="P31" s="3448"/>
      <c r="Q31" s="1557"/>
      <c r="R31" s="1558"/>
      <c r="S31" s="1559"/>
      <c r="T31" s="1558"/>
      <c r="U31" s="1559"/>
      <c r="V31" s="1558"/>
      <c r="W31" s="1559"/>
      <c r="X31" s="1552"/>
      <c r="Y31" s="3448"/>
      <c r="Z31" s="1560"/>
      <c r="AA31" s="1561">
        <v>1</v>
      </c>
      <c r="AB31" s="1561">
        <v>1</v>
      </c>
      <c r="AC31" s="1561">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48"/>
      <c r="Q32" s="1557" t="str">
        <f t="shared" si="8"/>
        <v>土地级别</v>
      </c>
      <c r="R32" s="1558" t="s">
        <v>8</v>
      </c>
      <c r="S32" s="1559">
        <f t="shared" si="10"/>
        <v>100</v>
      </c>
      <c r="T32" s="1558" t="s">
        <v>8</v>
      </c>
      <c r="U32" s="1559">
        <f t="shared" si="11"/>
        <v>100</v>
      </c>
      <c r="V32" s="1558" t="s">
        <v>8</v>
      </c>
      <c r="W32" s="1559">
        <f t="shared" si="12"/>
        <v>100</v>
      </c>
      <c r="X32" s="1552"/>
      <c r="Y32" s="3448"/>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48"/>
      <c r="Q33" s="1557">
        <f t="shared" si="8"/>
        <v>111</v>
      </c>
      <c r="R33" s="1558" t="s">
        <v>8</v>
      </c>
      <c r="S33" s="1559">
        <f t="shared" si="10"/>
        <v>100</v>
      </c>
      <c r="T33" s="1558" t="s">
        <v>8</v>
      </c>
      <c r="U33" s="1559">
        <f t="shared" si="11"/>
        <v>100</v>
      </c>
      <c r="V33" s="1558" t="s">
        <v>8</v>
      </c>
      <c r="W33" s="1559">
        <f t="shared" si="12"/>
        <v>100</v>
      </c>
      <c r="X33" s="1552"/>
      <c r="Y33" s="3448"/>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49" t="s">
        <v>550</v>
      </c>
      <c r="Q34" s="1557">
        <f t="shared" si="8"/>
        <v>111</v>
      </c>
      <c r="R34" s="1558" t="s">
        <v>8</v>
      </c>
      <c r="S34" s="1559">
        <f t="shared" si="10"/>
        <v>100</v>
      </c>
      <c r="T34" s="1558" t="s">
        <v>8</v>
      </c>
      <c r="U34" s="1559">
        <f t="shared" si="11"/>
        <v>100</v>
      </c>
      <c r="V34" s="1558" t="s">
        <v>8</v>
      </c>
      <c r="W34" s="1559">
        <f t="shared" si="12"/>
        <v>100</v>
      </c>
      <c r="X34" s="1552"/>
      <c r="Y34" s="3450" t="s">
        <v>550</v>
      </c>
      <c r="Z34" s="1560">
        <f t="shared" si="13"/>
        <v>111</v>
      </c>
      <c r="AA34" s="1561">
        <f t="shared" si="3"/>
        <v>1</v>
      </c>
      <c r="AB34" s="1561">
        <f t="shared" si="4"/>
        <v>1</v>
      </c>
      <c r="AC34" s="1561">
        <f t="shared" si="5"/>
        <v>1</v>
      </c>
    </row>
    <row r="35" spans="1:29" s="1333"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50"/>
      <c r="Q35" s="1557">
        <f t="shared" si="8"/>
        <v>111</v>
      </c>
      <c r="R35" s="1562" t="s">
        <v>8</v>
      </c>
      <c r="S35" s="1563">
        <f t="shared" si="10"/>
        <v>100</v>
      </c>
      <c r="T35" s="1562" t="s">
        <v>8</v>
      </c>
      <c r="U35" s="1563">
        <f t="shared" si="11"/>
        <v>100</v>
      </c>
      <c r="V35" s="1562" t="s">
        <v>8</v>
      </c>
      <c r="W35" s="1563">
        <f t="shared" si="12"/>
        <v>100</v>
      </c>
      <c r="X35" s="1564"/>
      <c r="Y35" s="3450"/>
      <c r="Z35" s="1565">
        <f t="shared" si="13"/>
        <v>111</v>
      </c>
      <c r="AA35" s="1561">
        <f t="shared" si="3"/>
        <v>1</v>
      </c>
      <c r="AB35" s="1561">
        <f t="shared" si="4"/>
        <v>1</v>
      </c>
      <c r="AC35" s="1561">
        <f t="shared" si="5"/>
        <v>1</v>
      </c>
    </row>
    <row r="36" spans="1:29" ht="15">
      <c r="A36" s="2859"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50"/>
      <c r="Q36" s="1557" t="str">
        <f>B36</f>
        <v>宗地面积</v>
      </c>
      <c r="R36" s="1558" t="s">
        <v>8</v>
      </c>
      <c r="S36" s="1559" t="e">
        <f t="shared" si="10"/>
        <v>#N/A</v>
      </c>
      <c r="T36" s="1558" t="s">
        <v>8</v>
      </c>
      <c r="U36" s="1559" t="e">
        <f t="shared" si="11"/>
        <v>#N/A</v>
      </c>
      <c r="V36" s="1558" t="s">
        <v>8</v>
      </c>
      <c r="W36" s="1559" t="e">
        <f t="shared" si="12"/>
        <v>#N/A</v>
      </c>
      <c r="X36" s="1552"/>
      <c r="Y36" s="3450"/>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50"/>
      <c r="Q37" s="1557" t="str">
        <f t="shared" ref="Q37:Q42" si="14">B37</f>
        <v>宗地形状</v>
      </c>
      <c r="R37" s="1558" t="s">
        <v>8</v>
      </c>
      <c r="S37" s="1559">
        <f t="shared" si="10"/>
        <v>100</v>
      </c>
      <c r="T37" s="1558" t="s">
        <v>8</v>
      </c>
      <c r="U37" s="1559">
        <f t="shared" si="11"/>
        <v>100</v>
      </c>
      <c r="V37" s="1558" t="s">
        <v>8</v>
      </c>
      <c r="W37" s="1559">
        <f t="shared" si="12"/>
        <v>100</v>
      </c>
      <c r="X37" s="1552"/>
      <c r="Y37" s="3450"/>
      <c r="Z37" s="1560" t="str">
        <f t="shared" si="13"/>
        <v>宗地形状</v>
      </c>
      <c r="AA37" s="1561">
        <f t="shared" si="3"/>
        <v>1</v>
      </c>
      <c r="AB37" s="1561">
        <f t="shared" si="4"/>
        <v>1</v>
      </c>
      <c r="AC37" s="1561">
        <f t="shared" si="5"/>
        <v>1</v>
      </c>
    </row>
    <row r="38" spans="1:29" s="1214" customFormat="1" ht="15">
      <c r="A38" s="599"/>
      <c r="B38" s="1877"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50"/>
      <c r="Q38" s="1557" t="str">
        <f t="shared" si="14"/>
        <v>宗地开发程度</v>
      </c>
      <c r="R38" s="1553" t="s">
        <v>8</v>
      </c>
      <c r="S38" s="1554">
        <f t="shared" si="10"/>
        <v>100</v>
      </c>
      <c r="T38" s="1553" t="s">
        <v>8</v>
      </c>
      <c r="U38" s="1554">
        <f t="shared" si="11"/>
        <v>100</v>
      </c>
      <c r="V38" s="1553" t="s">
        <v>8</v>
      </c>
      <c r="W38" s="1554">
        <f t="shared" si="12"/>
        <v>100</v>
      </c>
      <c r="X38" s="1555"/>
      <c r="Y38" s="3450"/>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50" t="s">
        <v>601</v>
      </c>
      <c r="Q39" s="1557" t="str">
        <f t="shared" si="14"/>
        <v>工程地质条件</v>
      </c>
      <c r="R39" s="1558" t="s">
        <v>8</v>
      </c>
      <c r="S39" s="1559">
        <f t="shared" si="10"/>
        <v>100</v>
      </c>
      <c r="T39" s="1558" t="s">
        <v>8</v>
      </c>
      <c r="U39" s="1559">
        <f t="shared" si="11"/>
        <v>100</v>
      </c>
      <c r="V39" s="1558" t="s">
        <v>8</v>
      </c>
      <c r="W39" s="1559">
        <f t="shared" si="12"/>
        <v>100</v>
      </c>
      <c r="X39" s="1552"/>
      <c r="Y39" s="3450"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50"/>
      <c r="Q40" s="1557">
        <f t="shared" si="14"/>
        <v>111</v>
      </c>
      <c r="R40" s="1558" t="s">
        <v>8</v>
      </c>
      <c r="S40" s="1559">
        <f t="shared" si="10"/>
        <v>100</v>
      </c>
      <c r="T40" s="1558" t="s">
        <v>8</v>
      </c>
      <c r="U40" s="1559">
        <f t="shared" si="11"/>
        <v>100</v>
      </c>
      <c r="V40" s="1558" t="s">
        <v>8</v>
      </c>
      <c r="W40" s="1559">
        <f t="shared" si="12"/>
        <v>100</v>
      </c>
      <c r="X40" s="1552"/>
      <c r="Y40" s="3450"/>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50"/>
      <c r="Q41" s="1557">
        <f t="shared" si="14"/>
        <v>111</v>
      </c>
      <c r="R41" s="1558" t="s">
        <v>8</v>
      </c>
      <c r="S41" s="1559">
        <f t="shared" si="10"/>
        <v>100</v>
      </c>
      <c r="T41" s="1558" t="s">
        <v>8</v>
      </c>
      <c r="U41" s="1559">
        <f t="shared" si="11"/>
        <v>100</v>
      </c>
      <c r="V41" s="1558" t="s">
        <v>8</v>
      </c>
      <c r="W41" s="1559">
        <f t="shared" si="12"/>
        <v>100</v>
      </c>
      <c r="X41" s="1552"/>
      <c r="Y41" s="3450"/>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50"/>
      <c r="Q42" s="1557">
        <f t="shared" si="14"/>
        <v>111</v>
      </c>
      <c r="R42" s="1562" t="s">
        <v>8</v>
      </c>
      <c r="S42" s="1563">
        <f t="shared" si="10"/>
        <v>100</v>
      </c>
      <c r="T42" s="1562" t="s">
        <v>8</v>
      </c>
      <c r="U42" s="1563">
        <f t="shared" si="11"/>
        <v>100</v>
      </c>
      <c r="V42" s="1562" t="s">
        <v>8</v>
      </c>
      <c r="W42" s="1563">
        <f t="shared" si="12"/>
        <v>100</v>
      </c>
      <c r="X42" s="1564"/>
      <c r="Y42" s="3450"/>
      <c r="Z42" s="1565">
        <f t="shared" si="13"/>
        <v>111</v>
      </c>
      <c r="AA42" s="1561">
        <f t="shared" si="3"/>
        <v>1</v>
      </c>
      <c r="AB42" s="1561">
        <f t="shared" si="4"/>
        <v>1</v>
      </c>
      <c r="AC42" s="1561">
        <f t="shared" si="5"/>
        <v>1</v>
      </c>
    </row>
    <row r="43" spans="1:29" ht="15">
      <c r="A43" s="606" t="s">
        <v>556</v>
      </c>
      <c r="B43" s="607" t="s">
        <v>2929</v>
      </c>
      <c r="C43" s="608" t="s">
        <v>1</v>
      </c>
      <c r="D43" s="609"/>
      <c r="E43" s="610"/>
      <c r="F43" s="611"/>
      <c r="G43" s="612"/>
      <c r="H43" s="613"/>
      <c r="I43" s="610"/>
      <c r="J43" s="613"/>
      <c r="K43" s="1334"/>
      <c r="L43" s="2126"/>
      <c r="M43" s="2116"/>
      <c r="N43" s="2116"/>
      <c r="O43" s="2127"/>
      <c r="P43" s="3413" t="str">
        <f>A43</f>
        <v>成交单价</v>
      </c>
      <c r="Q43" s="3413"/>
      <c r="R43" s="3414">
        <f>E43</f>
        <v>0</v>
      </c>
      <c r="S43" s="3414"/>
      <c r="T43" s="3414">
        <f>G43</f>
        <v>0</v>
      </c>
      <c r="U43" s="3414"/>
      <c r="V43" s="3414">
        <f>I43</f>
        <v>0</v>
      </c>
      <c r="W43" s="3414"/>
      <c r="X43" s="1544"/>
      <c r="Y43" s="1566"/>
      <c r="Z43" s="1544"/>
      <c r="AA43" s="1544"/>
      <c r="AB43" s="1544"/>
      <c r="AC43" s="1544"/>
    </row>
    <row r="44" spans="1:29" ht="15.75" thickBot="1">
      <c r="A44" s="614" t="s">
        <v>2691</v>
      </c>
      <c r="B44" s="615"/>
      <c r="C44" s="616" t="e">
        <f>R45</f>
        <v>#DIV/0!</v>
      </c>
      <c r="D44" s="617"/>
      <c r="E44" s="616" t="e">
        <f>R44</f>
        <v>#DIV/0!</v>
      </c>
      <c r="F44" s="618"/>
      <c r="G44" s="619" t="e">
        <f>T44</f>
        <v>#DIV/0!</v>
      </c>
      <c r="H44" s="617"/>
      <c r="I44" s="616" t="e">
        <f>V44</f>
        <v>#DIV/0!</v>
      </c>
      <c r="J44" s="617"/>
      <c r="K44" s="1335"/>
      <c r="L44" s="2126"/>
      <c r="M44" s="2116"/>
      <c r="N44" s="2116"/>
      <c r="O44" s="2127"/>
      <c r="P44" s="3413" t="str">
        <f>A44</f>
        <v>比较价格（元/平方米）</v>
      </c>
      <c r="Q44" s="3413"/>
      <c r="R44" s="3415" t="e">
        <f>ROUND(PRODUCT(R43,AA9:AA42),0)</f>
        <v>#DIV/0!</v>
      </c>
      <c r="S44" s="3415"/>
      <c r="T44" s="3415" t="e">
        <f>ROUND(PRODUCT(T43,AB9:AB42),0)</f>
        <v>#DIV/0!</v>
      </c>
      <c r="U44" s="3415"/>
      <c r="V44" s="3415" t="e">
        <f>ROUND(PRODUCT(V43,AC9:AC42),0)</f>
        <v>#DIV/0!</v>
      </c>
      <c r="W44" s="3415"/>
      <c r="X44" s="1544"/>
      <c r="Y44" s="1544"/>
      <c r="Z44" s="1544"/>
      <c r="AA44" s="1544"/>
      <c r="AB44" s="1544"/>
      <c r="AC44" s="1544"/>
    </row>
    <row r="45" spans="1:29" ht="15.75" thickBot="1">
      <c r="A45" s="620" t="s">
        <v>2930</v>
      </c>
      <c r="B45" s="621"/>
      <c r="C45" s="622" t="e">
        <f>R45</f>
        <v>#DIV/0!</v>
      </c>
      <c r="D45" s="622"/>
      <c r="E45" s="622"/>
      <c r="F45" s="622"/>
      <c r="G45" s="622"/>
      <c r="H45" s="622"/>
      <c r="I45" s="622"/>
      <c r="J45" s="622"/>
      <c r="K45" s="1336"/>
      <c r="L45" s="2126"/>
      <c r="M45" s="2116"/>
      <c r="N45" s="2116"/>
      <c r="O45" s="2127"/>
      <c r="P45" s="3410" t="str">
        <f>A45</f>
        <v>估价对象XX用房的比较价格（楼面单价，元/平方米）</v>
      </c>
      <c r="Q45" s="3411"/>
      <c r="R45" s="3412" t="e">
        <f>ROUND(AVERAGE(R44:V44),0)</f>
        <v>#DIV/0!</v>
      </c>
      <c r="S45" s="3412"/>
      <c r="T45" s="3412"/>
      <c r="U45" s="3412"/>
      <c r="V45" s="3412"/>
      <c r="W45" s="3412"/>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1723</v>
      </c>
      <c r="D52" s="2209" t="s">
        <v>2292</v>
      </c>
      <c r="E52" s="630" t="s">
        <v>562</v>
      </c>
      <c r="F52" s="1933" t="s">
        <v>563</v>
      </c>
      <c r="G52" s="3457" t="s">
        <v>2283</v>
      </c>
      <c r="H52" s="3458"/>
      <c r="I52" s="1934" t="s">
        <v>1944</v>
      </c>
      <c r="J52" s="1540" t="str">
        <f>项目基本情况!F41</f>
        <v>安徽省马鞍山市</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2" t="s">
        <v>564</v>
      </c>
      <c r="B53" s="633" t="e">
        <f>C45</f>
        <v>#DIV/0!</v>
      </c>
      <c r="C53" s="634">
        <v>1</v>
      </c>
      <c r="D53" s="2210">
        <v>1</v>
      </c>
      <c r="E53" s="634">
        <f>'数据-汇总表'!E8+'数据-汇总表'!E9</f>
        <v>67528.97</v>
      </c>
      <c r="F53" s="1932" t="e">
        <f t="shared" ref="F53:F62" si="15">ROUND(B53*E53/10000,0)</f>
        <v>#DIV/0!</v>
      </c>
      <c r="G53" s="3459"/>
      <c r="H53" s="3460"/>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6" t="s">
        <v>565</v>
      </c>
      <c r="B54" s="637" t="e">
        <f>ROUND($C$45*C54*D54,0)</f>
        <v>#DIV/0!</v>
      </c>
      <c r="C54" s="377">
        <f t="shared" ref="C54:C62" si="16">IF($C$52="北京市系数",I54,J54)</f>
        <v>0</v>
      </c>
      <c r="D54" s="2211">
        <v>0.25</v>
      </c>
      <c r="E54" s="638"/>
      <c r="F54" s="1932" t="e">
        <f t="shared" si="15"/>
        <v>#DIV/0!</v>
      </c>
      <c r="G54" s="3461"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6" t="s">
        <v>566</v>
      </c>
      <c r="B55" s="637" t="e">
        <f t="shared" ref="B55:B62" si="17">ROUND($C$45*C55*D55,0)</f>
        <v>#DIV/0!</v>
      </c>
      <c r="C55" s="377">
        <f t="shared" si="16"/>
        <v>0</v>
      </c>
      <c r="D55" s="2211">
        <v>0.25</v>
      </c>
      <c r="E55" s="638"/>
      <c r="F55" s="1932" t="e">
        <f t="shared" si="15"/>
        <v>#DIV/0!</v>
      </c>
      <c r="G55" s="3461"/>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6" t="s">
        <v>567</v>
      </c>
      <c r="B56" s="637" t="e">
        <f t="shared" si="17"/>
        <v>#DIV/0!</v>
      </c>
      <c r="C56" s="377">
        <f t="shared" si="16"/>
        <v>0</v>
      </c>
      <c r="D56" s="2211">
        <v>0.25</v>
      </c>
      <c r="E56" s="638"/>
      <c r="F56" s="1932" t="e">
        <f t="shared" si="15"/>
        <v>#DIV/0!</v>
      </c>
      <c r="G56" s="3461"/>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6" t="s">
        <v>568</v>
      </c>
      <c r="B57" s="637" t="e">
        <f t="shared" si="17"/>
        <v>#DIV/0!</v>
      </c>
      <c r="C57" s="377">
        <f t="shared" si="16"/>
        <v>0</v>
      </c>
      <c r="D57" s="2211">
        <v>0.25</v>
      </c>
      <c r="E57" s="638"/>
      <c r="F57" s="1932" t="e">
        <f t="shared" si="15"/>
        <v>#DIV/0!</v>
      </c>
      <c r="G57" s="3461"/>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2327</v>
      </c>
      <c r="B58" s="637" t="e">
        <f t="shared" si="17"/>
        <v>#DIV/0!</v>
      </c>
      <c r="C58" s="377">
        <f t="shared" si="16"/>
        <v>0</v>
      </c>
      <c r="D58" s="2211">
        <v>0.25</v>
      </c>
      <c r="E58" s="640">
        <f>'数据-汇总表'!E11</f>
        <v>0</v>
      </c>
      <c r="F58" s="1932" t="e">
        <f t="shared" si="15"/>
        <v>#DIV/0!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569</v>
      </c>
      <c r="B59" s="637" t="e">
        <f t="shared" si="17"/>
        <v>#DIV/0!</v>
      </c>
      <c r="C59" s="377">
        <f t="shared" si="16"/>
        <v>0</v>
      </c>
      <c r="D59" s="2211">
        <v>0.25</v>
      </c>
      <c r="E59" s="640">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570</v>
      </c>
      <c r="B60" s="637" t="e">
        <f t="shared" si="17"/>
        <v>#DIV/0!</v>
      </c>
      <c r="C60" s="377">
        <f t="shared" si="16"/>
        <v>0</v>
      </c>
      <c r="D60" s="2211">
        <v>0.25</v>
      </c>
      <c r="E60" s="640">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571</v>
      </c>
      <c r="B61" s="637" t="e">
        <f t="shared" si="17"/>
        <v>#DIV/0!</v>
      </c>
      <c r="C61" s="377">
        <f t="shared" si="16"/>
        <v>0</v>
      </c>
      <c r="D61" s="2211">
        <v>0.25</v>
      </c>
      <c r="E61" s="640">
        <f>'数据-汇总表'!E14</f>
        <v>0</v>
      </c>
      <c r="F61" s="1932" t="e">
        <f t="shared" si="15"/>
        <v>#DIV/0!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6" t="s">
        <v>572</v>
      </c>
      <c r="B62" s="637" t="e">
        <f t="shared" si="17"/>
        <v>#DIV/0!</v>
      </c>
      <c r="C62" s="377">
        <f t="shared" si="16"/>
        <v>0</v>
      </c>
      <c r="D62" s="2211">
        <v>0.25</v>
      </c>
      <c r="E62" s="640">
        <f>'数据-汇总表'!E15</f>
        <v>0</v>
      </c>
      <c r="F62" s="1932" t="e">
        <f t="shared" si="15"/>
        <v>#DIV/0!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1" t="s">
        <v>573</v>
      </c>
      <c r="B63" s="642" t="s">
        <v>17</v>
      </c>
      <c r="C63" s="642" t="s">
        <v>18</v>
      </c>
      <c r="D63" s="642" t="s">
        <v>2293</v>
      </c>
      <c r="E63" s="642">
        <f>IF(B43="楼面地价",SUM(E53:E62),'数据-汇总表'!D3)</f>
        <v>27011.59</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2019-7-1</v>
      </c>
      <c r="D65" s="2751">
        <f>EDATE(C65,-3)</f>
        <v>43556</v>
      </c>
      <c r="E65" s="2751">
        <f t="shared" ref="E65:N65" si="18">EDATE(D65,-3)</f>
        <v>43466</v>
      </c>
      <c r="F65" s="2751">
        <f t="shared" si="18"/>
        <v>43374</v>
      </c>
      <c r="G65" s="2751">
        <f t="shared" si="18"/>
        <v>43282</v>
      </c>
      <c r="H65" s="2751">
        <f t="shared" si="18"/>
        <v>43191</v>
      </c>
      <c r="I65" s="2751">
        <f t="shared" si="18"/>
        <v>43101</v>
      </c>
      <c r="J65" s="2751">
        <f t="shared" si="18"/>
        <v>43009</v>
      </c>
      <c r="K65" s="2751">
        <f t="shared" si="18"/>
        <v>42917</v>
      </c>
      <c r="L65" s="2751">
        <f t="shared" si="18"/>
        <v>42826</v>
      </c>
      <c r="M65" s="2751">
        <f t="shared" si="18"/>
        <v>42736</v>
      </c>
      <c r="N65" s="2751">
        <f t="shared" si="18"/>
        <v>42644</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1" customFormat="1" ht="15">
      <c r="A67" s="2529" t="s">
        <v>2532</v>
      </c>
      <c r="B67" s="645"/>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2647</v>
      </c>
      <c r="B68" s="478" t="str">
        <f>"北京市平均增长率"&amp;TEXT(基准地价!P24,"0.00%")</f>
        <v>北京市平均增长率1.40%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6"/>
      <c r="B93" s="1878" t="s">
        <v>2547</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6"/>
      <c r="B95" s="2558" t="s">
        <v>2549</v>
      </c>
      <c r="C95" s="2559" t="s">
        <v>2550</v>
      </c>
      <c r="D95" s="2559" t="s">
        <v>2551</v>
      </c>
      <c r="E95" s="2559" t="s">
        <v>2552</v>
      </c>
      <c r="F95" s="2559" t="s">
        <v>2553</v>
      </c>
      <c r="G95" s="2559" t="s">
        <v>2554</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2424</v>
      </c>
      <c r="C114" s="1370"/>
      <c r="D114" s="1370"/>
      <c r="E114" s="1370"/>
      <c r="F114" s="1370"/>
      <c r="G114" s="1370"/>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3"/>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2760</v>
      </c>
      <c r="S1" s="2887" t="s">
        <v>2761</v>
      </c>
      <c r="T1" s="2887" t="s">
        <v>2782</v>
      </c>
      <c r="U1" s="2887" t="s">
        <v>2783</v>
      </c>
      <c r="V1" s="2887" t="s">
        <v>2784</v>
      </c>
      <c r="W1" s="2171"/>
      <c r="X1" s="2171"/>
      <c r="Y1" s="2171"/>
      <c r="Z1" s="2171"/>
      <c r="AA1" s="2171"/>
      <c r="AB1" s="2171"/>
      <c r="AC1" s="2172"/>
    </row>
    <row r="2" spans="1:39" ht="15.75">
      <c r="A2" s="1401" t="s">
        <v>919</v>
      </c>
      <c r="B2" s="1036"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1"/>
      <c r="X2" s="2171"/>
      <c r="Y2" s="2171"/>
      <c r="Z2" s="2171"/>
      <c r="AA2" s="2171"/>
      <c r="AB2" s="2171"/>
      <c r="AC2" s="2172"/>
    </row>
    <row r="3" spans="1:39" ht="15.75">
      <c r="A3" s="1406" t="s">
        <v>1686</v>
      </c>
      <c r="B3" s="1036" t="e">
        <f>ROUND(B2*10000/D1,0)</f>
        <v>#DIV/0!</v>
      </c>
      <c r="C3" s="1402" t="s">
        <v>926</v>
      </c>
      <c r="D3" s="1403" t="s">
        <v>927</v>
      </c>
      <c r="E3" s="1407"/>
      <c r="F3" s="1408"/>
      <c r="G3" s="1037">
        <f>IF(F3="宗地容积率",'数据-汇总表'!I4,IF(F3="估价对象容积率",'数据-汇总表'!I6,'数据-汇总表'!I7))</f>
        <v>0</v>
      </c>
      <c r="H3" s="1409" t="s">
        <v>928</v>
      </c>
      <c r="I3" s="1038">
        <v>8</v>
      </c>
      <c r="J3" s="1405" t="s">
        <v>929</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2279</v>
      </c>
      <c r="B4" s="2414" t="e">
        <f>ROUND(B2*10000/F1,0)</f>
        <v>#DIV/0!</v>
      </c>
      <c r="C4" s="1876" t="s">
        <v>2253</v>
      </c>
      <c r="D4" s="1876" t="e">
        <f>ROUND(B2/(F1/666.67),0)</f>
        <v>#DIV/0!</v>
      </c>
      <c r="E4" s="1876" t="s">
        <v>2254</v>
      </c>
      <c r="F4" s="1874"/>
      <c r="G4" s="1874"/>
      <c r="H4" s="1874"/>
      <c r="I4" s="1874"/>
      <c r="J4" s="1875"/>
      <c r="K4" s="3144"/>
      <c r="L4" s="1867" t="s">
        <v>2240</v>
      </c>
      <c r="M4" s="1868">
        <f>SUMPRODUCT((区片价!B49:B75=I2)*(区片价!C3:F3=E2)*(区片价!C49:F75))</f>
        <v>0</v>
      </c>
      <c r="N4" s="1869">
        <f>SUMPRODUCT((因素修正幅度!B49:B75=I2)*(因素修正幅度!C3:F3=E2)*(因素修正幅度!C49:F75))</f>
        <v>0</v>
      </c>
      <c r="O4" s="3144"/>
      <c r="P4" s="1396"/>
      <c r="Q4" s="2171"/>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1"/>
      <c r="X4" s="2171"/>
      <c r="Y4" s="2171"/>
      <c r="Z4" s="2171"/>
      <c r="AA4" s="2171"/>
      <c r="AB4" s="2171"/>
      <c r="AC4" s="2172"/>
    </row>
    <row r="5" spans="1:39" s="1416" customFormat="1" ht="15.75" thickBot="1">
      <c r="A5" s="1622" t="s">
        <v>1822</v>
      </c>
      <c r="B5" s="1410" t="s">
        <v>930</v>
      </c>
      <c r="C5" s="1039" t="e">
        <f>ROUND(IF(E2="商业",C6*C7+C16,(IF(E2="住宅",C6*C12+C16,C6+C16))),0)</f>
        <v>#DIV/0!</v>
      </c>
      <c r="D5" s="3067" t="e">
        <f>ROUND(C6+C16,0)</f>
        <v>#DIV/0!</v>
      </c>
      <c r="E5" s="3067"/>
      <c r="F5" s="1411"/>
      <c r="G5" s="1412"/>
      <c r="H5" s="1412"/>
      <c r="I5" s="1412"/>
      <c r="J5" s="1413"/>
      <c r="K5" s="3145"/>
      <c r="L5" s="1867" t="s">
        <v>2241</v>
      </c>
      <c r="M5" s="1868">
        <f>SUMPRODUCT((区片价!B76:B109=I2)*(区片价!C3:F3=E2)*(区片价!C76:F109))</f>
        <v>0</v>
      </c>
      <c r="N5" s="1869">
        <f>SUMPRODUCT((因素修正幅度!B76:B109=I2)*(因素修正幅度!C3:F3=E2)*(因素修正幅度!C76:F109))</f>
        <v>0</v>
      </c>
      <c r="O5" s="3145"/>
      <c r="P5" s="1579"/>
      <c r="Q5" s="2171"/>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1"/>
      <c r="X5" s="2171"/>
      <c r="Y5" s="2171"/>
      <c r="Z5" s="2171"/>
      <c r="AA5" s="2171"/>
      <c r="AB5" s="2171"/>
      <c r="AC5" s="2173"/>
      <c r="AD5" s="1414"/>
      <c r="AE5" s="1414"/>
      <c r="AF5" s="1414"/>
      <c r="AG5" s="1414"/>
      <c r="AH5" s="1414"/>
      <c r="AI5" s="1414"/>
      <c r="AJ5" s="1415"/>
      <c r="AK5" s="1415"/>
      <c r="AL5" s="1415"/>
      <c r="AM5" s="1415"/>
    </row>
    <row r="6" spans="1:39" ht="15.75" thickBot="1">
      <c r="A6" s="1623" t="s">
        <v>1869</v>
      </c>
      <c r="B6" s="1417" t="s">
        <v>930</v>
      </c>
      <c r="C6" s="1040">
        <f>SUMIF(L1:L12,基准地价!G2,M1:M12)</f>
        <v>0</v>
      </c>
      <c r="D6" s="1418" t="s">
        <v>1694</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1"/>
      <c r="X6" s="2171"/>
      <c r="Y6" s="2171"/>
      <c r="Z6" s="2171"/>
      <c r="AA6" s="2171"/>
      <c r="AB6" s="2171"/>
      <c r="AC6" s="2173"/>
      <c r="AD6" s="1414"/>
      <c r="AE6" s="1414"/>
      <c r="AF6" s="1414"/>
      <c r="AG6" s="1414"/>
      <c r="AH6" s="1414"/>
      <c r="AI6" s="1414"/>
      <c r="AJ6" s="1415"/>
    </row>
    <row r="7" spans="1:39" ht="24">
      <c r="A7" s="3473" t="str">
        <f>IF(E2="商业",IF(C8="不临58条商业街","",2),"")</f>
        <v/>
      </c>
      <c r="B7" s="1422" t="s">
        <v>931</v>
      </c>
      <c r="C7" s="1041" t="e">
        <f>IF(C8="不临58条商业街",1,ROUND(1+(1.6*E8+1.2*E9+0.8*E10+0.4*E11)*C9,4))</f>
        <v>#DIV/0!</v>
      </c>
      <c r="D7" s="1423" t="s">
        <v>932</v>
      </c>
      <c r="E7" s="1042"/>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2763</v>
      </c>
      <c r="X7" s="2878">
        <f>G2</f>
        <v>0</v>
      </c>
      <c r="Y7" s="2878" t="s">
        <v>2764</v>
      </c>
      <c r="Z7" s="2879">
        <f>G3</f>
        <v>0</v>
      </c>
      <c r="AA7" s="2174"/>
      <c r="AB7" s="2174"/>
      <c r="AC7" s="2175"/>
      <c r="AD7" s="2880"/>
      <c r="AE7" s="2880"/>
      <c r="AF7" s="2880"/>
      <c r="AG7" s="2880"/>
      <c r="AH7" s="2880"/>
      <c r="AI7" s="2880"/>
      <c r="AJ7" s="2881"/>
    </row>
    <row r="8" spans="1:39" ht="15">
      <c r="A8" s="3474"/>
      <c r="B8" s="1409" t="s">
        <v>933</v>
      </c>
      <c r="C8" s="1515"/>
      <c r="D8" s="1043" t="s">
        <v>934</v>
      </c>
      <c r="E8" s="1044" t="e">
        <f>ROUND(C11/E7,4)</f>
        <v>#DIV/0!</v>
      </c>
      <c r="F8" s="1427" t="s">
        <v>935</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t="e">
        <f t="shared" si="0"/>
        <v>#DIV/0!</v>
      </c>
      <c r="U8" s="2877"/>
      <c r="V8" s="2888" t="e">
        <f t="shared" si="1"/>
        <v>#DIV/0!</v>
      </c>
      <c r="W8" s="3463" t="s">
        <v>2781</v>
      </c>
      <c r="X8" s="3464"/>
      <c r="Y8" s="1831" t="s">
        <v>2765</v>
      </c>
      <c r="Z8" s="1831" t="s">
        <v>2766</v>
      </c>
      <c r="AA8" s="1831" t="s">
        <v>2767</v>
      </c>
      <c r="AB8" s="1831" t="s">
        <v>2768</v>
      </c>
      <c r="AC8" s="1831" t="s">
        <v>2769</v>
      </c>
      <c r="AD8" s="1831" t="s">
        <v>2770</v>
      </c>
      <c r="AE8" s="1831" t="s">
        <v>2771</v>
      </c>
      <c r="AF8" s="1831" t="s">
        <v>2772</v>
      </c>
      <c r="AG8" s="1831" t="s">
        <v>2773</v>
      </c>
      <c r="AH8" s="1831" t="s">
        <v>2774</v>
      </c>
      <c r="AI8" s="1831" t="s">
        <v>2775</v>
      </c>
      <c r="AJ8" s="1831" t="s">
        <v>2776</v>
      </c>
    </row>
    <row r="9" spans="1:39" ht="15">
      <c r="A9" s="3474"/>
      <c r="B9" s="1409" t="s">
        <v>936</v>
      </c>
      <c r="C9" s="1045">
        <f>SUMIF(修正!C59:C119,C8,修正!E59:E119)</f>
        <v>0</v>
      </c>
      <c r="D9" s="1046" t="s">
        <v>937</v>
      </c>
      <c r="E9" s="1046" t="e">
        <f>ROUND(C11/E7,4)</f>
        <v>#DIV/0!</v>
      </c>
      <c r="F9" s="1427" t="s">
        <v>938</v>
      </c>
      <c r="G9" s="1428"/>
      <c r="H9" s="1428"/>
      <c r="I9" s="1428"/>
      <c r="J9" s="1429"/>
      <c r="K9" s="1451"/>
      <c r="L9" s="1867" t="s">
        <v>2245</v>
      </c>
      <c r="M9" s="1868">
        <f>SUMPRODUCT((区片价!B245:B289=I2)*(区片价!C3:F3=E2)*(区片价!C245:F289))</f>
        <v>0</v>
      </c>
      <c r="N9" s="1869">
        <f>SUMPRODUCT((因素修正幅度!B245:B289=I2)*(因素修正幅度!C3:F3=E2)*(因素修正幅度!C245:F289))</f>
        <v>0</v>
      </c>
      <c r="O9" s="1451"/>
      <c r="P9" s="1396"/>
      <c r="Q9" s="2171"/>
      <c r="R9" s="2888">
        <v>8</v>
      </c>
      <c r="S9" s="2877"/>
      <c r="T9" s="2888" t="e">
        <f t="shared" si="0"/>
        <v>#DIV/0!</v>
      </c>
      <c r="U9" s="2877"/>
      <c r="V9" s="2888" t="e">
        <f t="shared" si="1"/>
        <v>#DIV/0!</v>
      </c>
      <c r="W9" s="3462" t="s">
        <v>2777</v>
      </c>
      <c r="X9" s="2882" t="s">
        <v>2778</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74"/>
      <c r="B10" s="1409" t="s">
        <v>939</v>
      </c>
      <c r="C10" s="1046">
        <f>SUMIF(修正!C59:C119,C8,修正!F59:F119)</f>
        <v>0</v>
      </c>
      <c r="D10" s="1046" t="s">
        <v>940</v>
      </c>
      <c r="E10" s="1046" t="e">
        <f>ROUND(C11/E7,4)</f>
        <v>#DIV/0!</v>
      </c>
      <c r="F10" s="1427" t="s">
        <v>941</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t="e">
        <f t="shared" si="0"/>
        <v>#DIV/0!</v>
      </c>
      <c r="U10" s="2877"/>
      <c r="V10" s="2888" t="e">
        <f t="shared" si="1"/>
        <v>#DIV/0!</v>
      </c>
      <c r="W10" s="3462"/>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74"/>
      <c r="B11" s="1430" t="s">
        <v>942</v>
      </c>
      <c r="C11" s="1047">
        <f>C10/4</f>
        <v>0</v>
      </c>
      <c r="D11" s="1047" t="s">
        <v>943</v>
      </c>
      <c r="E11" s="1047" t="e">
        <f>ROUND(C11/E7,4)</f>
        <v>#DIV/0!</v>
      </c>
      <c r="F11" s="1431" t="s">
        <v>944</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t="e">
        <f t="shared" si="0"/>
        <v>#DIV/0!</v>
      </c>
      <c r="U11" s="2877"/>
      <c r="V11" s="2888" t="e">
        <f t="shared" si="1"/>
        <v>#DIV/0!</v>
      </c>
      <c r="W11" s="3462" t="s">
        <v>2779</v>
      </c>
      <c r="X11" s="1046"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73" t="s">
        <v>1870</v>
      </c>
      <c r="B12" s="1434" t="s">
        <v>945</v>
      </c>
      <c r="C12" s="1041">
        <f>ROUND(C15*D15*E15*F15*G15*H15*I15*J15,4)</f>
        <v>1</v>
      </c>
      <c r="D12" s="1435" t="s">
        <v>946</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t="e">
        <f t="shared" si="0"/>
        <v>#DIV/0!</v>
      </c>
      <c r="U12" s="2877"/>
      <c r="V12" s="2888" t="e">
        <f t="shared" si="1"/>
        <v>#DIV/0!</v>
      </c>
      <c r="W12" s="3462"/>
      <c r="X12" s="2885" t="s">
        <v>2780</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75"/>
      <c r="B13" s="1439" t="s">
        <v>1695</v>
      </c>
      <c r="C13" s="1440" t="s">
        <v>1696</v>
      </c>
      <c r="D13" s="1083" t="s">
        <v>1697</v>
      </c>
      <c r="E13" s="1083" t="s">
        <v>1698</v>
      </c>
      <c r="F13" s="1441" t="s">
        <v>947</v>
      </c>
      <c r="G13" s="1442" t="s">
        <v>1641</v>
      </c>
      <c r="H13" s="1443" t="s">
        <v>1641</v>
      </c>
      <c r="I13" s="1444" t="s">
        <v>1641</v>
      </c>
      <c r="J13" s="1445" t="s">
        <v>1641</v>
      </c>
      <c r="K13" s="3160"/>
      <c r="L13" s="3160"/>
      <c r="M13" s="3160"/>
      <c r="N13" s="3160"/>
      <c r="O13" s="3160"/>
      <c r="P13" s="1396"/>
      <c r="Q13" s="2171"/>
      <c r="R13" s="2888">
        <v>12</v>
      </c>
      <c r="S13" s="2877"/>
      <c r="T13" s="2888" t="e">
        <f t="shared" si="0"/>
        <v>#DIV/0!</v>
      </c>
      <c r="U13" s="2877"/>
      <c r="V13" s="2888" t="e">
        <f t="shared" si="1"/>
        <v>#DIV/0!</v>
      </c>
      <c r="W13" s="3462"/>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75"/>
      <c r="B14" s="1446"/>
      <c r="C14" s="1447"/>
      <c r="D14" s="1448"/>
      <c r="E14" s="1448"/>
      <c r="F14" s="1449"/>
      <c r="G14" s="1450" t="s">
        <v>948</v>
      </c>
      <c r="H14" s="1451"/>
      <c r="I14" s="1452"/>
      <c r="J14" s="1453"/>
      <c r="K14" s="3146"/>
      <c r="L14" s="3146"/>
      <c r="M14" s="3146"/>
      <c r="N14" s="3146"/>
      <c r="O14" s="3146"/>
      <c r="P14" s="1396"/>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76"/>
      <c r="B15" s="3165" t="s">
        <v>1699</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6"/>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73" t="s">
        <v>1837</v>
      </c>
      <c r="B16" s="1422" t="s">
        <v>949</v>
      </c>
      <c r="C16" s="1050" t="e">
        <f>ROUND(IF(F17="与级别开发程度一致",0,(G17-E17)/C17),0)</f>
        <v>#DIV/0!</v>
      </c>
      <c r="D16" s="3470" t="s">
        <v>953</v>
      </c>
      <c r="E16" s="3471"/>
      <c r="F16" s="3470" t="s">
        <v>950</v>
      </c>
      <c r="G16" s="3471"/>
      <c r="H16" s="1454"/>
      <c r="I16" s="1454"/>
      <c r="J16" s="1454"/>
      <c r="K16" s="1454"/>
      <c r="L16" s="1454"/>
      <c r="M16" s="1454"/>
      <c r="N16" s="1454"/>
      <c r="O16" s="3170"/>
      <c r="P16" s="1396"/>
      <c r="Q16" s="2174"/>
      <c r="R16" s="2888">
        <v>15</v>
      </c>
      <c r="S16" s="2877"/>
      <c r="T16" s="2888" t="e">
        <f t="shared" si="0"/>
        <v>#DIV/0!</v>
      </c>
      <c r="U16" s="2877"/>
      <c r="V16" s="2888" t="e">
        <f t="shared" si="1"/>
        <v>#DIV/0!</v>
      </c>
      <c r="W16" s="2174"/>
      <c r="X16" s="2174"/>
      <c r="Y16" s="2174"/>
      <c r="Z16" s="2174"/>
      <c r="AA16" s="2174"/>
      <c r="AB16" s="2174"/>
      <c r="AC16" s="2175"/>
    </row>
    <row r="17" spans="1:40" ht="13.5" thickBot="1">
      <c r="A17" s="3477"/>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1" t="s">
        <v>1828</v>
      </c>
      <c r="B18" s="3166" t="s">
        <v>954</v>
      </c>
      <c r="C18" s="3167">
        <f>SUMIF(修正!C18:C39,E3,修正!E18:E39)</f>
        <v>0</v>
      </c>
      <c r="D18" s="3168"/>
      <c r="E18" s="3169"/>
      <c r="F18" s="3151"/>
      <c r="G18" s="3145"/>
      <c r="H18" s="3145"/>
      <c r="I18" s="3145"/>
      <c r="J18" s="3159"/>
      <c r="K18" s="3145"/>
      <c r="L18" s="3145"/>
      <c r="M18" s="3145"/>
      <c r="N18" s="3145"/>
      <c r="O18" s="3145"/>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ROUND(IF(H19="按公示增长率计算",SUMPRODUCT((地价!A3:A27=YEAR(G19)&amp;"-"&amp;ROUNDUP(MONTH(G19)/3,0))*(地价!X2:AB2=E2)*(地价!X3:AB27)),IF(H19="地价指数",M20/M19,(1+I19)^O19)),4)</f>
        <v>0</v>
      </c>
      <c r="D19" s="1461" t="s">
        <v>956</v>
      </c>
      <c r="E19" s="1052">
        <v>41640</v>
      </c>
      <c r="F19" s="1461" t="s">
        <v>957</v>
      </c>
      <c r="G19" s="1053">
        <f>'数据-取费表'!B2</f>
        <v>43656</v>
      </c>
      <c r="H19" s="1462" t="s">
        <v>2990</v>
      </c>
      <c r="I19" s="2737" t="str">
        <f>IF(H19="季度增幅（自定义）",SUMIF(N21:N24,E2,O21:O24),"")</f>
        <v/>
      </c>
      <c r="J19" s="1458"/>
      <c r="K19" s="3145"/>
      <c r="L19" s="2988" t="s">
        <v>2839</v>
      </c>
      <c r="M19" s="2989">
        <f>ROUND(SUMIF(地价!B2:F2,E2,地价!B27:F27),0)</f>
        <v>0</v>
      </c>
      <c r="N19" s="2739" t="s">
        <v>1675</v>
      </c>
      <c r="O19" s="2738">
        <f>ROUNDDOWN(DATEDIF(E19,G19,"M")/3,0)</f>
        <v>22</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1" t="s">
        <v>1835</v>
      </c>
      <c r="B20" s="2732" t="s">
        <v>970</v>
      </c>
      <c r="C20" s="2733" t="e">
        <f>ROUND(POWER(1+G20,J20-I20)*(POWER(1+G20,I20)-1)/(POWER(1+G20,J20)-1),4)</f>
        <v>#DIV/0!</v>
      </c>
      <c r="D20" s="2734" t="s">
        <v>971</v>
      </c>
      <c r="E20" s="3042">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7"/>
      <c r="L20" s="2990" t="s">
        <v>2840</v>
      </c>
      <c r="M20" s="3154">
        <f>ROUND(SUMPRODUCT((地价!A4:A27=YEAR(G19)&amp;"-"&amp;ROUNDUP(MONTH(G19)/3,0))*(地价!B2:F2=E2)*(地价!B4:F27)),0)</f>
        <v>0</v>
      </c>
      <c r="N20" s="2742" t="s">
        <v>2644</v>
      </c>
      <c r="O20" s="2740" t="s">
        <v>2643</v>
      </c>
      <c r="P20" s="2741" t="s">
        <v>2648</v>
      </c>
      <c r="Q20" s="2876"/>
      <c r="R20" s="2177"/>
      <c r="S20" s="2177"/>
      <c r="T20" s="2177"/>
      <c r="U20" s="2177"/>
      <c r="V20" s="2177"/>
      <c r="W20" s="2177"/>
      <c r="X20" s="2177"/>
      <c r="Y20" s="1459"/>
      <c r="Z20" s="1459"/>
      <c r="AA20" s="1459"/>
      <c r="AB20" s="1459"/>
      <c r="AC20" s="1459"/>
      <c r="AD20" s="1459"/>
    </row>
    <row r="21" spans="1:40" s="1416" customFormat="1" ht="14.25">
      <c r="A21" s="1626" t="s">
        <v>1836</v>
      </c>
      <c r="B21" s="1467" t="s">
        <v>2759</v>
      </c>
      <c r="C21" s="1152">
        <f>IF(B21="容积率修正",IF(G3&lt;=10,D22,J22),C23)</f>
        <v>0</v>
      </c>
      <c r="D21" s="1468"/>
      <c r="E21" s="1468"/>
      <c r="F21" s="1468"/>
      <c r="G21" s="1468"/>
      <c r="H21" s="1468"/>
      <c r="I21" s="1468"/>
      <c r="J21" s="1469"/>
      <c r="K21" s="3145"/>
      <c r="L21" s="1468"/>
      <c r="M21" s="1468"/>
      <c r="N21" s="1465" t="s">
        <v>974</v>
      </c>
      <c r="O21" s="1528"/>
      <c r="P21" s="2729">
        <f>SUMPRODUCT((地价!A3:A27=YEAR(G19)&amp;"-"&amp;ROUNDUP(MONTH(G19)/3,0))*(地价!AD2:AH2=N21)*(地价!AD3:AH27))</f>
        <v>1.44E-2</v>
      </c>
      <c r="Q21" s="2876"/>
      <c r="R21" s="2177"/>
      <c r="S21" s="2177"/>
      <c r="T21" s="2177"/>
      <c r="U21" s="2177"/>
      <c r="V21" s="2177"/>
      <c r="W21" s="2177"/>
      <c r="X21" s="2177"/>
      <c r="Y21" s="1398"/>
      <c r="Z21" s="1398"/>
      <c r="AA21" s="1398"/>
      <c r="AB21" s="1398"/>
      <c r="AC21" s="1459"/>
      <c r="AD21" s="1459"/>
    </row>
    <row r="22" spans="1:40" s="1416" customFormat="1" ht="14.25">
      <c r="A22" s="1627" t="s">
        <v>1869</v>
      </c>
      <c r="B22" s="1470" t="s">
        <v>975</v>
      </c>
      <c r="C22" s="1054" t="s">
        <v>1701</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8"/>
      <c r="L22" s="1468"/>
      <c r="M22" s="1468"/>
      <c r="N22" s="1465" t="s">
        <v>977</v>
      </c>
      <c r="O22" s="1528"/>
      <c r="P22" s="2729">
        <f>SUMPRODUCT((地价!A3:A27=YEAR(G19)&amp;"-"&amp;ROUNDUP(MONTH(G19)/3,0))*(地价!AD2:AH2=N22)*(地价!AD3:AH27))</f>
        <v>1.44E-2</v>
      </c>
      <c r="Q22" s="2876"/>
      <c r="R22" s="2177"/>
      <c r="S22" s="2177"/>
      <c r="T22" s="2177"/>
      <c r="U22" s="2177"/>
      <c r="V22" s="2177"/>
      <c r="W22" s="2177"/>
      <c r="X22" s="2177"/>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922</v>
      </c>
      <c r="O23" s="1528"/>
      <c r="P23" s="2729">
        <f>SUMPRODUCT((地价!A3:A27=YEAR(G19)&amp;"-"&amp;ROUNDUP(MONTH(G19)/3,0))*(地价!AD2:AH2=N23)*(地价!AD3:AH27))</f>
        <v>2.23E-2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0</v>
      </c>
      <c r="D24" s="1521"/>
      <c r="E24" s="1522"/>
      <c r="F24" s="1522"/>
      <c r="G24" s="1522"/>
      <c r="H24" s="1522"/>
      <c r="I24" s="1522"/>
      <c r="J24" s="1522"/>
      <c r="K24" s="3149"/>
      <c r="L24" s="1468"/>
      <c r="M24" s="1468"/>
      <c r="N24" s="1465" t="s">
        <v>980</v>
      </c>
      <c r="O24" s="3153"/>
      <c r="P24" s="2729">
        <f>SUMPRODUCT((地价!A3:A27=YEAR(G19)&amp;"-"&amp;ROUNDUP(MONTH(G19)/3,0))*(地价!AD2:AH2=N24)*(地价!AD3:AH27))</f>
        <v>1.4E-2</v>
      </c>
      <c r="Q24" s="2876"/>
      <c r="R24" s="2177"/>
      <c r="S24" s="2177"/>
      <c r="T24" s="2177"/>
      <c r="U24" s="2177"/>
      <c r="V24" s="2177"/>
      <c r="W24" s="2177"/>
      <c r="X24" s="2177"/>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7"/>
      <c r="M25" s="2177"/>
      <c r="N25" s="3155" t="s">
        <v>2646</v>
      </c>
      <c r="O25" s="3156"/>
      <c r="P25" s="2408">
        <f>SUMPRODUCT((地价!A3:A27=YEAR(G19)&amp;"-"&amp;ROUNDUP(MONTH(G19)/3,0))*(地价!AD2:AH2=N25)*(地价!AD3:AH27))</f>
        <v>2.0400000000000001E-2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985</v>
      </c>
      <c r="C26" s="1057" t="e">
        <f>E29+SUM(E33:E39)</f>
        <v>#DIV/0!</v>
      </c>
      <c r="D26" s="1476"/>
      <c r="E26" s="1451"/>
      <c r="F26" s="1477"/>
      <c r="G26" s="1451"/>
      <c r="H26" s="1451"/>
      <c r="I26" s="1451"/>
      <c r="J26" s="1478"/>
      <c r="K26" s="1451"/>
      <c r="L26" s="1582" t="s">
        <v>897</v>
      </c>
      <c r="M26" s="1423" t="s">
        <v>982</v>
      </c>
      <c r="N26" s="1423" t="s">
        <v>983</v>
      </c>
      <c r="O26" s="1423" t="s">
        <v>901</v>
      </c>
      <c r="P26" s="1463" t="s">
        <v>984</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t="e">
        <f>E30+SUM(I33:I39)</f>
        <v>#DIV/0!</v>
      </c>
      <c r="D27" s="1480"/>
      <c r="E27" s="1481"/>
      <c r="F27" s="1482"/>
      <c r="G27" s="1481"/>
      <c r="H27" s="1481"/>
      <c r="I27" s="1481"/>
      <c r="J27" s="1483"/>
      <c r="K27" s="1451"/>
      <c r="L27" s="1455" t="s">
        <v>986</v>
      </c>
      <c r="M27" s="1045">
        <v>0.25</v>
      </c>
      <c r="N27" s="1045">
        <v>0.2</v>
      </c>
      <c r="O27" s="1045">
        <v>0.15</v>
      </c>
      <c r="P27" s="1525">
        <v>0.1</v>
      </c>
      <c r="Q27" s="2177"/>
      <c r="R27" s="2876"/>
      <c r="S27" s="2876"/>
      <c r="T27" s="2876"/>
      <c r="U27" s="2876"/>
      <c r="V27" s="2876"/>
      <c r="W27" s="2177"/>
      <c r="X27" s="2177"/>
      <c r="Y27" s="2177"/>
      <c r="Z27" s="2177"/>
      <c r="AA27" s="2177"/>
      <c r="AB27" s="2177"/>
      <c r="AC27" s="2177"/>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992</v>
      </c>
      <c r="C29" s="1057" t="e">
        <f>ROUND(C5*C18*C19*C20*C21*C24,0)</f>
        <v>#DIV/0!</v>
      </c>
      <c r="D29" s="1490"/>
      <c r="E29" s="1831" t="e">
        <f>ROUND(C29*D29/10000,0)</f>
        <v>#DIV/0!</v>
      </c>
      <c r="F29" s="1491" t="s">
        <v>1700</v>
      </c>
      <c r="G29" s="1492"/>
      <c r="H29" s="1492"/>
      <c r="I29" s="1492"/>
      <c r="J29" s="1493"/>
      <c r="K29" s="3150"/>
      <c r="L29" s="3150"/>
      <c r="M29" s="3150"/>
      <c r="N29" s="3150"/>
      <c r="O29" s="3150"/>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993</v>
      </c>
      <c r="C30" s="1049" t="e">
        <f>ROUND(IF(E2="工业",C29*M39,C29*M38),0)</f>
        <v>#DIV/0!</v>
      </c>
      <c r="D30" s="1496"/>
      <c r="E30" s="1831" t="e">
        <f>ROUND(C30*D30/10000,0)</f>
        <v>#DIV/0!</v>
      </c>
      <c r="F30" s="1497" t="s">
        <v>994</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1"/>
      <c r="L32" s="3151"/>
      <c r="M32" s="3151"/>
      <c r="N32" s="3151"/>
      <c r="O32" s="3151"/>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480" t="s">
        <v>2955</v>
      </c>
      <c r="B33" s="1510" t="s">
        <v>998</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2"/>
      <c r="L33" s="3152"/>
      <c r="M33" s="3152"/>
      <c r="N33" s="3152"/>
      <c r="O33" s="3152"/>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481"/>
      <c r="B34" s="1440" t="s">
        <v>999</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2"/>
      <c r="L34" s="3152"/>
      <c r="M34" s="3152"/>
      <c r="N34" s="3152"/>
      <c r="O34" s="3152"/>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481"/>
      <c r="B35" s="1440" t="s">
        <v>1000</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2"/>
      <c r="L35" s="3152"/>
      <c r="M35" s="3152"/>
      <c r="N35" s="3152"/>
      <c r="O35" s="3152"/>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482"/>
      <c r="B36" s="1440" t="s">
        <v>1001</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2"/>
      <c r="L36" s="3152"/>
      <c r="M36" s="3152"/>
      <c r="N36" s="3152"/>
      <c r="O36" s="3152"/>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1002</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1702</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1003</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1704</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1004</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1703</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2982</v>
      </c>
      <c r="C41" s="838" t="e">
        <f>ROUND(POWER(1+E41,H41-G41)*(POWER(1+E41,G41)-1)/(POWER(1+E41,H41)-1),4)</f>
        <v>#DIV/0!</v>
      </c>
      <c r="D41" s="377" t="s">
        <v>2980</v>
      </c>
      <c r="E41" s="3142">
        <f>G20</f>
        <v>0</v>
      </c>
      <c r="F41" s="377" t="s">
        <v>2981</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1005</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1006</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1" t="s">
        <v>1007</v>
      </c>
      <c r="B46" s="2369" t="s">
        <v>1008</v>
      </c>
      <c r="C46" s="2391" t="s">
        <v>1009</v>
      </c>
      <c r="D46" s="2392" t="s">
        <v>1010</v>
      </c>
      <c r="E46" s="2393" t="s">
        <v>1012</v>
      </c>
      <c r="F46" s="2394" t="s">
        <v>2249</v>
      </c>
      <c r="G46" s="2392" t="s">
        <v>1013</v>
      </c>
      <c r="H46" s="2375" t="s">
        <v>2417</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60">
      <c r="A47" s="1061" t="s">
        <v>1019</v>
      </c>
      <c r="B47" s="2372" t="str">
        <f>估价对象房地状况!C16</f>
        <v>估价对象周边无大型商业，整体商业氛围较差，人流量少且构成多为本地居民；综合评价估价对象所处区域目前的商业繁华程度较差。</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96">
      <c r="A48" s="1061" t="s">
        <v>1020</v>
      </c>
      <c r="B48" s="2369" t="str">
        <f>估价对象房地状况!C18</f>
        <v>估价对象临近省道S124，周边多为乡级公路，道路密集度较差；周边有413路、612路、407路、513路等公交线路，距S3线一期终点高家冲站5.5公里，公共交通通达情况一般；综合评价交通便捷度一般。</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1" t="s">
        <v>1021</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1" t="s">
        <v>1022</v>
      </c>
      <c r="B50" s="3044" t="s">
        <v>2932</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1" t="s">
        <v>1023</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1" t="s">
        <v>1024</v>
      </c>
      <c r="B52" s="3043" t="s">
        <v>2931</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96">
      <c r="A53" s="2401" t="s">
        <v>1025</v>
      </c>
      <c r="B53" s="23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1026</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84.75" thickBot="1">
      <c r="A55" s="2402" t="s">
        <v>1027</v>
      </c>
      <c r="B55" s="2373" t="str">
        <f>估价对象房地状况!C20</f>
        <v>估价对象所在区域内无公园、水系、湖泊，自然环境较差；无博物馆、科技馆、体育馆、高等学府等人文设施，人文环境较差；综合评价自然及人文环境环境较差。</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1028</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1" t="s">
        <v>1007</v>
      </c>
      <c r="B57" s="2369"/>
      <c r="C57" s="2391" t="s">
        <v>1009</v>
      </c>
      <c r="D57" s="2392" t="s">
        <v>1010</v>
      </c>
      <c r="E57" s="2393" t="s">
        <v>1012</v>
      </c>
      <c r="F57" s="2394" t="s">
        <v>2250</v>
      </c>
      <c r="G57" s="2392" t="s">
        <v>1013</v>
      </c>
      <c r="H57" s="2375" t="s">
        <v>2417</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1" t="s">
        <v>1029</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96">
      <c r="A59" s="1061" t="s">
        <v>1020</v>
      </c>
      <c r="B59" s="2369" t="str">
        <f>估价对象房地状况!C18</f>
        <v>估价对象临近省道S124，周边多为乡级公路，道路密集度较差；周边有413路、612路、407路、513路等公交线路，距S3线一期终点高家冲站5.5公里，公共交通通达情况一般；综合评价交通便捷度一般。</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1" t="s">
        <v>1021</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1" t="s">
        <v>1022</v>
      </c>
      <c r="B61" s="3044" t="s">
        <v>2933</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1" t="s">
        <v>1023</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1" t="s">
        <v>1024</v>
      </c>
      <c r="B63" s="3043" t="s">
        <v>2931</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96">
      <c r="A64" s="1061" t="s">
        <v>1025</v>
      </c>
      <c r="B64" s="23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1" t="s">
        <v>1026</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84.75" thickBot="1">
      <c r="A66" s="2402" t="s">
        <v>1027</v>
      </c>
      <c r="B66" s="2374" t="str">
        <f>估价对象房地状况!C20</f>
        <v>估价对象所在区域内无公园、水系、湖泊，自然环境较差；无博物馆、科技馆、体育馆、高等学府等人文设施，人文环境较差；综合评价自然及人文环境环境较差。</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1030</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1" t="s">
        <v>1007</v>
      </c>
      <c r="B68" s="2369"/>
      <c r="C68" s="2391" t="s">
        <v>1009</v>
      </c>
      <c r="D68" s="2392" t="s">
        <v>1010</v>
      </c>
      <c r="E68" s="2393" t="s">
        <v>1012</v>
      </c>
      <c r="F68" s="2394" t="s">
        <v>2251</v>
      </c>
      <c r="G68" s="2392" t="s">
        <v>1013</v>
      </c>
      <c r="H68" s="2375" t="s">
        <v>2417</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84">
      <c r="A69" s="1061" t="s">
        <v>1031</v>
      </c>
      <c r="B69" s="2372" t="str">
        <f>估价对象房地状况!C15</f>
        <v>估价对象距离南京中心区域直线距离约为47公里，周边区域尚未开发，仅有项目本身与 “孔雀城”居住项目；综合评价估价对象所处区域目前的居住社区成熟度较差。</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96">
      <c r="A70" s="1061" t="s">
        <v>1032</v>
      </c>
      <c r="B70" s="2369" t="str">
        <f>估价对象房地状况!C18</f>
        <v>估价对象临近省道S124，周边多为乡级公路，道路密集度较差；周边有413路、612路、407路、513路等公交线路，距S3线一期终点高家冲站5.5公里，公共交通通达情况一般；综合评价交通便捷度一般。</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1" t="s">
        <v>1021</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1" t="s">
        <v>1033</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96">
      <c r="A73" s="1061" t="s">
        <v>1025</v>
      </c>
      <c r="B73" s="23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1" t="s">
        <v>1026</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1" t="s">
        <v>1024</v>
      </c>
      <c r="B75" s="3043" t="s">
        <v>2931</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84">
      <c r="A76" s="1061" t="s">
        <v>1027</v>
      </c>
      <c r="B76" s="2372" t="str">
        <f>估价对象房地状况!C20</f>
        <v>估价对象所在区域内无公园、水系、湖泊，自然环境较差；无博物馆、科技馆、体育馆、高等学府等人文设施，人文环境较差；综合评价自然及人文环境环境较差。</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1034</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1035</v>
      </c>
      <c r="B78" s="2386">
        <f>1+E80</f>
        <v>1</v>
      </c>
      <c r="C78" s="2405"/>
      <c r="D78" s="2388"/>
      <c r="E78" s="2389"/>
      <c r="F78" s="2390"/>
      <c r="G78" s="2384"/>
      <c r="H78" s="2384"/>
      <c r="I78" s="2384"/>
      <c r="J78" s="1060"/>
      <c r="K78" s="1060"/>
      <c r="L78" s="1060"/>
      <c r="M78" s="1060"/>
      <c r="N78" s="1060"/>
      <c r="AC78" s="1400"/>
      <c r="AD78" s="1399"/>
      <c r="AJ78" s="1398"/>
      <c r="AN78" s="1399"/>
    </row>
    <row r="79" spans="1:40" ht="24">
      <c r="A79" s="1061" t="s">
        <v>1007</v>
      </c>
      <c r="B79" s="2369"/>
      <c r="C79" s="2391" t="s">
        <v>1009</v>
      </c>
      <c r="D79" s="2392" t="s">
        <v>1010</v>
      </c>
      <c r="E79" s="2393" t="s">
        <v>1012</v>
      </c>
      <c r="F79" s="2394" t="s">
        <v>2252</v>
      </c>
      <c r="G79" s="2392" t="s">
        <v>1013</v>
      </c>
      <c r="H79" s="2375" t="s">
        <v>2417</v>
      </c>
      <c r="I79" s="2392" t="s">
        <v>1011</v>
      </c>
      <c r="J79" s="2395" t="s">
        <v>1014</v>
      </c>
      <c r="K79" s="2395" t="s">
        <v>1015</v>
      </c>
      <c r="L79" s="2395" t="s">
        <v>1016</v>
      </c>
      <c r="M79" s="2395" t="s">
        <v>1017</v>
      </c>
      <c r="N79" s="2395" t="s">
        <v>1018</v>
      </c>
      <c r="AC79" s="1400"/>
      <c r="AD79" s="1399"/>
      <c r="AJ79" s="1398"/>
      <c r="AN79" s="1399"/>
    </row>
    <row r="80" spans="1:40" ht="36">
      <c r="A80" s="1061" t="s">
        <v>1036</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0"/>
      <c r="AD80" s="1399"/>
      <c r="AJ80" s="1398"/>
      <c r="AN80" s="1399"/>
    </row>
    <row r="81" spans="1:40" ht="48">
      <c r="A81" s="1061" t="s">
        <v>1032</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0"/>
      <c r="AD81" s="1399"/>
      <c r="AJ81" s="1398"/>
      <c r="AN81" s="1399"/>
    </row>
    <row r="82" spans="1:40" ht="24">
      <c r="A82" s="1061" t="s">
        <v>1021</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0"/>
      <c r="AD82" s="1399"/>
      <c r="AJ82" s="1398"/>
      <c r="AN82" s="1399"/>
    </row>
    <row r="83" spans="1:40" ht="14.25">
      <c r="A83" s="1061" t="s">
        <v>1033</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0"/>
      <c r="AD83" s="1399"/>
      <c r="AJ83" s="1398"/>
      <c r="AN83" s="1399"/>
    </row>
    <row r="84" spans="1:40" ht="24">
      <c r="A84" s="1061" t="s">
        <v>1025</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0"/>
      <c r="AD84" s="1399"/>
      <c r="AJ84" s="1398"/>
      <c r="AN84" s="1399"/>
    </row>
    <row r="85" spans="1:40" ht="24">
      <c r="A85" s="1061" t="s">
        <v>1026</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0"/>
      <c r="AD85" s="1399"/>
      <c r="AJ85" s="1398"/>
      <c r="AN85" s="1399"/>
    </row>
    <row r="86" spans="1:40" ht="24">
      <c r="A86" s="1061" t="s">
        <v>1024</v>
      </c>
      <c r="B86" s="3043" t="s">
        <v>2931</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0"/>
      <c r="AD86" s="1399"/>
      <c r="AJ86" s="1398"/>
      <c r="AN86" s="1399"/>
    </row>
    <row r="87" spans="1:40" ht="36.75" thickBot="1">
      <c r="A87" s="2402" t="s">
        <v>1037</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0"/>
      <c r="AD87" s="1399"/>
      <c r="AJ87" s="1398"/>
      <c r="AN87" s="1399"/>
    </row>
    <row r="90" spans="1:40">
      <c r="A90" s="3478" t="s">
        <v>1632</v>
      </c>
      <c r="B90" s="3478"/>
      <c r="C90" s="3478"/>
      <c r="D90" s="3478"/>
      <c r="E90" s="3478"/>
      <c r="F90" s="3478"/>
      <c r="G90" s="3478"/>
      <c r="H90" s="3478"/>
      <c r="I90" s="3478"/>
      <c r="J90" s="3478"/>
      <c r="K90" s="2411"/>
      <c r="L90" s="2411"/>
      <c r="M90" s="2411"/>
      <c r="N90" s="2411"/>
    </row>
    <row r="91" spans="1:40">
      <c r="A91" s="3479" t="s">
        <v>1442</v>
      </c>
      <c r="B91" s="3479" t="s">
        <v>1633</v>
      </c>
      <c r="C91" s="1134" t="s">
        <v>1634</v>
      </c>
      <c r="D91" s="1135"/>
      <c r="E91" s="1135"/>
      <c r="F91" s="1135"/>
      <c r="G91" s="1135"/>
      <c r="H91" s="1135"/>
      <c r="I91" s="1135"/>
      <c r="J91" s="1136"/>
      <c r="K91" s="1128"/>
      <c r="L91" s="1128"/>
      <c r="M91" s="1128"/>
      <c r="N91" s="1128"/>
    </row>
    <row r="92" spans="1:40">
      <c r="A92" s="3479"/>
      <c r="B92" s="3479"/>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65"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6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6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6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6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6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66"/>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6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65" t="s">
        <v>1636</v>
      </c>
      <c r="B101" s="1141" t="s">
        <v>905</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66"/>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66"/>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66"/>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66"/>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66"/>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66"/>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66"/>
      <c r="B108" s="3468"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67"/>
      <c r="B109" s="3469"/>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72" t="s">
        <v>1638</v>
      </c>
      <c r="B110" s="3472"/>
      <c r="C110" s="3472"/>
      <c r="D110" s="3472"/>
      <c r="E110" s="3472"/>
      <c r="F110" s="3472"/>
      <c r="G110" s="3472"/>
      <c r="H110" s="3472"/>
      <c r="I110" s="3472"/>
      <c r="J110" s="3472"/>
      <c r="K110" s="2409"/>
      <c r="L110" s="2409"/>
      <c r="M110" s="2409"/>
      <c r="N110" s="2409"/>
    </row>
    <row r="112" spans="1:14" ht="12.75" thickBot="1"/>
    <row r="113" spans="1:13" ht="25.5" thickBot="1">
      <c r="A113" s="1014" t="s">
        <v>895</v>
      </c>
      <c r="B113" s="2412">
        <f>G3</f>
        <v>0</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900</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901</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902</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479" t="s">
        <v>1006</v>
      </c>
      <c r="B18" s="1148" t="s">
        <v>1445</v>
      </c>
      <c r="C18" s="1125" t="s">
        <v>1446</v>
      </c>
      <c r="D18" s="1126"/>
      <c r="E18" s="1148">
        <v>1</v>
      </c>
      <c r="F18" s="1127" t="s">
        <v>1447</v>
      </c>
      <c r="G18" s="1128"/>
      <c r="H18" s="1099"/>
      <c r="I18" s="1099"/>
    </row>
    <row r="19" spans="1:9" s="1583" customFormat="1" ht="19.5" customHeight="1">
      <c r="A19" s="3479"/>
      <c r="B19" s="3479" t="s">
        <v>1448</v>
      </c>
      <c r="C19" s="1125" t="s">
        <v>1449</v>
      </c>
      <c r="D19" s="1126"/>
      <c r="E19" s="1148">
        <v>0.9</v>
      </c>
      <c r="F19" s="1127" t="s">
        <v>1450</v>
      </c>
      <c r="G19" s="1128"/>
      <c r="H19" s="1099"/>
      <c r="I19" s="1099"/>
    </row>
    <row r="20" spans="1:9" s="1583" customFormat="1" ht="19.5" customHeight="1">
      <c r="A20" s="3479"/>
      <c r="B20" s="3479"/>
      <c r="C20" s="1125" t="s">
        <v>1451</v>
      </c>
      <c r="D20" s="1126"/>
      <c r="E20" s="1148">
        <v>1.1000000000000001</v>
      </c>
      <c r="F20" s="1127" t="s">
        <v>1452</v>
      </c>
      <c r="G20" s="1128"/>
      <c r="H20" s="1099"/>
      <c r="I20" s="1099"/>
    </row>
    <row r="21" spans="1:9" s="1583" customFormat="1" ht="19.5" customHeight="1">
      <c r="A21" s="3479"/>
      <c r="B21" s="3479"/>
      <c r="C21" s="1125" t="s">
        <v>1453</v>
      </c>
      <c r="D21" s="1126"/>
      <c r="E21" s="1148">
        <v>0.8</v>
      </c>
      <c r="F21" s="1127" t="s">
        <v>1454</v>
      </c>
      <c r="G21" s="1128"/>
      <c r="H21" s="1099"/>
      <c r="I21" s="1099"/>
    </row>
    <row r="22" spans="1:9" s="1583" customFormat="1" ht="19.5" customHeight="1">
      <c r="A22" s="3479"/>
      <c r="B22" s="3479"/>
      <c r="C22" s="1125" t="s">
        <v>1455</v>
      </c>
      <c r="D22" s="1126"/>
      <c r="E22" s="1148">
        <v>0.5</v>
      </c>
      <c r="F22" s="1127"/>
      <c r="G22" s="1128"/>
      <c r="H22" s="1099"/>
      <c r="I22" s="1099"/>
    </row>
    <row r="23" spans="1:9" s="1583" customFormat="1" ht="19.5" customHeight="1">
      <c r="A23" s="3479" t="s">
        <v>1028</v>
      </c>
      <c r="B23" s="1148" t="s">
        <v>1445</v>
      </c>
      <c r="C23" s="1125" t="s">
        <v>1456</v>
      </c>
      <c r="D23" s="1126"/>
      <c r="E23" s="1148">
        <v>1</v>
      </c>
      <c r="F23" s="1127" t="s">
        <v>1457</v>
      </c>
      <c r="G23" s="1128"/>
      <c r="H23" s="1099"/>
      <c r="I23" s="1099"/>
    </row>
    <row r="24" spans="1:9" s="1583" customFormat="1" ht="19.5" customHeight="1">
      <c r="A24" s="3479"/>
      <c r="B24" s="3479" t="s">
        <v>1448</v>
      </c>
      <c r="C24" s="1125" t="s">
        <v>1458</v>
      </c>
      <c r="D24" s="1126"/>
      <c r="E24" s="1148">
        <v>0.5</v>
      </c>
      <c r="F24" s="1127"/>
      <c r="G24" s="1128"/>
      <c r="H24" s="1099"/>
      <c r="I24" s="1099"/>
    </row>
    <row r="25" spans="1:9" s="1583" customFormat="1" ht="19.5" customHeight="1">
      <c r="A25" s="3479"/>
      <c r="B25" s="3479"/>
      <c r="C25" s="1125" t="s">
        <v>1459</v>
      </c>
      <c r="D25" s="1126"/>
      <c r="E25" s="1148">
        <v>1.1000000000000001</v>
      </c>
      <c r="F25" s="1127"/>
      <c r="G25" s="1128"/>
      <c r="H25" s="1099"/>
      <c r="I25" s="1099"/>
    </row>
    <row r="26" spans="1:9" s="1583" customFormat="1" ht="19.5" customHeight="1">
      <c r="A26" s="3479"/>
      <c r="B26" s="3479"/>
      <c r="C26" s="1125" t="s">
        <v>1460</v>
      </c>
      <c r="D26" s="1126"/>
      <c r="E26" s="1148">
        <v>1.1000000000000001</v>
      </c>
      <c r="F26" s="1127"/>
      <c r="G26" s="1128"/>
      <c r="H26" s="1099"/>
      <c r="I26" s="1099"/>
    </row>
    <row r="27" spans="1:9" s="1583" customFormat="1" ht="19.5" customHeight="1">
      <c r="A27" s="3479"/>
      <c r="B27" s="3479"/>
      <c r="C27" s="1125" t="s">
        <v>1461</v>
      </c>
      <c r="D27" s="1126"/>
      <c r="E27" s="1148">
        <v>0.9</v>
      </c>
      <c r="F27" s="1127" t="s">
        <v>1462</v>
      </c>
      <c r="G27" s="1128"/>
      <c r="H27" s="1099"/>
      <c r="I27" s="1099"/>
    </row>
    <row r="28" spans="1:9" s="1583" customFormat="1" ht="19.5" customHeight="1">
      <c r="A28" s="3479"/>
      <c r="B28" s="3479"/>
      <c r="C28" s="1125" t="s">
        <v>1463</v>
      </c>
      <c r="D28" s="1126"/>
      <c r="E28" s="1148">
        <v>0.9</v>
      </c>
      <c r="F28" s="1127" t="s">
        <v>1464</v>
      </c>
      <c r="G28" s="1128"/>
      <c r="H28" s="1099"/>
      <c r="I28" s="1099"/>
    </row>
    <row r="29" spans="1:9" s="1583" customFormat="1" ht="19.5" customHeight="1">
      <c r="A29" s="3479"/>
      <c r="B29" s="3479"/>
      <c r="C29" s="1125" t="s">
        <v>1465</v>
      </c>
      <c r="D29" s="1126"/>
      <c r="E29" s="1148">
        <v>0.9</v>
      </c>
      <c r="F29" s="1127" t="s">
        <v>1466</v>
      </c>
      <c r="G29" s="1128"/>
      <c r="H29" s="1099"/>
      <c r="I29" s="1099"/>
    </row>
    <row r="30" spans="1:9" s="1583" customFormat="1" ht="19.5" customHeight="1">
      <c r="A30" s="3479"/>
      <c r="B30" s="3479"/>
      <c r="C30" s="1125" t="s">
        <v>1467</v>
      </c>
      <c r="D30" s="1126"/>
      <c r="E30" s="1148">
        <v>0.9</v>
      </c>
      <c r="F30" s="1127" t="s">
        <v>1468</v>
      </c>
      <c r="G30" s="1128"/>
      <c r="H30" s="1099"/>
      <c r="I30" s="1099"/>
    </row>
    <row r="31" spans="1:9" s="1583" customFormat="1" ht="19.5" customHeight="1">
      <c r="A31" s="3479"/>
      <c r="B31" s="3479"/>
      <c r="C31" s="1125" t="s">
        <v>1469</v>
      </c>
      <c r="D31" s="1126"/>
      <c r="E31" s="1148">
        <v>0.8</v>
      </c>
      <c r="F31" s="1127" t="s">
        <v>1470</v>
      </c>
      <c r="G31" s="1128"/>
      <c r="H31" s="1099"/>
      <c r="I31" s="1099"/>
    </row>
    <row r="32" spans="1:9" s="1583" customFormat="1" ht="19.5" customHeight="1">
      <c r="A32" s="3479"/>
      <c r="B32" s="3479"/>
      <c r="C32" s="1125" t="s">
        <v>1471</v>
      </c>
      <c r="D32" s="1126"/>
      <c r="E32" s="1148">
        <v>0.8</v>
      </c>
      <c r="F32" s="1127" t="s">
        <v>1472</v>
      </c>
      <c r="G32" s="1128"/>
      <c r="H32" s="1099"/>
      <c r="I32" s="1099"/>
    </row>
    <row r="33" spans="1:9" s="1583" customFormat="1" ht="19.5" customHeight="1">
      <c r="A33" s="3479" t="s">
        <v>1473</v>
      </c>
      <c r="B33" s="1148" t="s">
        <v>1445</v>
      </c>
      <c r="C33" s="1125" t="s">
        <v>1474</v>
      </c>
      <c r="D33" s="1126"/>
      <c r="E33" s="1148">
        <v>1</v>
      </c>
      <c r="F33" s="1127" t="s">
        <v>1475</v>
      </c>
      <c r="G33" s="1128"/>
      <c r="H33" s="1099"/>
      <c r="I33" s="1099"/>
    </row>
    <row r="34" spans="1:9" s="1583" customFormat="1" ht="19.5" customHeight="1">
      <c r="A34" s="3479"/>
      <c r="B34" s="1148" t="s">
        <v>1448</v>
      </c>
      <c r="C34" s="1125" t="s">
        <v>1476</v>
      </c>
      <c r="D34" s="1126"/>
      <c r="E34" s="1148">
        <v>1.5</v>
      </c>
      <c r="F34" s="1127" t="s">
        <v>1477</v>
      </c>
      <c r="G34" s="1128"/>
      <c r="H34" s="1099"/>
      <c r="I34" s="1099"/>
    </row>
    <row r="35" spans="1:9" s="1583" customFormat="1" ht="19.5" customHeight="1">
      <c r="A35" s="3479" t="s">
        <v>1431</v>
      </c>
      <c r="B35" s="1148" t="s">
        <v>1445</v>
      </c>
      <c r="C35" s="1125" t="s">
        <v>1478</v>
      </c>
      <c r="D35" s="1126"/>
      <c r="E35" s="1148">
        <v>1</v>
      </c>
      <c r="F35" s="1127" t="s">
        <v>1479</v>
      </c>
      <c r="G35" s="1128"/>
      <c r="H35" s="1099"/>
      <c r="I35" s="1099"/>
    </row>
    <row r="36" spans="1:9" s="1583" customFormat="1" ht="19.5" customHeight="1">
      <c r="A36" s="3479"/>
      <c r="B36" s="3479" t="s">
        <v>1448</v>
      </c>
      <c r="C36" s="1125" t="s">
        <v>1480</v>
      </c>
      <c r="D36" s="1126"/>
      <c r="E36" s="1148">
        <v>1</v>
      </c>
      <c r="F36" s="1127" t="s">
        <v>1481</v>
      </c>
      <c r="G36" s="1128"/>
      <c r="H36" s="1099"/>
      <c r="I36" s="1099"/>
    </row>
    <row r="37" spans="1:9" s="1583" customFormat="1" ht="19.5" customHeight="1">
      <c r="A37" s="3479"/>
      <c r="B37" s="3479"/>
      <c r="C37" s="1125" t="s">
        <v>1482</v>
      </c>
      <c r="D37" s="1126"/>
      <c r="E37" s="1148">
        <v>1.5</v>
      </c>
      <c r="F37" s="1127" t="s">
        <v>1483</v>
      </c>
      <c r="G37" s="1128"/>
      <c r="H37" s="1099"/>
      <c r="I37" s="1099"/>
    </row>
    <row r="38" spans="1:9" s="1583" customFormat="1" ht="19.5" customHeight="1">
      <c r="A38" s="3479"/>
      <c r="B38" s="3479"/>
      <c r="C38" s="1125" t="s">
        <v>1484</v>
      </c>
      <c r="D38" s="1126"/>
      <c r="E38" s="1148">
        <v>1</v>
      </c>
      <c r="F38" s="1127" t="s">
        <v>1485</v>
      </c>
      <c r="G38" s="1128"/>
      <c r="H38" s="1099"/>
      <c r="I38" s="1099"/>
    </row>
    <row r="39" spans="1:9" s="1583" customFormat="1" ht="19.5" customHeight="1">
      <c r="A39" s="3479"/>
      <c r="B39" s="3479"/>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79" t="s">
        <v>1500</v>
      </c>
      <c r="C61" s="1062" t="s">
        <v>1501</v>
      </c>
      <c r="D61" s="1062" t="s">
        <v>1502</v>
      </c>
      <c r="E61" s="1133">
        <v>0.5</v>
      </c>
      <c r="F61" s="1148">
        <v>80</v>
      </c>
      <c r="H61" s="1099">
        <f>SUMIF(C59:C119,基准地价!C8,E59:E119)</f>
        <v>0</v>
      </c>
    </row>
    <row r="62" spans="1:8" s="1099" customFormat="1" ht="24">
      <c r="A62" s="1148">
        <v>2</v>
      </c>
      <c r="B62" s="3479"/>
      <c r="C62" s="1062" t="s">
        <v>1503</v>
      </c>
      <c r="D62" s="1062" t="s">
        <v>1504</v>
      </c>
      <c r="E62" s="1133">
        <v>0.5</v>
      </c>
      <c r="F62" s="1148">
        <v>80</v>
      </c>
    </row>
    <row r="63" spans="1:8" s="1099" customFormat="1" ht="36">
      <c r="A63" s="1148">
        <v>3</v>
      </c>
      <c r="B63" s="3479"/>
      <c r="C63" s="1062" t="s">
        <v>1505</v>
      </c>
      <c r="D63" s="1062" t="s">
        <v>1506</v>
      </c>
      <c r="E63" s="1133">
        <v>0.5</v>
      </c>
      <c r="F63" s="1148">
        <v>80</v>
      </c>
    </row>
    <row r="64" spans="1:8" s="1099" customFormat="1" ht="36">
      <c r="A64" s="1148">
        <v>4</v>
      </c>
      <c r="B64" s="3479"/>
      <c r="C64" s="1062" t="s">
        <v>1507</v>
      </c>
      <c r="D64" s="1062" t="s">
        <v>1508</v>
      </c>
      <c r="E64" s="1133">
        <v>0.4</v>
      </c>
      <c r="F64" s="1148">
        <v>60</v>
      </c>
    </row>
    <row r="65" spans="1:6" s="1099" customFormat="1" ht="36">
      <c r="A65" s="1148">
        <v>5</v>
      </c>
      <c r="B65" s="3479"/>
      <c r="C65" s="1062" t="s">
        <v>1509</v>
      </c>
      <c r="D65" s="1062" t="s">
        <v>1510</v>
      </c>
      <c r="E65" s="1133">
        <v>0.2</v>
      </c>
      <c r="F65" s="1148">
        <v>30</v>
      </c>
    </row>
    <row r="66" spans="1:6" s="1099" customFormat="1" ht="36">
      <c r="A66" s="1148">
        <v>6</v>
      </c>
      <c r="B66" s="3479"/>
      <c r="C66" s="1062" t="s">
        <v>1511</v>
      </c>
      <c r="D66" s="1062" t="s">
        <v>1512</v>
      </c>
      <c r="E66" s="1133">
        <v>0.3</v>
      </c>
      <c r="F66" s="1148">
        <v>50</v>
      </c>
    </row>
    <row r="67" spans="1:6" s="1099" customFormat="1" ht="36">
      <c r="A67" s="1148">
        <v>7</v>
      </c>
      <c r="B67" s="3479"/>
      <c r="C67" s="1062" t="s">
        <v>1513</v>
      </c>
      <c r="D67" s="1062" t="s">
        <v>1514</v>
      </c>
      <c r="E67" s="1133">
        <v>0.2</v>
      </c>
      <c r="F67" s="1148">
        <v>30</v>
      </c>
    </row>
    <row r="68" spans="1:6" s="1099" customFormat="1" ht="36">
      <c r="A68" s="1148">
        <v>8</v>
      </c>
      <c r="B68" s="3479"/>
      <c r="C68" s="1062" t="s">
        <v>1515</v>
      </c>
      <c r="D68" s="1062" t="s">
        <v>1516</v>
      </c>
      <c r="E68" s="1133">
        <v>0.2</v>
      </c>
      <c r="F68" s="1148">
        <v>30</v>
      </c>
    </row>
    <row r="69" spans="1:6" s="1099" customFormat="1" ht="36">
      <c r="A69" s="1148">
        <v>9</v>
      </c>
      <c r="B69" s="3479"/>
      <c r="C69" s="1062" t="s">
        <v>1517</v>
      </c>
      <c r="D69" s="1062" t="s">
        <v>1518</v>
      </c>
      <c r="E69" s="1133">
        <v>0.2</v>
      </c>
      <c r="F69" s="1148">
        <v>30</v>
      </c>
    </row>
    <row r="70" spans="1:6" s="1099" customFormat="1" ht="48">
      <c r="A70" s="1148">
        <v>10</v>
      </c>
      <c r="B70" s="3479"/>
      <c r="C70" s="1062" t="s">
        <v>1519</v>
      </c>
      <c r="D70" s="1062" t="s">
        <v>1520</v>
      </c>
      <c r="E70" s="1133">
        <v>0.2</v>
      </c>
      <c r="F70" s="1148">
        <v>30</v>
      </c>
    </row>
    <row r="71" spans="1:6" s="1099" customFormat="1" ht="48">
      <c r="A71" s="1148">
        <v>11</v>
      </c>
      <c r="B71" s="3479"/>
      <c r="C71" s="1062" t="s">
        <v>1521</v>
      </c>
      <c r="D71" s="1062" t="s">
        <v>1522</v>
      </c>
      <c r="E71" s="1133">
        <v>0.2</v>
      </c>
      <c r="F71" s="1148">
        <v>30</v>
      </c>
    </row>
    <row r="72" spans="1:6" s="1099" customFormat="1" ht="36">
      <c r="A72" s="1148">
        <v>12</v>
      </c>
      <c r="B72" s="3479"/>
      <c r="C72" s="1062" t="s">
        <v>1523</v>
      </c>
      <c r="D72" s="1062" t="s">
        <v>1524</v>
      </c>
      <c r="E72" s="1133">
        <v>0.5</v>
      </c>
      <c r="F72" s="1148">
        <v>80</v>
      </c>
    </row>
    <row r="73" spans="1:6" s="1099" customFormat="1" ht="24">
      <c r="A73" s="1148">
        <v>13</v>
      </c>
      <c r="B73" s="3479"/>
      <c r="C73" s="1062" t="s">
        <v>1525</v>
      </c>
      <c r="D73" s="1062" t="s">
        <v>1526</v>
      </c>
      <c r="E73" s="1133">
        <v>0.4</v>
      </c>
      <c r="F73" s="1148">
        <v>60</v>
      </c>
    </row>
    <row r="74" spans="1:6" s="1099" customFormat="1" ht="24">
      <c r="A74" s="1148">
        <v>14</v>
      </c>
      <c r="B74" s="3479"/>
      <c r="C74" s="1062" t="s">
        <v>1527</v>
      </c>
      <c r="D74" s="1062" t="s">
        <v>1528</v>
      </c>
      <c r="E74" s="1133">
        <v>0.2</v>
      </c>
      <c r="F74" s="1148">
        <v>30</v>
      </c>
    </row>
    <row r="75" spans="1:6" s="1099" customFormat="1" ht="24">
      <c r="A75" s="1148">
        <v>15</v>
      </c>
      <c r="B75" s="3479"/>
      <c r="C75" s="1062" t="s">
        <v>1529</v>
      </c>
      <c r="D75" s="1062" t="s">
        <v>1530</v>
      </c>
      <c r="E75" s="1133">
        <v>0.2</v>
      </c>
      <c r="F75" s="1148">
        <v>30</v>
      </c>
    </row>
    <row r="76" spans="1:6" s="1099" customFormat="1" ht="24">
      <c r="A76" s="1148">
        <v>16</v>
      </c>
      <c r="B76" s="3479" t="s">
        <v>1531</v>
      </c>
      <c r="C76" s="1062" t="s">
        <v>1532</v>
      </c>
      <c r="D76" s="1062" t="s">
        <v>1533</v>
      </c>
      <c r="E76" s="1133">
        <v>0.5</v>
      </c>
      <c r="F76" s="1148">
        <v>80</v>
      </c>
    </row>
    <row r="77" spans="1:6" s="1099" customFormat="1" ht="24">
      <c r="A77" s="1148">
        <v>17</v>
      </c>
      <c r="B77" s="3479"/>
      <c r="C77" s="1062" t="s">
        <v>1534</v>
      </c>
      <c r="D77" s="1062" t="s">
        <v>1535</v>
      </c>
      <c r="E77" s="1133">
        <v>0.5</v>
      </c>
      <c r="F77" s="1148">
        <v>80</v>
      </c>
    </row>
    <row r="78" spans="1:6" s="1099" customFormat="1" ht="24">
      <c r="A78" s="1148">
        <v>18</v>
      </c>
      <c r="B78" s="3479"/>
      <c r="C78" s="1062" t="s">
        <v>1536</v>
      </c>
      <c r="D78" s="1062" t="s">
        <v>1537</v>
      </c>
      <c r="E78" s="1133">
        <v>0.2</v>
      </c>
      <c r="F78" s="1148">
        <v>30</v>
      </c>
    </row>
    <row r="79" spans="1:6" s="1099" customFormat="1" ht="24">
      <c r="A79" s="1148">
        <v>19</v>
      </c>
      <c r="B79" s="3479"/>
      <c r="C79" s="1062" t="s">
        <v>1538</v>
      </c>
      <c r="D79" s="1062" t="s">
        <v>1539</v>
      </c>
      <c r="E79" s="1133">
        <v>0.5</v>
      </c>
      <c r="F79" s="1148">
        <v>80</v>
      </c>
    </row>
    <row r="80" spans="1:6" s="1099" customFormat="1" ht="36">
      <c r="A80" s="1148">
        <v>20</v>
      </c>
      <c r="B80" s="3479"/>
      <c r="C80" s="1062" t="s">
        <v>1540</v>
      </c>
      <c r="D80" s="1062" t="s">
        <v>1541</v>
      </c>
      <c r="E80" s="1133">
        <v>0.2</v>
      </c>
      <c r="F80" s="1148">
        <v>30</v>
      </c>
    </row>
    <row r="81" spans="1:6" s="1099" customFormat="1" ht="36">
      <c r="A81" s="1148">
        <v>21</v>
      </c>
      <c r="B81" s="3479"/>
      <c r="C81" s="1062" t="s">
        <v>1542</v>
      </c>
      <c r="D81" s="1062" t="s">
        <v>1543</v>
      </c>
      <c r="E81" s="1133">
        <v>0.2</v>
      </c>
      <c r="F81" s="1148">
        <v>30</v>
      </c>
    </row>
    <row r="82" spans="1:6" s="1099" customFormat="1" ht="48">
      <c r="A82" s="1148">
        <v>22</v>
      </c>
      <c r="B82" s="3479"/>
      <c r="C82" s="1062" t="s">
        <v>1544</v>
      </c>
      <c r="D82" s="1062" t="s">
        <v>1545</v>
      </c>
      <c r="E82" s="1133">
        <v>0.2</v>
      </c>
      <c r="F82" s="1148">
        <v>30</v>
      </c>
    </row>
    <row r="83" spans="1:6" s="1099" customFormat="1" ht="48">
      <c r="A83" s="1148">
        <v>23</v>
      </c>
      <c r="B83" s="3479"/>
      <c r="C83" s="1062" t="s">
        <v>1546</v>
      </c>
      <c r="D83" s="1062" t="s">
        <v>1547</v>
      </c>
      <c r="E83" s="1133">
        <v>0.2</v>
      </c>
      <c r="F83" s="1148">
        <v>30</v>
      </c>
    </row>
    <row r="84" spans="1:6" s="1099" customFormat="1" ht="36">
      <c r="A84" s="1148">
        <v>24</v>
      </c>
      <c r="B84" s="3479"/>
      <c r="C84" s="1062" t="s">
        <v>1548</v>
      </c>
      <c r="D84" s="1062" t="s">
        <v>1549</v>
      </c>
      <c r="E84" s="1133">
        <v>0.2</v>
      </c>
      <c r="F84" s="1148">
        <v>30</v>
      </c>
    </row>
    <row r="85" spans="1:6" s="1099" customFormat="1" ht="36">
      <c r="A85" s="1148">
        <v>25</v>
      </c>
      <c r="B85" s="3479"/>
      <c r="C85" s="1062" t="s">
        <v>1550</v>
      </c>
      <c r="D85" s="1062" t="s">
        <v>1551</v>
      </c>
      <c r="E85" s="1133">
        <v>0.5</v>
      </c>
      <c r="F85" s="1148">
        <v>80</v>
      </c>
    </row>
    <row r="86" spans="1:6" s="1099" customFormat="1" ht="36">
      <c r="A86" s="1148">
        <v>26</v>
      </c>
      <c r="B86" s="3479"/>
      <c r="C86" s="1062" t="s">
        <v>1552</v>
      </c>
      <c r="D86" s="1062" t="s">
        <v>1553</v>
      </c>
      <c r="E86" s="1133">
        <v>0.2</v>
      </c>
      <c r="F86" s="1148">
        <v>30</v>
      </c>
    </row>
    <row r="87" spans="1:6" s="1099" customFormat="1" ht="36">
      <c r="A87" s="1148">
        <v>27</v>
      </c>
      <c r="B87" s="3479"/>
      <c r="C87" s="1062" t="s">
        <v>1554</v>
      </c>
      <c r="D87" s="1062" t="s">
        <v>1555</v>
      </c>
      <c r="E87" s="1133">
        <v>0.2</v>
      </c>
      <c r="F87" s="1148">
        <v>30</v>
      </c>
    </row>
    <row r="88" spans="1:6" s="1099" customFormat="1" ht="36">
      <c r="A88" s="1148">
        <v>28</v>
      </c>
      <c r="B88" s="3479"/>
      <c r="C88" s="1062" t="s">
        <v>1556</v>
      </c>
      <c r="D88" s="1062" t="s">
        <v>1557</v>
      </c>
      <c r="E88" s="1133">
        <v>0.2</v>
      </c>
      <c r="F88" s="1148">
        <v>30</v>
      </c>
    </row>
    <row r="89" spans="1:6" s="1099" customFormat="1" ht="24">
      <c r="A89" s="1148">
        <v>29</v>
      </c>
      <c r="B89" s="3479"/>
      <c r="C89" s="1062" t="s">
        <v>1558</v>
      </c>
      <c r="D89" s="1062" t="s">
        <v>1559</v>
      </c>
      <c r="E89" s="1133">
        <v>0.2</v>
      </c>
      <c r="F89" s="1148">
        <v>30</v>
      </c>
    </row>
    <row r="90" spans="1:6" s="1099" customFormat="1" ht="24">
      <c r="A90" s="1148">
        <v>30</v>
      </c>
      <c r="B90" s="3479"/>
      <c r="C90" s="1062" t="s">
        <v>1560</v>
      </c>
      <c r="D90" s="1062" t="s">
        <v>1561</v>
      </c>
      <c r="E90" s="1133">
        <v>0.2</v>
      </c>
      <c r="F90" s="1148">
        <v>30</v>
      </c>
    </row>
    <row r="91" spans="1:6" s="1099" customFormat="1" ht="36">
      <c r="A91" s="1148">
        <v>31</v>
      </c>
      <c r="B91" s="3479"/>
      <c r="C91" s="1062" t="s">
        <v>1562</v>
      </c>
      <c r="D91" s="1062" t="s">
        <v>1563</v>
      </c>
      <c r="E91" s="1133">
        <v>0.2</v>
      </c>
      <c r="F91" s="1148">
        <v>30</v>
      </c>
    </row>
    <row r="92" spans="1:6" s="1099" customFormat="1" ht="24">
      <c r="A92" s="1148">
        <v>32</v>
      </c>
      <c r="B92" s="3479" t="s">
        <v>1564</v>
      </c>
      <c r="C92" s="1148" t="s">
        <v>1565</v>
      </c>
      <c r="D92" s="1062" t="s">
        <v>1566</v>
      </c>
      <c r="E92" s="1133">
        <v>0.2</v>
      </c>
      <c r="F92" s="1148">
        <v>30</v>
      </c>
    </row>
    <row r="93" spans="1:6" s="1099" customFormat="1" ht="36">
      <c r="A93" s="1148">
        <v>33</v>
      </c>
      <c r="B93" s="3479"/>
      <c r="C93" s="1148" t="s">
        <v>1567</v>
      </c>
      <c r="D93" s="1062" t="s">
        <v>1568</v>
      </c>
      <c r="E93" s="1133">
        <v>0.2</v>
      </c>
      <c r="F93" s="1148">
        <v>30</v>
      </c>
    </row>
    <row r="94" spans="1:6" s="1099" customFormat="1" ht="48">
      <c r="A94" s="1148">
        <v>34</v>
      </c>
      <c r="B94" s="3479"/>
      <c r="C94" s="1148" t="s">
        <v>1569</v>
      </c>
      <c r="D94" s="1062" t="s">
        <v>1570</v>
      </c>
      <c r="E94" s="1133">
        <v>0.2</v>
      </c>
      <c r="F94" s="1148">
        <v>30</v>
      </c>
    </row>
    <row r="95" spans="1:6" s="1099" customFormat="1" ht="36">
      <c r="A95" s="1148">
        <v>35</v>
      </c>
      <c r="B95" s="3479"/>
      <c r="C95" s="1148" t="s">
        <v>1571</v>
      </c>
      <c r="D95" s="1062" t="s">
        <v>1572</v>
      </c>
      <c r="E95" s="1133">
        <v>0.2</v>
      </c>
      <c r="F95" s="1148">
        <v>30</v>
      </c>
    </row>
    <row r="96" spans="1:6" s="1099" customFormat="1" ht="48">
      <c r="A96" s="1148">
        <v>36</v>
      </c>
      <c r="B96" s="3479"/>
      <c r="C96" s="1062" t="s">
        <v>1573</v>
      </c>
      <c r="D96" s="1062" t="s">
        <v>1574</v>
      </c>
      <c r="E96" s="1133">
        <v>0.2</v>
      </c>
      <c r="F96" s="1148">
        <v>30</v>
      </c>
    </row>
    <row r="97" spans="1:6" s="1099" customFormat="1" ht="36">
      <c r="A97" s="1148">
        <v>37</v>
      </c>
      <c r="B97" s="3479"/>
      <c r="C97" s="1148" t="s">
        <v>1575</v>
      </c>
      <c r="D97" s="1062" t="s">
        <v>1576</v>
      </c>
      <c r="E97" s="1133">
        <v>0.2</v>
      </c>
      <c r="F97" s="1148">
        <v>30</v>
      </c>
    </row>
    <row r="98" spans="1:6" s="1099" customFormat="1" ht="36">
      <c r="A98" s="1148">
        <v>38</v>
      </c>
      <c r="B98" s="3479"/>
      <c r="C98" s="1148" t="s">
        <v>1577</v>
      </c>
      <c r="D98" s="1062" t="s">
        <v>1578</v>
      </c>
      <c r="E98" s="1133">
        <v>0.2</v>
      </c>
      <c r="F98" s="1148">
        <v>30</v>
      </c>
    </row>
    <row r="99" spans="1:6" s="1099" customFormat="1" ht="36">
      <c r="A99" s="1148">
        <v>39</v>
      </c>
      <c r="B99" s="3479" t="s">
        <v>1579</v>
      </c>
      <c r="C99" s="1148" t="s">
        <v>1580</v>
      </c>
      <c r="D99" s="1062" t="s">
        <v>1581</v>
      </c>
      <c r="E99" s="1133">
        <v>0.3</v>
      </c>
      <c r="F99" s="1148">
        <v>50</v>
      </c>
    </row>
    <row r="100" spans="1:6" s="1099" customFormat="1" ht="24">
      <c r="A100" s="1148">
        <v>40</v>
      </c>
      <c r="B100" s="3479"/>
      <c r="C100" s="1148" t="s">
        <v>1582</v>
      </c>
      <c r="D100" s="1062" t="s">
        <v>1583</v>
      </c>
      <c r="E100" s="1133">
        <v>0.2</v>
      </c>
      <c r="F100" s="1148">
        <v>30</v>
      </c>
    </row>
    <row r="101" spans="1:6" s="1099" customFormat="1" ht="36">
      <c r="A101" s="1148">
        <v>41</v>
      </c>
      <c r="B101" s="3479"/>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79" t="s">
        <v>1594</v>
      </c>
      <c r="C105" s="1148" t="s">
        <v>1595</v>
      </c>
      <c r="D105" s="1062" t="s">
        <v>1596</v>
      </c>
      <c r="E105" s="1133">
        <v>0.2</v>
      </c>
      <c r="F105" s="1148">
        <v>30</v>
      </c>
    </row>
    <row r="106" spans="1:6" s="1099" customFormat="1" ht="36">
      <c r="A106" s="1148">
        <v>46</v>
      </c>
      <c r="B106" s="3479"/>
      <c r="C106" s="1148" t="s">
        <v>1597</v>
      </c>
      <c r="D106" s="1062" t="s">
        <v>1598</v>
      </c>
      <c r="E106" s="1133">
        <v>0.2</v>
      </c>
      <c r="F106" s="1148">
        <v>30</v>
      </c>
    </row>
    <row r="107" spans="1:6" s="1099" customFormat="1" ht="36">
      <c r="A107" s="1148">
        <v>47</v>
      </c>
      <c r="B107" s="3479" t="s">
        <v>1599</v>
      </c>
      <c r="C107" s="1148" t="s">
        <v>1600</v>
      </c>
      <c r="D107" s="1062" t="s">
        <v>1601</v>
      </c>
      <c r="E107" s="1133">
        <v>0.3</v>
      </c>
      <c r="F107" s="1148">
        <v>50</v>
      </c>
    </row>
    <row r="108" spans="1:6" s="1099" customFormat="1" ht="36">
      <c r="A108" s="1148">
        <v>48</v>
      </c>
      <c r="B108" s="3479"/>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79" t="s">
        <v>1610</v>
      </c>
      <c r="C111" s="1148" t="s">
        <v>1611</v>
      </c>
      <c r="D111" s="1062" t="s">
        <v>1612</v>
      </c>
      <c r="E111" s="1133">
        <v>0.2</v>
      </c>
      <c r="F111" s="1148">
        <v>30</v>
      </c>
    </row>
    <row r="112" spans="1:6" s="1099" customFormat="1" ht="24">
      <c r="A112" s="1148">
        <v>52</v>
      </c>
      <c r="B112" s="3479"/>
      <c r="C112" s="1148" t="s">
        <v>1613</v>
      </c>
      <c r="D112" s="1062" t="s">
        <v>1614</v>
      </c>
      <c r="E112" s="1133">
        <v>0.2</v>
      </c>
      <c r="F112" s="1148">
        <v>30</v>
      </c>
    </row>
    <row r="113" spans="1:14" s="1099" customFormat="1" ht="24">
      <c r="A113" s="1148">
        <v>53</v>
      </c>
      <c r="B113" s="3479"/>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79" t="s">
        <v>1623</v>
      </c>
      <c r="C116" s="1148" t="s">
        <v>1624</v>
      </c>
      <c r="D116" s="1062" t="s">
        <v>1625</v>
      </c>
      <c r="E116" s="1133">
        <v>0.2</v>
      </c>
      <c r="F116" s="1148">
        <v>30</v>
      </c>
    </row>
    <row r="117" spans="1:14" ht="36">
      <c r="A117" s="1148">
        <v>57</v>
      </c>
      <c r="B117" s="3479"/>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478" t="s">
        <v>1632</v>
      </c>
      <c r="B121" s="3478"/>
      <c r="C121" s="3478"/>
      <c r="D121" s="3478"/>
      <c r="E121" s="3478"/>
      <c r="F121" s="3478"/>
      <c r="G121" s="3478"/>
      <c r="H121" s="3478"/>
      <c r="I121" s="3478"/>
      <c r="J121" s="347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83" t="s">
        <v>1038</v>
      </c>
      <c r="B1" s="3483"/>
      <c r="C1" s="3483"/>
      <c r="D1" s="3483"/>
      <c r="E1" s="3483"/>
      <c r="F1" s="3483"/>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84" t="s">
        <v>1051</v>
      </c>
      <c r="B2" s="3484"/>
      <c r="C2" s="3484"/>
      <c r="D2" s="3484"/>
      <c r="E2" s="3484"/>
      <c r="F2" s="3484"/>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85"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86"/>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87" t="s">
        <v>2078</v>
      </c>
      <c r="B1" s="3487"/>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1095</v>
      </c>
      <c r="B6" s="1841" t="s">
        <v>2087</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2088</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2089</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2090</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2091</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2092</v>
      </c>
      <c r="C72" s="1851"/>
      <c r="D72" s="1851"/>
      <c r="E72" s="1851"/>
      <c r="F72" s="1843">
        <v>0.05</v>
      </c>
    </row>
    <row r="73" spans="1:6" ht="14.25" thickBot="1">
      <c r="A73" s="1837" t="s">
        <v>924</v>
      </c>
      <c r="B73" s="1841" t="s">
        <v>2093</v>
      </c>
      <c r="C73" s="1851"/>
      <c r="D73" s="1851"/>
      <c r="E73" s="1851"/>
      <c r="F73" s="1843">
        <v>0.05</v>
      </c>
    </row>
    <row r="74" spans="1:6" ht="14.25" thickBot="1">
      <c r="A74" s="1837" t="s">
        <v>924</v>
      </c>
      <c r="B74" s="1841" t="s">
        <v>2094</v>
      </c>
      <c r="C74" s="1851"/>
      <c r="D74" s="1851"/>
      <c r="E74" s="1851"/>
      <c r="F74" s="1843">
        <v>0.05</v>
      </c>
    </row>
    <row r="75" spans="1:6" ht="14.25" thickBot="1">
      <c r="A75" s="1845" t="s">
        <v>924</v>
      </c>
      <c r="B75" s="1852" t="s">
        <v>2095</v>
      </c>
      <c r="C75" s="1848"/>
      <c r="D75" s="1848"/>
      <c r="E75" s="1848"/>
      <c r="F75" s="1853">
        <v>0.05</v>
      </c>
    </row>
    <row r="76" spans="1:6" ht="14.25" thickBot="1">
      <c r="A76" s="1837" t="s">
        <v>1406</v>
      </c>
      <c r="B76" s="1838" t="s">
        <v>2096</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2097</v>
      </c>
      <c r="C102" s="1851"/>
      <c r="D102" s="1851"/>
      <c r="E102" s="1851"/>
      <c r="F102" s="1843">
        <v>0.05</v>
      </c>
    </row>
    <row r="103" spans="1:6" ht="24.75" thickBot="1">
      <c r="A103" s="1837" t="s">
        <v>1406</v>
      </c>
      <c r="B103" s="1841" t="s">
        <v>2098</v>
      </c>
      <c r="C103" s="1851"/>
      <c r="D103" s="1851"/>
      <c r="E103" s="1851"/>
      <c r="F103" s="1843">
        <v>0.05</v>
      </c>
    </row>
    <row r="104" spans="1:6" ht="14.25" thickBot="1">
      <c r="A104" s="1837" t="s">
        <v>1406</v>
      </c>
      <c r="B104" s="1841" t="s">
        <v>2099</v>
      </c>
      <c r="C104" s="1851"/>
      <c r="D104" s="1851"/>
      <c r="E104" s="1851"/>
      <c r="F104" s="1843">
        <v>0.05</v>
      </c>
    </row>
    <row r="105" spans="1:6" ht="14.25" thickBot="1">
      <c r="A105" s="1837" t="s">
        <v>1406</v>
      </c>
      <c r="B105" s="1841" t="s">
        <v>2100</v>
      </c>
      <c r="C105" s="1851"/>
      <c r="D105" s="1851"/>
      <c r="E105" s="1851"/>
      <c r="F105" s="1843">
        <v>0.05</v>
      </c>
    </row>
    <row r="106" spans="1:6" ht="14.25" thickBot="1">
      <c r="A106" s="1837" t="s">
        <v>1406</v>
      </c>
      <c r="B106" s="1841" t="s">
        <v>2101</v>
      </c>
      <c r="C106" s="1851"/>
      <c r="D106" s="1851"/>
      <c r="E106" s="1851"/>
      <c r="F106" s="1843">
        <v>0.05</v>
      </c>
    </row>
    <row r="107" spans="1:6" ht="24.75" thickBot="1">
      <c r="A107" s="1837" t="s">
        <v>1406</v>
      </c>
      <c r="B107" s="1841" t="s">
        <v>2102</v>
      </c>
      <c r="C107" s="1851"/>
      <c r="D107" s="1851"/>
      <c r="E107" s="1851"/>
      <c r="F107" s="1843">
        <v>0.05</v>
      </c>
    </row>
    <row r="108" spans="1:6" ht="24.75" thickBot="1">
      <c r="A108" s="1837" t="s">
        <v>1406</v>
      </c>
      <c r="B108" s="1841" t="s">
        <v>2103</v>
      </c>
      <c r="C108" s="1851"/>
      <c r="D108" s="1851"/>
      <c r="E108" s="1851"/>
      <c r="F108" s="1843">
        <v>0.05</v>
      </c>
    </row>
    <row r="109" spans="1:6" ht="24.75" thickBot="1">
      <c r="A109" s="1845" t="s">
        <v>1406</v>
      </c>
      <c r="B109" s="1852" t="s">
        <v>2104</v>
      </c>
      <c r="C109" s="1848"/>
      <c r="D109" s="1848"/>
      <c r="E109" s="1848"/>
      <c r="F109" s="1853">
        <v>0.05</v>
      </c>
    </row>
    <row r="110" spans="1:6" ht="14.25" thickBot="1">
      <c r="A110" s="1837" t="s">
        <v>1408</v>
      </c>
      <c r="B110" s="1838" t="s">
        <v>2105</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2106</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2107</v>
      </c>
      <c r="C138" s="1842">
        <v>0.105</v>
      </c>
      <c r="D138" s="1842">
        <v>0.125</v>
      </c>
      <c r="E138" s="1842">
        <v>0.112</v>
      </c>
      <c r="F138" s="1850"/>
    </row>
    <row r="139" spans="1:6" ht="14.25" thickBot="1">
      <c r="A139" s="1837" t="s">
        <v>1408</v>
      </c>
      <c r="B139" s="1841" t="s">
        <v>2108</v>
      </c>
      <c r="C139" s="1842">
        <v>0.127</v>
      </c>
      <c r="D139" s="1842">
        <v>0.127</v>
      </c>
      <c r="E139" s="1842">
        <v>0.122</v>
      </c>
      <c r="F139" s="1843">
        <v>0.13</v>
      </c>
    </row>
    <row r="140" spans="1:6" ht="14.25" thickBot="1">
      <c r="A140" s="1837" t="s">
        <v>1408</v>
      </c>
      <c r="B140" s="1841" t="s">
        <v>2109</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2110</v>
      </c>
      <c r="C144" s="1855">
        <v>0.126</v>
      </c>
      <c r="D144" s="1855">
        <v>0.126</v>
      </c>
      <c r="E144" s="1855">
        <v>0.121</v>
      </c>
      <c r="F144" s="1850"/>
    </row>
    <row r="145" spans="1:6" ht="14.25" thickBot="1">
      <c r="A145" s="1845" t="s">
        <v>1408</v>
      </c>
      <c r="B145" s="1856" t="s">
        <v>2111</v>
      </c>
      <c r="C145" s="1857"/>
      <c r="D145" s="1857"/>
      <c r="E145" s="1857"/>
      <c r="F145" s="1858">
        <v>0.05</v>
      </c>
    </row>
    <row r="146" spans="1:6" ht="24.75" thickBot="1">
      <c r="A146" s="1859" t="s">
        <v>1408</v>
      </c>
      <c r="B146" s="1844" t="s">
        <v>2112</v>
      </c>
      <c r="C146" s="1851"/>
      <c r="D146" s="1851"/>
      <c r="E146" s="1851"/>
      <c r="F146" s="1860">
        <v>0.05</v>
      </c>
    </row>
    <row r="147" spans="1:6" ht="24.75" thickBot="1">
      <c r="A147" s="1837" t="s">
        <v>1408</v>
      </c>
      <c r="B147" s="1841" t="s">
        <v>2113</v>
      </c>
      <c r="C147" s="1851"/>
      <c r="D147" s="1851"/>
      <c r="E147" s="1851"/>
      <c r="F147" s="1843">
        <v>0.05</v>
      </c>
    </row>
    <row r="148" spans="1:6" ht="24.75" thickBot="1">
      <c r="A148" s="1837" t="s">
        <v>1408</v>
      </c>
      <c r="B148" s="1841" t="s">
        <v>2114</v>
      </c>
      <c r="C148" s="1851"/>
      <c r="D148" s="1851"/>
      <c r="E148" s="1851"/>
      <c r="F148" s="1843">
        <v>0.05</v>
      </c>
    </row>
    <row r="149" spans="1:6" ht="24.75" thickBot="1">
      <c r="A149" s="1837" t="s">
        <v>1408</v>
      </c>
      <c r="B149" s="1841" t="s">
        <v>2115</v>
      </c>
      <c r="C149" s="1851"/>
      <c r="D149" s="1851"/>
      <c r="E149" s="1851"/>
      <c r="F149" s="1843">
        <v>0.05</v>
      </c>
    </row>
    <row r="150" spans="1:6" ht="24.75" thickBot="1">
      <c r="A150" s="1837" t="s">
        <v>1408</v>
      </c>
      <c r="B150" s="1841" t="s">
        <v>2116</v>
      </c>
      <c r="C150" s="1851"/>
      <c r="D150" s="1851"/>
      <c r="E150" s="1851"/>
      <c r="F150" s="1843">
        <v>0.05</v>
      </c>
    </row>
    <row r="151" spans="1:6" ht="24.75" thickBot="1">
      <c r="A151" s="1837" t="s">
        <v>1408</v>
      </c>
      <c r="B151" s="1841" t="s">
        <v>2117</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2118</v>
      </c>
      <c r="C153" s="1851"/>
      <c r="D153" s="1851"/>
      <c r="E153" s="1851"/>
      <c r="F153" s="1843">
        <v>0.05</v>
      </c>
    </row>
    <row r="154" spans="1:6" ht="14.25" thickBot="1">
      <c r="A154" s="1837" t="s">
        <v>1408</v>
      </c>
      <c r="B154" s="1841" t="s">
        <v>2119</v>
      </c>
      <c r="C154" s="1851"/>
      <c r="D154" s="1851"/>
      <c r="E154" s="1851"/>
      <c r="F154" s="1843">
        <v>0.05</v>
      </c>
    </row>
    <row r="155" spans="1:6" ht="24.75" thickBot="1">
      <c r="A155" s="1837" t="s">
        <v>1408</v>
      </c>
      <c r="B155" s="1841" t="s">
        <v>2120</v>
      </c>
      <c r="C155" s="1851"/>
      <c r="D155" s="1851"/>
      <c r="E155" s="1851"/>
      <c r="F155" s="1843">
        <v>0.05</v>
      </c>
    </row>
    <row r="156" spans="1:6" ht="24.75" thickBot="1">
      <c r="A156" s="1837" t="s">
        <v>1408</v>
      </c>
      <c r="B156" s="1841" t="s">
        <v>2121</v>
      </c>
      <c r="C156" s="1851"/>
      <c r="D156" s="1851"/>
      <c r="E156" s="1851"/>
      <c r="F156" s="1843">
        <v>0.05</v>
      </c>
    </row>
    <row r="157" spans="1:6" ht="14.25" thickBot="1">
      <c r="A157" s="1845" t="s">
        <v>1408</v>
      </c>
      <c r="B157" s="1852" t="s">
        <v>2122</v>
      </c>
      <c r="C157" s="1848"/>
      <c r="D157" s="1848"/>
      <c r="E157" s="1848"/>
      <c r="F157" s="1853">
        <v>0.05</v>
      </c>
    </row>
    <row r="158" spans="1:6" ht="14.25" thickBot="1">
      <c r="A158" s="1837" t="s">
        <v>1410</v>
      </c>
      <c r="B158" s="1838" t="s">
        <v>2123</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2124</v>
      </c>
      <c r="C171" s="1842">
        <v>0.127</v>
      </c>
      <c r="D171" s="1842">
        <v>0.126</v>
      </c>
      <c r="E171" s="1842">
        <v>0.126</v>
      </c>
      <c r="F171" s="1843">
        <v>0.11799999999999999</v>
      </c>
    </row>
    <row r="172" spans="1:6" ht="14.25" thickBot="1">
      <c r="A172" s="1837" t="s">
        <v>1410</v>
      </c>
      <c r="B172" s="1841" t="s">
        <v>2125</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2126</v>
      </c>
      <c r="C174" s="1842">
        <v>0.13</v>
      </c>
      <c r="D174" s="1842">
        <v>0.13</v>
      </c>
      <c r="E174" s="1842">
        <v>0.13</v>
      </c>
      <c r="F174" s="1843">
        <v>0.13</v>
      </c>
    </row>
    <row r="175" spans="1:6" ht="14.25" thickBot="1">
      <c r="A175" s="1837" t="s">
        <v>1410</v>
      </c>
      <c r="B175" s="1841" t="s">
        <v>2127</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2128</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2129</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2130</v>
      </c>
      <c r="C185" s="1842">
        <v>0.127</v>
      </c>
      <c r="D185" s="1842">
        <v>0.127</v>
      </c>
      <c r="E185" s="1842">
        <v>0.128</v>
      </c>
      <c r="F185" s="1843">
        <v>0.13</v>
      </c>
    </row>
    <row r="186" spans="1:6" ht="24.75" thickBot="1">
      <c r="A186" s="1837" t="s">
        <v>1410</v>
      </c>
      <c r="B186" s="1841" t="s">
        <v>2131</v>
      </c>
      <c r="C186" s="1851"/>
      <c r="D186" s="1851"/>
      <c r="E186" s="1851"/>
      <c r="F186" s="1843">
        <v>0.05</v>
      </c>
    </row>
    <row r="187" spans="1:6" ht="14.25" thickBot="1">
      <c r="A187" s="1837" t="s">
        <v>1410</v>
      </c>
      <c r="B187" s="1841" t="s">
        <v>2132</v>
      </c>
      <c r="C187" s="1851"/>
      <c r="D187" s="1851"/>
      <c r="E187" s="1851"/>
      <c r="F187" s="1843">
        <v>0.05</v>
      </c>
    </row>
    <row r="188" spans="1:6" ht="14.25" thickBot="1">
      <c r="A188" s="1837" t="s">
        <v>1410</v>
      </c>
      <c r="B188" s="1841" t="s">
        <v>2133</v>
      </c>
      <c r="C188" s="1851"/>
      <c r="D188" s="1851"/>
      <c r="E188" s="1851"/>
      <c r="F188" s="1843">
        <v>0.05</v>
      </c>
    </row>
    <row r="189" spans="1:6" ht="24.75" thickBot="1">
      <c r="A189" s="1837" t="s">
        <v>1410</v>
      </c>
      <c r="B189" s="1841" t="s">
        <v>2134</v>
      </c>
      <c r="C189" s="1851"/>
      <c r="D189" s="1851"/>
      <c r="E189" s="1851"/>
      <c r="F189" s="1843">
        <v>0.05</v>
      </c>
    </row>
    <row r="190" spans="1:6" ht="24.75" thickBot="1">
      <c r="A190" s="1837" t="s">
        <v>1410</v>
      </c>
      <c r="B190" s="1841" t="s">
        <v>2135</v>
      </c>
      <c r="C190" s="1851"/>
      <c r="D190" s="1851"/>
      <c r="E190" s="1851"/>
      <c r="F190" s="1843">
        <v>0.05</v>
      </c>
    </row>
    <row r="191" spans="1:6" ht="24.75" thickBot="1">
      <c r="A191" s="1837" t="s">
        <v>1410</v>
      </c>
      <c r="B191" s="1841" t="s">
        <v>2136</v>
      </c>
      <c r="C191" s="1851"/>
      <c r="D191" s="1851"/>
      <c r="E191" s="1851"/>
      <c r="F191" s="1843">
        <v>0.05</v>
      </c>
    </row>
    <row r="192" spans="1:6" ht="24.75" thickBot="1">
      <c r="A192" s="1837" t="s">
        <v>1410</v>
      </c>
      <c r="B192" s="1841" t="s">
        <v>2137</v>
      </c>
      <c r="C192" s="1851"/>
      <c r="D192" s="1851"/>
      <c r="E192" s="1851"/>
      <c r="F192" s="1843">
        <v>0.05</v>
      </c>
    </row>
    <row r="193" spans="1:6" ht="24.75" thickBot="1">
      <c r="A193" s="1837" t="s">
        <v>1410</v>
      </c>
      <c r="B193" s="1841" t="s">
        <v>2138</v>
      </c>
      <c r="C193" s="1851"/>
      <c r="D193" s="1851"/>
      <c r="E193" s="1851"/>
      <c r="F193" s="1843">
        <v>0.05</v>
      </c>
    </row>
    <row r="194" spans="1:6" ht="24.75" thickBot="1">
      <c r="A194" s="1837" t="s">
        <v>1410</v>
      </c>
      <c r="B194" s="1841" t="s">
        <v>2139</v>
      </c>
      <c r="C194" s="1851"/>
      <c r="D194" s="1851"/>
      <c r="E194" s="1851"/>
      <c r="F194" s="1843">
        <v>0.05</v>
      </c>
    </row>
    <row r="195" spans="1:6" ht="14.25" thickBot="1">
      <c r="A195" s="1837" t="s">
        <v>1410</v>
      </c>
      <c r="B195" s="1841" t="s">
        <v>2140</v>
      </c>
      <c r="C195" s="1851"/>
      <c r="D195" s="1851"/>
      <c r="E195" s="1851"/>
      <c r="F195" s="1843">
        <v>0.05</v>
      </c>
    </row>
    <row r="196" spans="1:6" ht="24.75" thickBot="1">
      <c r="A196" s="1837" t="s">
        <v>1410</v>
      </c>
      <c r="B196" s="1841" t="s">
        <v>2141</v>
      </c>
      <c r="C196" s="1851"/>
      <c r="D196" s="1851"/>
      <c r="E196" s="1851"/>
      <c r="F196" s="1843">
        <v>0.05</v>
      </c>
    </row>
    <row r="197" spans="1:6" ht="24.75" thickBot="1">
      <c r="A197" s="1837" t="s">
        <v>1410</v>
      </c>
      <c r="B197" s="1841" t="s">
        <v>2142</v>
      </c>
      <c r="C197" s="1851"/>
      <c r="D197" s="1851"/>
      <c r="E197" s="1851"/>
      <c r="F197" s="1843">
        <v>0.05</v>
      </c>
    </row>
    <row r="198" spans="1:6" ht="24.75" thickBot="1">
      <c r="A198" s="1837" t="s">
        <v>1410</v>
      </c>
      <c r="B198" s="1841" t="s">
        <v>2143</v>
      </c>
      <c r="C198" s="1851"/>
      <c r="D198" s="1851"/>
      <c r="E198" s="1851"/>
      <c r="F198" s="1843">
        <v>0.05</v>
      </c>
    </row>
    <row r="199" spans="1:6" ht="24.75" thickBot="1">
      <c r="A199" s="1837" t="s">
        <v>1410</v>
      </c>
      <c r="B199" s="1841" t="s">
        <v>2144</v>
      </c>
      <c r="C199" s="1851"/>
      <c r="D199" s="1851"/>
      <c r="E199" s="1851"/>
      <c r="F199" s="1843">
        <v>0.05</v>
      </c>
    </row>
    <row r="200" spans="1:6" ht="24.75" thickBot="1">
      <c r="A200" s="1837" t="s">
        <v>1410</v>
      </c>
      <c r="B200" s="1841" t="s">
        <v>2145</v>
      </c>
      <c r="C200" s="1851"/>
      <c r="D200" s="1851"/>
      <c r="E200" s="1851"/>
      <c r="F200" s="1843">
        <v>0.05</v>
      </c>
    </row>
    <row r="201" spans="1:6" ht="24.75" thickBot="1">
      <c r="A201" s="1837" t="s">
        <v>1410</v>
      </c>
      <c r="B201" s="1841" t="s">
        <v>2146</v>
      </c>
      <c r="C201" s="1851"/>
      <c r="D201" s="1851"/>
      <c r="E201" s="1851"/>
      <c r="F201" s="1843">
        <v>0.05</v>
      </c>
    </row>
    <row r="202" spans="1:6" ht="24.75" thickBot="1">
      <c r="A202" s="1837" t="s">
        <v>1410</v>
      </c>
      <c r="B202" s="1841" t="s">
        <v>2147</v>
      </c>
      <c r="C202" s="1851"/>
      <c r="D202" s="1851"/>
      <c r="E202" s="1851"/>
      <c r="F202" s="1843">
        <v>0.05</v>
      </c>
    </row>
    <row r="203" spans="1:6" ht="24.75" thickBot="1">
      <c r="A203" s="1837" t="s">
        <v>1410</v>
      </c>
      <c r="B203" s="1841" t="s">
        <v>2148</v>
      </c>
      <c r="C203" s="1851"/>
      <c r="D203" s="1851"/>
      <c r="E203" s="1851"/>
      <c r="F203" s="1843">
        <v>0.05</v>
      </c>
    </row>
    <row r="204" spans="1:6" ht="14.25" thickBot="1">
      <c r="A204" s="1837" t="s">
        <v>1410</v>
      </c>
      <c r="B204" s="1841" t="s">
        <v>2149</v>
      </c>
      <c r="C204" s="1851"/>
      <c r="D204" s="1851"/>
      <c r="E204" s="1851"/>
      <c r="F204" s="1843">
        <v>0.05</v>
      </c>
    </row>
    <row r="205" spans="1:6" ht="14.25" thickBot="1">
      <c r="A205" s="1845" t="s">
        <v>1410</v>
      </c>
      <c r="B205" s="1852" t="s">
        <v>2150</v>
      </c>
      <c r="C205" s="1848"/>
      <c r="D205" s="1848"/>
      <c r="E205" s="1848"/>
      <c r="F205" s="1853">
        <v>0.05</v>
      </c>
    </row>
    <row r="206" spans="1:6" ht="14.25" thickBot="1">
      <c r="A206" s="1837" t="s">
        <v>1412</v>
      </c>
      <c r="B206" s="1838" t="s">
        <v>2151</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2152</v>
      </c>
      <c r="C210" s="1842">
        <v>0.15</v>
      </c>
      <c r="D210" s="1842">
        <v>0.15</v>
      </c>
      <c r="E210" s="1842">
        <v>0.15</v>
      </c>
      <c r="F210" s="1843">
        <v>0.13800000000000001</v>
      </c>
    </row>
    <row r="211" spans="1:6" ht="14.25" thickBot="1">
      <c r="A211" s="1837" t="s">
        <v>1412</v>
      </c>
      <c r="B211" s="1841" t="s">
        <v>2153</v>
      </c>
      <c r="C211" s="1842">
        <v>0.13700000000000001</v>
      </c>
      <c r="D211" s="1842">
        <v>0.13500000000000001</v>
      </c>
      <c r="E211" s="1842">
        <v>0.13600000000000001</v>
      </c>
      <c r="F211" s="1843">
        <v>0.1</v>
      </c>
    </row>
    <row r="212" spans="1:6" ht="14.25" thickBot="1">
      <c r="A212" s="1837" t="s">
        <v>1412</v>
      </c>
      <c r="B212" s="1841" t="s">
        <v>2154</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2155</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2156</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2157</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2158</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2159</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2160</v>
      </c>
      <c r="C231" s="1842">
        <v>0.128</v>
      </c>
      <c r="D231" s="1842">
        <v>0.125</v>
      </c>
      <c r="E231" s="1842">
        <v>0.13200000000000001</v>
      </c>
      <c r="F231" s="1850"/>
    </row>
    <row r="232" spans="1:6" ht="14.25" thickBot="1">
      <c r="A232" s="1837" t="s">
        <v>1412</v>
      </c>
      <c r="B232" s="1841" t="s">
        <v>2161</v>
      </c>
      <c r="C232" s="1842">
        <v>0.14499999999999999</v>
      </c>
      <c r="D232" s="1842">
        <v>0.14399999999999999</v>
      </c>
      <c r="E232" s="1842">
        <v>0.14599999999999999</v>
      </c>
      <c r="F232" s="1843">
        <v>0.13800000000000001</v>
      </c>
    </row>
    <row r="233" spans="1:6" ht="14.25" thickBot="1">
      <c r="A233" s="1837" t="s">
        <v>1412</v>
      </c>
      <c r="B233" s="1841" t="s">
        <v>2162</v>
      </c>
      <c r="C233" s="1842">
        <v>0.14499999999999999</v>
      </c>
      <c r="D233" s="1842">
        <v>0.14299999999999999</v>
      </c>
      <c r="E233" s="1842">
        <v>0.14199999999999999</v>
      </c>
      <c r="F233" s="1850"/>
    </row>
    <row r="234" spans="1:6" ht="14.25" thickBot="1">
      <c r="A234" s="1837" t="s">
        <v>1412</v>
      </c>
      <c r="B234" s="1841" t="s">
        <v>2163</v>
      </c>
      <c r="C234" s="1842">
        <v>0.14000000000000001</v>
      </c>
      <c r="D234" s="1842">
        <v>0.14000000000000001</v>
      </c>
      <c r="E234" s="1842">
        <v>0.14399999999999999</v>
      </c>
      <c r="F234" s="1850"/>
    </row>
    <row r="235" spans="1:6" ht="14.25" thickBot="1">
      <c r="A235" s="1837" t="s">
        <v>1412</v>
      </c>
      <c r="B235" s="1841" t="s">
        <v>2164</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2165</v>
      </c>
      <c r="C237" s="1851"/>
      <c r="D237" s="1851"/>
      <c r="E237" s="1851"/>
      <c r="F237" s="1843">
        <v>0.05</v>
      </c>
    </row>
    <row r="238" spans="1:6" ht="24.75" thickBot="1">
      <c r="A238" s="1837" t="s">
        <v>1412</v>
      </c>
      <c r="B238" s="1841" t="s">
        <v>2166</v>
      </c>
      <c r="C238" s="1851"/>
      <c r="D238" s="1851"/>
      <c r="E238" s="1851"/>
      <c r="F238" s="1843">
        <v>0.05</v>
      </c>
    </row>
    <row r="239" spans="1:6" ht="24.75" thickBot="1">
      <c r="A239" s="1837" t="s">
        <v>1412</v>
      </c>
      <c r="B239" s="1841" t="s">
        <v>2167</v>
      </c>
      <c r="C239" s="1851"/>
      <c r="D239" s="1851"/>
      <c r="E239" s="1851"/>
      <c r="F239" s="1843">
        <v>0.05</v>
      </c>
    </row>
    <row r="240" spans="1:6" ht="24.75" thickBot="1">
      <c r="A240" s="1837" t="s">
        <v>1412</v>
      </c>
      <c r="B240" s="1841" t="s">
        <v>2168</v>
      </c>
      <c r="C240" s="1851"/>
      <c r="D240" s="1851"/>
      <c r="E240" s="1851"/>
      <c r="F240" s="1843">
        <v>0.05</v>
      </c>
    </row>
    <row r="241" spans="1:6" ht="24.75" thickBot="1">
      <c r="A241" s="1837" t="s">
        <v>1412</v>
      </c>
      <c r="B241" s="1841" t="s">
        <v>2169</v>
      </c>
      <c r="C241" s="1851"/>
      <c r="D241" s="1851"/>
      <c r="E241" s="1851"/>
      <c r="F241" s="1843">
        <v>0.05</v>
      </c>
    </row>
    <row r="242" spans="1:6" ht="24.75" thickBot="1">
      <c r="A242" s="1837" t="s">
        <v>1412</v>
      </c>
      <c r="B242" s="1841" t="s">
        <v>2170</v>
      </c>
      <c r="C242" s="1851"/>
      <c r="D242" s="1851"/>
      <c r="E242" s="1851"/>
      <c r="F242" s="1843">
        <v>0.05</v>
      </c>
    </row>
    <row r="243" spans="1:6" ht="24.75" thickBot="1">
      <c r="A243" s="1837" t="s">
        <v>1412</v>
      </c>
      <c r="B243" s="1841" t="s">
        <v>2171</v>
      </c>
      <c r="C243" s="1851"/>
      <c r="D243" s="1851"/>
      <c r="E243" s="1851"/>
      <c r="F243" s="1843">
        <v>0.05</v>
      </c>
    </row>
    <row r="244" spans="1:6" ht="24.75" thickBot="1">
      <c r="A244" s="1845" t="s">
        <v>1412</v>
      </c>
      <c r="B244" s="1852" t="s">
        <v>2172</v>
      </c>
      <c r="C244" s="1848"/>
      <c r="D244" s="1848"/>
      <c r="E244" s="1848"/>
      <c r="F244" s="1853">
        <v>0.05</v>
      </c>
    </row>
    <row r="245" spans="1:6" ht="14.25" thickBot="1">
      <c r="A245" s="1837" t="s">
        <v>1414</v>
      </c>
      <c r="B245" s="1838" t="s">
        <v>2173</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2174</v>
      </c>
      <c r="C247" s="1842">
        <v>0.15</v>
      </c>
      <c r="D247" s="1842">
        <v>0.15</v>
      </c>
      <c r="E247" s="1842">
        <v>0.15</v>
      </c>
      <c r="F247" s="1843">
        <v>0.15</v>
      </c>
    </row>
    <row r="248" spans="1:6" ht="14.25" thickBot="1">
      <c r="A248" s="1837" t="s">
        <v>1414</v>
      </c>
      <c r="B248" s="1841" t="s">
        <v>2175</v>
      </c>
      <c r="C248" s="1842">
        <v>0.15</v>
      </c>
      <c r="D248" s="1842">
        <v>0.15</v>
      </c>
      <c r="E248" s="1842">
        <v>0.15</v>
      </c>
      <c r="F248" s="1843">
        <v>0.14000000000000001</v>
      </c>
    </row>
    <row r="249" spans="1:6" ht="14.25" thickBot="1">
      <c r="A249" s="1837" t="s">
        <v>1414</v>
      </c>
      <c r="B249" s="1841" t="s">
        <v>2176</v>
      </c>
      <c r="C249" s="1842">
        <v>0.15</v>
      </c>
      <c r="D249" s="1842">
        <v>0.14899999999999999</v>
      </c>
      <c r="E249" s="1842">
        <v>0.15</v>
      </c>
      <c r="F249" s="1843">
        <v>0.1</v>
      </c>
    </row>
    <row r="250" spans="1:6" ht="14.25" thickBot="1">
      <c r="A250" s="1837" t="s">
        <v>1414</v>
      </c>
      <c r="B250" s="1841" t="s">
        <v>2177</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2178</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2179</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2180</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2181</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2182</v>
      </c>
      <c r="C273" s="1842">
        <v>0.14199999999999999</v>
      </c>
      <c r="D273" s="1842">
        <v>0.14299999999999999</v>
      </c>
      <c r="E273" s="1842">
        <v>0.15</v>
      </c>
      <c r="F273" s="1843">
        <v>0.1</v>
      </c>
    </row>
    <row r="274" spans="1:6" ht="14.25" thickBot="1">
      <c r="A274" s="1837" t="s">
        <v>1414</v>
      </c>
      <c r="B274" s="1841" t="s">
        <v>2183</v>
      </c>
      <c r="C274" s="1842">
        <v>0.14799999999999999</v>
      </c>
      <c r="D274" s="1842">
        <v>0.14799999999999999</v>
      </c>
      <c r="E274" s="1842">
        <v>0.15</v>
      </c>
      <c r="F274" s="1843">
        <v>6.7000000000000004E-2</v>
      </c>
    </row>
    <row r="275" spans="1:6" ht="14.25" thickBot="1">
      <c r="A275" s="1837" t="s">
        <v>1414</v>
      </c>
      <c r="B275" s="1841" t="s">
        <v>2184</v>
      </c>
      <c r="C275" s="1842">
        <v>0.15</v>
      </c>
      <c r="D275" s="1842">
        <v>0.15</v>
      </c>
      <c r="E275" s="1842">
        <v>0.15</v>
      </c>
      <c r="F275" s="1843">
        <v>0.15</v>
      </c>
    </row>
    <row r="276" spans="1:6" ht="14.25" thickBot="1">
      <c r="A276" s="1837" t="s">
        <v>1414</v>
      </c>
      <c r="B276" s="1841" t="s">
        <v>2185</v>
      </c>
      <c r="C276" s="1842">
        <v>0.14499999999999999</v>
      </c>
      <c r="D276" s="1842">
        <v>0.14299999999999999</v>
      </c>
      <c r="E276" s="1842">
        <v>0.15</v>
      </c>
      <c r="F276" s="1843">
        <v>5.8999999999999997E-2</v>
      </c>
    </row>
    <row r="277" spans="1:6" ht="14.25" thickBot="1">
      <c r="A277" s="1837" t="s">
        <v>1414</v>
      </c>
      <c r="B277" s="1841" t="s">
        <v>2186</v>
      </c>
      <c r="C277" s="1842">
        <v>0.15</v>
      </c>
      <c r="D277" s="1842">
        <v>0.15</v>
      </c>
      <c r="E277" s="1842">
        <v>0.15</v>
      </c>
      <c r="F277" s="1843">
        <v>0.121</v>
      </c>
    </row>
    <row r="278" spans="1:6" ht="14.25" thickBot="1">
      <c r="A278" s="1837" t="s">
        <v>1414</v>
      </c>
      <c r="B278" s="1841" t="s">
        <v>2187</v>
      </c>
      <c r="C278" s="1842">
        <v>0.15</v>
      </c>
      <c r="D278" s="1842">
        <v>0.15</v>
      </c>
      <c r="E278" s="1842">
        <v>0.15</v>
      </c>
      <c r="F278" s="1843">
        <v>0.13800000000000001</v>
      </c>
    </row>
    <row r="279" spans="1:6" ht="24.75" thickBot="1">
      <c r="A279" s="1837" t="s">
        <v>1414</v>
      </c>
      <c r="B279" s="1841" t="s">
        <v>2188</v>
      </c>
      <c r="C279" s="1851"/>
      <c r="D279" s="1851"/>
      <c r="E279" s="1851"/>
      <c r="F279" s="1843">
        <v>0.05</v>
      </c>
    </row>
    <row r="280" spans="1:6" ht="24.75" thickBot="1">
      <c r="A280" s="1837" t="s">
        <v>1414</v>
      </c>
      <c r="B280" s="1841" t="s">
        <v>2189</v>
      </c>
      <c r="C280" s="1851"/>
      <c r="D280" s="1851"/>
      <c r="E280" s="1851"/>
      <c r="F280" s="1843">
        <v>0.05</v>
      </c>
    </row>
    <row r="281" spans="1:6" ht="24.75" thickBot="1">
      <c r="A281" s="1837" t="s">
        <v>1414</v>
      </c>
      <c r="B281" s="1841" t="s">
        <v>2190</v>
      </c>
      <c r="C281" s="1851"/>
      <c r="D281" s="1851"/>
      <c r="E281" s="1851"/>
      <c r="F281" s="1843">
        <v>0.05</v>
      </c>
    </row>
    <row r="282" spans="1:6" ht="24.75" thickBot="1">
      <c r="A282" s="1837" t="s">
        <v>1414</v>
      </c>
      <c r="B282" s="1841" t="s">
        <v>2191</v>
      </c>
      <c r="C282" s="1851"/>
      <c r="D282" s="1851"/>
      <c r="E282" s="1851"/>
      <c r="F282" s="1843">
        <v>0.05</v>
      </c>
    </row>
    <row r="283" spans="1:6" ht="24.75" thickBot="1">
      <c r="A283" s="1837" t="s">
        <v>1414</v>
      </c>
      <c r="B283" s="1841" t="s">
        <v>2192</v>
      </c>
      <c r="C283" s="1851"/>
      <c r="D283" s="1851"/>
      <c r="E283" s="1851"/>
      <c r="F283" s="1843">
        <v>0.05</v>
      </c>
    </row>
    <row r="284" spans="1:6" ht="24.75" thickBot="1">
      <c r="A284" s="1837" t="s">
        <v>1414</v>
      </c>
      <c r="B284" s="1841" t="s">
        <v>2193</v>
      </c>
      <c r="C284" s="1851"/>
      <c r="D284" s="1851"/>
      <c r="E284" s="1851"/>
      <c r="F284" s="1843">
        <v>0.05</v>
      </c>
    </row>
    <row r="285" spans="1:6" ht="24.75" thickBot="1">
      <c r="A285" s="1837" t="s">
        <v>1414</v>
      </c>
      <c r="B285" s="1841" t="s">
        <v>2194</v>
      </c>
      <c r="C285" s="1851"/>
      <c r="D285" s="1851"/>
      <c r="E285" s="1851"/>
      <c r="F285" s="1843">
        <v>0.05</v>
      </c>
    </row>
    <row r="286" spans="1:6" ht="24.75" thickBot="1">
      <c r="A286" s="1837" t="s">
        <v>1414</v>
      </c>
      <c r="B286" s="1841" t="s">
        <v>2195</v>
      </c>
      <c r="C286" s="1851"/>
      <c r="D286" s="1851"/>
      <c r="E286" s="1851"/>
      <c r="F286" s="1843">
        <v>0.05</v>
      </c>
    </row>
    <row r="287" spans="1:6" ht="24.75" thickBot="1">
      <c r="A287" s="1837" t="s">
        <v>1414</v>
      </c>
      <c r="B287" s="1841" t="s">
        <v>2196</v>
      </c>
      <c r="C287" s="1851"/>
      <c r="D287" s="1851"/>
      <c r="E287" s="1851"/>
      <c r="F287" s="1843">
        <v>0.05</v>
      </c>
    </row>
    <row r="288" spans="1:6" ht="24.75" thickBot="1">
      <c r="A288" s="1837" t="s">
        <v>1414</v>
      </c>
      <c r="B288" s="1841" t="s">
        <v>2197</v>
      </c>
      <c r="C288" s="1851"/>
      <c r="D288" s="1851"/>
      <c r="E288" s="1851"/>
      <c r="F288" s="1843">
        <v>0.05</v>
      </c>
    </row>
    <row r="289" spans="1:6" ht="24.75" thickBot="1">
      <c r="A289" s="1845" t="s">
        <v>1414</v>
      </c>
      <c r="B289" s="1852" t="s">
        <v>2198</v>
      </c>
      <c r="C289" s="1848"/>
      <c r="D289" s="1848"/>
      <c r="E289" s="1848"/>
      <c r="F289" s="1853">
        <v>0.05</v>
      </c>
    </row>
    <row r="290" spans="1:6" ht="14.25" thickBot="1">
      <c r="A290" s="1837" t="s">
        <v>1418</v>
      </c>
      <c r="B290" s="1838" t="s">
        <v>2199</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2200</v>
      </c>
      <c r="C292" s="1842">
        <v>0.15</v>
      </c>
      <c r="D292" s="1842">
        <v>0.15</v>
      </c>
      <c r="E292" s="1842">
        <v>0.15</v>
      </c>
      <c r="F292" s="1843">
        <v>0.14699999999999999</v>
      </c>
    </row>
    <row r="293" spans="1:6" ht="14.25" thickBot="1">
      <c r="A293" s="1837" t="s">
        <v>1418</v>
      </c>
      <c r="B293" s="1841" t="s">
        <v>2201</v>
      </c>
      <c r="C293" s="1851"/>
      <c r="D293" s="1851"/>
      <c r="E293" s="1851"/>
      <c r="F293" s="1843">
        <v>0.1</v>
      </c>
    </row>
    <row r="294" spans="1:6" ht="14.25" thickBot="1">
      <c r="A294" s="1837" t="s">
        <v>1418</v>
      </c>
      <c r="B294" s="1841" t="s">
        <v>2202</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2203</v>
      </c>
      <c r="C296" s="1842">
        <v>0.15</v>
      </c>
      <c r="D296" s="1842">
        <v>0.15</v>
      </c>
      <c r="E296" s="1842">
        <v>0.15</v>
      </c>
      <c r="F296" s="1843">
        <v>0.15</v>
      </c>
    </row>
    <row r="297" spans="1:6" ht="14.25" thickBot="1">
      <c r="A297" s="1837" t="s">
        <v>1418</v>
      </c>
      <c r="B297" s="1841" t="s">
        <v>2204</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2205</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2206</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2207</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2208</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2209</v>
      </c>
      <c r="C310" s="1842">
        <v>0.15</v>
      </c>
      <c r="D310" s="1842">
        <v>0.15</v>
      </c>
      <c r="E310" s="1842">
        <v>0.15</v>
      </c>
      <c r="F310" s="1843">
        <v>0.13700000000000001</v>
      </c>
    </row>
    <row r="311" spans="1:6" ht="14.25" thickBot="1">
      <c r="A311" s="1837" t="s">
        <v>1418</v>
      </c>
      <c r="B311" s="1841" t="s">
        <v>2210</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2211</v>
      </c>
      <c r="C313" s="1842">
        <v>0.15</v>
      </c>
      <c r="D313" s="1842">
        <v>0.15</v>
      </c>
      <c r="E313" s="1842">
        <v>0.15</v>
      </c>
      <c r="F313" s="1843">
        <v>0.15</v>
      </c>
    </row>
    <row r="314" spans="1:6" ht="24.75" thickBot="1">
      <c r="A314" s="1837" t="s">
        <v>1418</v>
      </c>
      <c r="B314" s="1841" t="s">
        <v>2212</v>
      </c>
      <c r="C314" s="1851"/>
      <c r="D314" s="1851"/>
      <c r="E314" s="1851"/>
      <c r="F314" s="1843">
        <v>0.05</v>
      </c>
    </row>
    <row r="315" spans="1:6" ht="24.75" thickBot="1">
      <c r="A315" s="1837" t="s">
        <v>1418</v>
      </c>
      <c r="B315" s="1841" t="s">
        <v>2213</v>
      </c>
      <c r="C315" s="1851"/>
      <c r="D315" s="1851"/>
      <c r="E315" s="1851"/>
      <c r="F315" s="1843">
        <v>0.05</v>
      </c>
    </row>
    <row r="316" spans="1:6" ht="24.75" thickBot="1">
      <c r="A316" s="1845" t="s">
        <v>1418</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1106</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1175</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1195</v>
      </c>
      <c r="C328" s="1842">
        <v>0.15</v>
      </c>
      <c r="D328" s="1842">
        <v>0.15</v>
      </c>
      <c r="E328" s="1842">
        <v>0.15</v>
      </c>
      <c r="F328" s="1843">
        <v>0.14099999999999999</v>
      </c>
    </row>
    <row r="329" spans="1:6" ht="14.25" thickBot="1">
      <c r="A329" s="1837" t="s">
        <v>2215</v>
      </c>
      <c r="B329" s="1841" t="s">
        <v>1205</v>
      </c>
      <c r="C329" s="1842">
        <v>0.15</v>
      </c>
      <c r="D329" s="1842">
        <v>0.15</v>
      </c>
      <c r="E329" s="1842">
        <v>0.15</v>
      </c>
      <c r="F329" s="1843">
        <v>0.15</v>
      </c>
    </row>
    <row r="330" spans="1:6" ht="14.25" thickBot="1">
      <c r="A330" s="1837" t="s">
        <v>2215</v>
      </c>
      <c r="B330" s="1841" t="s">
        <v>1215</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1235</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1255</v>
      </c>
      <c r="C334" s="1842">
        <v>0.15</v>
      </c>
      <c r="D334" s="1842">
        <v>0.15</v>
      </c>
      <c r="E334" s="1842">
        <v>0.15</v>
      </c>
      <c r="F334" s="1843">
        <v>0.15</v>
      </c>
    </row>
    <row r="335" spans="1:6" ht="14.25" thickBot="1">
      <c r="A335" s="1837" t="s">
        <v>2215</v>
      </c>
      <c r="B335" s="1841" t="s">
        <v>1265</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1283</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B5" sqref="AB5"/>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95" t="s">
        <v>2575</v>
      </c>
      <c r="C1" s="3495"/>
      <c r="D1" s="3495"/>
      <c r="E1" s="3495"/>
      <c r="F1" s="3495"/>
      <c r="G1" s="3494" t="s">
        <v>2576</v>
      </c>
      <c r="H1" s="3494"/>
      <c r="I1" s="3494"/>
      <c r="J1" s="3494"/>
      <c r="K1" s="3494"/>
      <c r="L1" s="3494"/>
      <c r="N1" s="3494" t="s">
        <v>2577</v>
      </c>
      <c r="O1" s="3494"/>
      <c r="P1" s="3494"/>
      <c r="Q1" s="3494"/>
      <c r="R1" s="2615"/>
      <c r="S1" s="3494" t="s">
        <v>2578</v>
      </c>
      <c r="T1" s="3494"/>
      <c r="U1" s="3494"/>
      <c r="V1" s="3494"/>
      <c r="X1" s="3493" t="s">
        <v>2638</v>
      </c>
      <c r="Y1" s="3494"/>
      <c r="Z1" s="3494"/>
      <c r="AA1" s="3494"/>
      <c r="AB1" s="3494"/>
      <c r="AD1" s="3493" t="s">
        <v>2642</v>
      </c>
      <c r="AE1" s="3494"/>
      <c r="AF1" s="3494"/>
      <c r="AG1" s="3494"/>
      <c r="AH1" s="3494"/>
    </row>
    <row r="2" spans="1:34" s="2716" customFormat="1" ht="14.25" thickBot="1">
      <c r="B2" s="2724" t="s">
        <v>2579</v>
      </c>
      <c r="C2" s="2724" t="s">
        <v>2640</v>
      </c>
      <c r="D2" s="2717" t="s">
        <v>1643</v>
      </c>
      <c r="E2" s="2717" t="s">
        <v>1948</v>
      </c>
      <c r="F2" s="2724" t="s">
        <v>2641</v>
      </c>
      <c r="G2" s="2720"/>
      <c r="H2" s="2719"/>
      <c r="I2" s="2724" t="s">
        <v>2950</v>
      </c>
      <c r="J2" s="2717" t="s">
        <v>2952</v>
      </c>
      <c r="K2" s="2717" t="s">
        <v>2953</v>
      </c>
      <c r="L2" s="2724" t="s">
        <v>2954</v>
      </c>
      <c r="N2" s="2724" t="s">
        <v>2579</v>
      </c>
      <c r="O2" s="2717" t="s">
        <v>2951</v>
      </c>
      <c r="P2" s="2717" t="s">
        <v>1948</v>
      </c>
      <c r="Q2" s="2724" t="s">
        <v>2641</v>
      </c>
      <c r="R2" s="2718"/>
      <c r="S2" s="2724" t="s">
        <v>2579</v>
      </c>
      <c r="T2" s="2717" t="s">
        <v>2951</v>
      </c>
      <c r="U2" s="2717" t="s">
        <v>1948</v>
      </c>
      <c r="V2" s="2724" t="s">
        <v>2641</v>
      </c>
      <c r="X2" s="2724" t="s">
        <v>2579</v>
      </c>
      <c r="Y2" s="2724" t="s">
        <v>2640</v>
      </c>
      <c r="Z2" s="2717" t="s">
        <v>1643</v>
      </c>
      <c r="AA2" s="2717" t="s">
        <v>1948</v>
      </c>
      <c r="AB2" s="2724" t="s">
        <v>2641</v>
      </c>
      <c r="AD2" s="2724" t="s">
        <v>2579</v>
      </c>
      <c r="AE2" s="2724" t="s">
        <v>2640</v>
      </c>
      <c r="AF2" s="2717" t="s">
        <v>1643</v>
      </c>
      <c r="AG2" s="2717" t="s">
        <v>1948</v>
      </c>
      <c r="AH2" s="2724" t="s">
        <v>2641</v>
      </c>
    </row>
    <row r="3" spans="1:34" s="3078" customFormat="1" ht="14.25">
      <c r="A3" s="3090" t="s">
        <v>2963</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2989</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1">
        <v>3</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2964</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1" customFormat="1">
      <c r="A6" s="2616" t="s">
        <v>2988</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2617">
        <v>1.53</v>
      </c>
      <c r="J6" s="2617">
        <v>1.01</v>
      </c>
      <c r="K6" s="2617">
        <v>1.62</v>
      </c>
      <c r="L6" s="2618">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2986</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2983</v>
      </c>
      <c r="B8" s="3175">
        <f t="shared" si="13"/>
        <v>464.37293017158942</v>
      </c>
      <c r="C8" s="3175">
        <f t="shared" ref="C8" si="34">C9*(1+O8)</f>
        <v>344.73679941385956</v>
      </c>
      <c r="D8" s="3175">
        <f t="shared" ref="D8" si="35">C8</f>
        <v>344.73679941385956</v>
      </c>
      <c r="E8" s="3175">
        <f t="shared" ref="E8" si="36">E9*(1+P8)</f>
        <v>663.2377795103107</v>
      </c>
      <c r="F8" s="3176">
        <f t="shared" ref="F8" si="37">F9*(1+Q8)</f>
        <v>304.75936311478398</v>
      </c>
      <c r="G8" s="3489">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2973</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489"/>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2974</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489"/>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2970</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490"/>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2961</v>
      </c>
      <c r="B12" s="3092">
        <v>439</v>
      </c>
      <c r="C12" s="3092">
        <v>327</v>
      </c>
      <c r="D12" s="3092">
        <f t="shared" si="65"/>
        <v>327</v>
      </c>
      <c r="E12" s="3092">
        <v>627</v>
      </c>
      <c r="F12" s="3093">
        <v>283</v>
      </c>
      <c r="G12" s="3488">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2965</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489"/>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2580</v>
      </c>
      <c r="B14" s="2629">
        <f t="shared" si="77"/>
        <v>419.31181600000002</v>
      </c>
      <c r="C14" s="2629">
        <f t="shared" si="77"/>
        <v>313.95436800000004</v>
      </c>
      <c r="D14" s="2629">
        <f t="shared" si="65"/>
        <v>313.95436800000004</v>
      </c>
      <c r="E14" s="2629">
        <f t="shared" si="78"/>
        <v>596.63028431999999</v>
      </c>
      <c r="F14" s="2629">
        <f t="shared" si="78"/>
        <v>274.74220703999998</v>
      </c>
      <c r="G14" s="3489"/>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2581</v>
      </c>
      <c r="B15" s="2629">
        <f t="shared" si="77"/>
        <v>405.524</v>
      </c>
      <c r="C15" s="2629">
        <f t="shared" si="77"/>
        <v>307.79840000000002</v>
      </c>
      <c r="D15" s="2629">
        <f t="shared" si="65"/>
        <v>307.79840000000002</v>
      </c>
      <c r="E15" s="2629">
        <f t="shared" si="78"/>
        <v>574.67759999999998</v>
      </c>
      <c r="F15" s="2629">
        <f t="shared" si="78"/>
        <v>270.20280000000002</v>
      </c>
      <c r="G15" s="3490"/>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969</v>
      </c>
      <c r="B16" s="2621">
        <v>392</v>
      </c>
      <c r="C16" s="2621">
        <v>302</v>
      </c>
      <c r="D16" s="2621">
        <f t="shared" si="65"/>
        <v>302</v>
      </c>
      <c r="E16" s="2621">
        <v>553</v>
      </c>
      <c r="F16" s="2622">
        <v>266</v>
      </c>
      <c r="G16" s="3488">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968</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489"/>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958</v>
      </c>
      <c r="B18" s="2629">
        <f t="shared" si="86"/>
        <v>360.06949782209392</v>
      </c>
      <c r="C18" s="2629">
        <f t="shared" si="86"/>
        <v>289.84672674747821</v>
      </c>
      <c r="D18" s="2629">
        <f t="shared" si="87"/>
        <v>289.84672674747821</v>
      </c>
      <c r="E18" s="2629">
        <f t="shared" si="88"/>
        <v>501.06543001181495</v>
      </c>
      <c r="F18" s="2629">
        <f t="shared" si="88"/>
        <v>256.82882500744967</v>
      </c>
      <c r="G18" s="3489"/>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967</v>
      </c>
      <c r="B19" s="2629">
        <f t="shared" si="86"/>
        <v>346.720748986128</v>
      </c>
      <c r="C19" s="2629">
        <f t="shared" si="86"/>
        <v>284.30282172386285</v>
      </c>
      <c r="D19" s="2629">
        <f t="shared" si="87"/>
        <v>284.30282172386285</v>
      </c>
      <c r="E19" s="2629">
        <f t="shared" si="88"/>
        <v>479.58023546306947</v>
      </c>
      <c r="F19" s="2629">
        <f t="shared" si="88"/>
        <v>253.25788877571213</v>
      </c>
      <c r="G19" s="3492"/>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966</v>
      </c>
      <c r="B20" s="2621">
        <v>333</v>
      </c>
      <c r="C20" s="2621">
        <v>277</v>
      </c>
      <c r="D20" s="2621">
        <f t="shared" si="87"/>
        <v>277</v>
      </c>
      <c r="E20" s="2621">
        <v>459</v>
      </c>
      <c r="F20" s="2622">
        <v>249</v>
      </c>
      <c r="G20" s="3491">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965</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489"/>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964</v>
      </c>
      <c r="B22" s="2629">
        <f t="shared" si="90"/>
        <v>322.34053690220776</v>
      </c>
      <c r="C22" s="2629">
        <f t="shared" si="90"/>
        <v>271.46160770422546</v>
      </c>
      <c r="D22" s="2629">
        <f t="shared" si="87"/>
        <v>271.46160770422546</v>
      </c>
      <c r="E22" s="2629">
        <f t="shared" si="91"/>
        <v>442.69434542172456</v>
      </c>
      <c r="F22" s="2629">
        <f t="shared" si="91"/>
        <v>241.34030753190925</v>
      </c>
      <c r="G22" s="3489"/>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963</v>
      </c>
      <c r="B23" s="2629">
        <f t="shared" si="90"/>
        <v>319.87748030386797</v>
      </c>
      <c r="C23" s="2629">
        <f t="shared" si="90"/>
        <v>269.60135833173649</v>
      </c>
      <c r="D23" s="2629">
        <f t="shared" si="87"/>
        <v>269.60135833173649</v>
      </c>
      <c r="E23" s="2629">
        <f t="shared" si="91"/>
        <v>439.18089823583784</v>
      </c>
      <c r="F23" s="2629">
        <f t="shared" si="91"/>
        <v>239.23503918706311</v>
      </c>
      <c r="G23" s="3492"/>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962</v>
      </c>
      <c r="B24" s="2643">
        <v>318</v>
      </c>
      <c r="C24" s="2643">
        <v>268</v>
      </c>
      <c r="D24" s="2643">
        <f t="shared" si="87"/>
        <v>268</v>
      </c>
      <c r="E24" s="2643">
        <v>437</v>
      </c>
      <c r="F24" s="2644">
        <v>237</v>
      </c>
      <c r="G24" s="3491">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961</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489"/>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960</v>
      </c>
      <c r="B26" s="2629">
        <f t="shared" si="92"/>
        <v>314.72141172386546</v>
      </c>
      <c r="C26" s="2629">
        <f t="shared" si="92"/>
        <v>263.03901319069001</v>
      </c>
      <c r="D26" s="2629">
        <f t="shared" si="87"/>
        <v>263.03901319069001</v>
      </c>
      <c r="E26" s="2629">
        <f t="shared" si="93"/>
        <v>433.65745506782821</v>
      </c>
      <c r="F26" s="2629">
        <f t="shared" si="93"/>
        <v>233.23005080045735</v>
      </c>
      <c r="G26" s="3489"/>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959</v>
      </c>
      <c r="B27" s="2648">
        <f t="shared" si="92"/>
        <v>307.34512863658733</v>
      </c>
      <c r="C27" s="2648">
        <f t="shared" si="92"/>
        <v>257.80556031626975</v>
      </c>
      <c r="D27" s="2648">
        <f t="shared" si="87"/>
        <v>257.80556031626975</v>
      </c>
      <c r="E27" s="2648">
        <f t="shared" si="93"/>
        <v>422.70928459677179</v>
      </c>
      <c r="F27" s="2648">
        <f t="shared" si="93"/>
        <v>229.73803270336617</v>
      </c>
      <c r="G27" s="3492"/>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2639</v>
      </c>
      <c r="X27" s="2725">
        <v>1</v>
      </c>
      <c r="Y27" s="2725">
        <v>1</v>
      </c>
      <c r="Z27" s="2725">
        <v>1</v>
      </c>
      <c r="AA27" s="2725">
        <v>1</v>
      </c>
      <c r="AB27" s="2725">
        <v>1</v>
      </c>
      <c r="AD27" s="2957">
        <f>I27/100</f>
        <v>2.9700000000000001E-2</v>
      </c>
      <c r="AE27" s="2957">
        <f>J27/100</f>
        <v>2.3399999999999997E-2</v>
      </c>
      <c r="AF27" s="2957">
        <f>AE27</f>
        <v>2.3399999999999997E-2</v>
      </c>
      <c r="AG27" s="2957">
        <f>K27/100</f>
        <v>3.2799999999999996E-2</v>
      </c>
      <c r="AH27" s="2957">
        <f>L27/100</f>
        <v>1.3600000000000001E-2</v>
      </c>
    </row>
    <row r="28" spans="1:34" ht="13.5" thickBot="1">
      <c r="A28" s="2616" t="s">
        <v>2582</v>
      </c>
      <c r="B28" s="2621">
        <v>299</v>
      </c>
      <c r="C28" s="2621">
        <v>252</v>
      </c>
      <c r="D28" s="2621">
        <f t="shared" si="87"/>
        <v>252</v>
      </c>
      <c r="E28" s="2621">
        <v>409</v>
      </c>
      <c r="F28" s="2622">
        <v>227</v>
      </c>
      <c r="G28" s="3496">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2583</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497"/>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2584</v>
      </c>
      <c r="B30" s="2629">
        <f t="shared" si="96"/>
        <v>288.2649053828776</v>
      </c>
      <c r="C30" s="2629">
        <f t="shared" si="96"/>
        <v>243.64564425013293</v>
      </c>
      <c r="D30" s="2629">
        <f t="shared" si="87"/>
        <v>243.64564425013293</v>
      </c>
      <c r="E30" s="2629">
        <f t="shared" si="97"/>
        <v>393.31080825986544</v>
      </c>
      <c r="F30" s="2629">
        <f t="shared" si="97"/>
        <v>223.07903790551154</v>
      </c>
      <c r="G30" s="3497"/>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2585</v>
      </c>
      <c r="B31" s="2629">
        <f t="shared" si="96"/>
        <v>282.50186729015837</v>
      </c>
      <c r="C31" s="2629">
        <f t="shared" si="96"/>
        <v>238.09796174155468</v>
      </c>
      <c r="D31" s="2629">
        <f t="shared" si="87"/>
        <v>238.09796174155468</v>
      </c>
      <c r="E31" s="2629">
        <f t="shared" si="97"/>
        <v>385.33438646014054</v>
      </c>
      <c r="F31" s="2629">
        <f t="shared" si="97"/>
        <v>221.55034055567739</v>
      </c>
      <c r="G31" s="3498"/>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2586</v>
      </c>
      <c r="B32" s="2659">
        <v>278</v>
      </c>
      <c r="C32" s="2659">
        <v>234</v>
      </c>
      <c r="D32" s="2659">
        <f t="shared" si="87"/>
        <v>234</v>
      </c>
      <c r="E32" s="2659">
        <v>379</v>
      </c>
      <c r="F32" s="2660">
        <v>220</v>
      </c>
      <c r="G32" s="3491">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2587</v>
      </c>
      <c r="B33" s="2629">
        <f>B32/(1+N32)</f>
        <v>275.49301357645425</v>
      </c>
      <c r="C33" s="2629">
        <f>C32/(1+O32)</f>
        <v>232.41954707985698</v>
      </c>
      <c r="D33" s="2629">
        <f t="shared" si="87"/>
        <v>232.41954707985698</v>
      </c>
      <c r="E33" s="2629">
        <f t="shared" ref="E33:F35" si="98">E32/(1+P32)</f>
        <v>375.32184591008121</v>
      </c>
      <c r="F33" s="2629">
        <f t="shared" si="98"/>
        <v>218.03766105054513</v>
      </c>
      <c r="G33" s="3489"/>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2588</v>
      </c>
      <c r="B34" s="2629">
        <f>B33/(1+N33)</f>
        <v>275.24529281292263</v>
      </c>
      <c r="C34" s="2629">
        <f>C33/(1+O33)</f>
        <v>231.74747938962707</v>
      </c>
      <c r="D34" s="2629">
        <f t="shared" si="87"/>
        <v>231.74747938962707</v>
      </c>
      <c r="E34" s="2629">
        <f t="shared" si="98"/>
        <v>375.35938184826603</v>
      </c>
      <c r="F34" s="2629">
        <f t="shared" si="98"/>
        <v>216.78033510692495</v>
      </c>
      <c r="G34" s="3489"/>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2589</v>
      </c>
      <c r="B35" s="2629">
        <f>B34/(1+N34)</f>
        <v>275.19025476197027</v>
      </c>
      <c r="C35" s="2661">
        <v>232</v>
      </c>
      <c r="D35" s="2661">
        <f t="shared" si="87"/>
        <v>232</v>
      </c>
      <c r="E35" s="2629">
        <f t="shared" si="98"/>
        <v>375.65990977608692</v>
      </c>
      <c r="F35" s="2629">
        <f t="shared" si="98"/>
        <v>214.12518283971252</v>
      </c>
      <c r="G35" s="3492"/>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2590</v>
      </c>
      <c r="B36" s="2621">
        <v>275</v>
      </c>
      <c r="C36" s="2621">
        <v>232</v>
      </c>
      <c r="D36" s="2621">
        <f t="shared" si="87"/>
        <v>232</v>
      </c>
      <c r="E36" s="2621">
        <v>376</v>
      </c>
      <c r="F36" s="2622">
        <v>213</v>
      </c>
      <c r="G36" s="3491">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2591</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489">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2592</v>
      </c>
      <c r="B38" s="2629">
        <f t="shared" si="99"/>
        <v>275.19335084830601</v>
      </c>
      <c r="C38" s="2629">
        <f t="shared" si="99"/>
        <v>230.18088050139744</v>
      </c>
      <c r="D38" s="2629">
        <f t="shared" si="87"/>
        <v>230.18088050139744</v>
      </c>
      <c r="E38" s="2629">
        <f t="shared" si="100"/>
        <v>377.58482925212331</v>
      </c>
      <c r="F38" s="2629">
        <f t="shared" si="100"/>
        <v>210.90687997847917</v>
      </c>
      <c r="G38" s="3489">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2593</v>
      </c>
      <c r="B39" s="2629">
        <f t="shared" si="99"/>
        <v>276.29854502841971</v>
      </c>
      <c r="C39" s="2629">
        <f t="shared" si="99"/>
        <v>229.79023709833027</v>
      </c>
      <c r="D39" s="2629">
        <f t="shared" si="87"/>
        <v>229.79023709833027</v>
      </c>
      <c r="E39" s="2629">
        <f t="shared" si="100"/>
        <v>379.78759731655936</v>
      </c>
      <c r="F39" s="2629">
        <f t="shared" si="100"/>
        <v>211.32953905659235</v>
      </c>
      <c r="G39" s="3492">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2594</v>
      </c>
      <c r="B40" s="2621">
        <v>269</v>
      </c>
      <c r="C40" s="2621">
        <v>221</v>
      </c>
      <c r="D40" s="2621">
        <f t="shared" si="87"/>
        <v>221</v>
      </c>
      <c r="E40" s="2621">
        <v>373</v>
      </c>
      <c r="F40" s="2622">
        <v>196</v>
      </c>
      <c r="G40" s="3491">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2595</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489">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2596</v>
      </c>
      <c r="B42" s="2629">
        <f t="shared" si="101"/>
        <v>242.95398227588385</v>
      </c>
      <c r="C42" s="2629">
        <f t="shared" si="101"/>
        <v>199.59137053614126</v>
      </c>
      <c r="D42" s="2629">
        <f t="shared" si="87"/>
        <v>199.59137053614126</v>
      </c>
      <c r="E42" s="2629">
        <f t="shared" si="102"/>
        <v>335.92189522342125</v>
      </c>
      <c r="F42" s="2629">
        <f t="shared" si="102"/>
        <v>183.10139991109489</v>
      </c>
      <c r="G42" s="3489">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2597</v>
      </c>
      <c r="B43" s="2629">
        <f t="shared" si="101"/>
        <v>232.06990378821649</v>
      </c>
      <c r="C43" s="2629">
        <f t="shared" si="101"/>
        <v>192.74878854286936</v>
      </c>
      <c r="D43" s="2629">
        <f t="shared" si="87"/>
        <v>192.74878854286936</v>
      </c>
      <c r="E43" s="2629">
        <f t="shared" si="102"/>
        <v>319.71247284992984</v>
      </c>
      <c r="F43" s="2629">
        <f t="shared" si="102"/>
        <v>175.67053622862409</v>
      </c>
      <c r="G43" s="3492">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2598</v>
      </c>
      <c r="B44" s="2621">
        <v>220</v>
      </c>
      <c r="C44" s="2621">
        <v>187</v>
      </c>
      <c r="D44" s="2621">
        <f t="shared" si="87"/>
        <v>187</v>
      </c>
      <c r="E44" s="2621">
        <v>301</v>
      </c>
      <c r="F44" s="2622">
        <v>168</v>
      </c>
      <c r="G44" s="3491">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2599</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489">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2600</v>
      </c>
      <c r="B46" s="2629">
        <f t="shared" si="103"/>
        <v>210.630522469011</v>
      </c>
      <c r="C46" s="2629">
        <f t="shared" si="103"/>
        <v>181.69567812247232</v>
      </c>
      <c r="D46" s="2629">
        <f t="shared" si="87"/>
        <v>181.69567812247232</v>
      </c>
      <c r="E46" s="2629">
        <f t="shared" si="104"/>
        <v>286.13517466736738</v>
      </c>
      <c r="F46" s="2629">
        <f t="shared" si="104"/>
        <v>165.47535084591149</v>
      </c>
      <c r="G46" s="3489">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2601</v>
      </c>
      <c r="B47" s="2629">
        <f t="shared" si="103"/>
        <v>208.83454537875372</v>
      </c>
      <c r="C47" s="2629">
        <f t="shared" si="103"/>
        <v>183.77230517090351</v>
      </c>
      <c r="D47" s="2629">
        <f t="shared" si="87"/>
        <v>183.77230517090351</v>
      </c>
      <c r="E47" s="2629">
        <f t="shared" si="104"/>
        <v>281.10342338870947</v>
      </c>
      <c r="F47" s="2629">
        <f t="shared" si="104"/>
        <v>168.97309388942256</v>
      </c>
      <c r="G47" s="3492">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2602</v>
      </c>
      <c r="B48" s="2659">
        <v>214</v>
      </c>
      <c r="C48" s="2659">
        <v>188</v>
      </c>
      <c r="D48" s="2659">
        <f t="shared" si="87"/>
        <v>188</v>
      </c>
      <c r="E48" s="2659">
        <v>289</v>
      </c>
      <c r="F48" s="2660">
        <v>166</v>
      </c>
      <c r="G48" s="3491">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2603</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489">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2604</v>
      </c>
      <c r="B50" s="2629">
        <f t="shared" si="105"/>
        <v>206.31694671589116</v>
      </c>
      <c r="C50" s="2629">
        <f t="shared" si="105"/>
        <v>183.61041121036101</v>
      </c>
      <c r="D50" s="2629">
        <f t="shared" si="87"/>
        <v>183.61041121036101</v>
      </c>
      <c r="E50" s="2629">
        <f t="shared" si="106"/>
        <v>276.66850301795557</v>
      </c>
      <c r="F50" s="2629">
        <f t="shared" si="106"/>
        <v>165.1360938278614</v>
      </c>
      <c r="G50" s="3489">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2605</v>
      </c>
      <c r="B51" s="2662">
        <f t="shared" si="105"/>
        <v>196.62341248059772</v>
      </c>
      <c r="C51" s="2662">
        <f t="shared" si="105"/>
        <v>170.99125648199012</v>
      </c>
      <c r="D51" s="2662">
        <f t="shared" si="87"/>
        <v>170.99125648199012</v>
      </c>
      <c r="E51" s="2662">
        <f t="shared" si="106"/>
        <v>266.07857570490052</v>
      </c>
      <c r="F51" s="2662">
        <f t="shared" si="106"/>
        <v>154.53499328828505</v>
      </c>
      <c r="G51" s="3492">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2606</v>
      </c>
      <c r="B52" s="2621">
        <v>188</v>
      </c>
      <c r="C52" s="2621">
        <v>165</v>
      </c>
      <c r="D52" s="2621">
        <f t="shared" si="87"/>
        <v>165</v>
      </c>
      <c r="E52" s="2621">
        <v>254</v>
      </c>
      <c r="F52" s="2622">
        <v>148</v>
      </c>
      <c r="G52" s="3491">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2607</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489">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2608</v>
      </c>
      <c r="B54" s="2629">
        <f t="shared" si="109"/>
        <v>168.82017748715555</v>
      </c>
      <c r="C54" s="2629">
        <f t="shared" si="109"/>
        <v>148.06267029972753</v>
      </c>
      <c r="D54" s="2629">
        <f t="shared" si="87"/>
        <v>148.06267029972753</v>
      </c>
      <c r="E54" s="2629">
        <f t="shared" si="110"/>
        <v>216.46288379323747</v>
      </c>
      <c r="F54" s="2629">
        <f t="shared" si="110"/>
        <v>134.23529411764704</v>
      </c>
      <c r="G54" s="3489">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2609</v>
      </c>
      <c r="B55" s="2629">
        <f t="shared" si="109"/>
        <v>163.84913591779542</v>
      </c>
      <c r="C55" s="2629">
        <f t="shared" si="109"/>
        <v>145.0283378746594</v>
      </c>
      <c r="D55" s="2629">
        <f t="shared" si="87"/>
        <v>145.0283378746594</v>
      </c>
      <c r="E55" s="2629">
        <f t="shared" si="110"/>
        <v>204.95180722891567</v>
      </c>
      <c r="F55" s="2629">
        <f t="shared" si="110"/>
        <v>125.95920303605313</v>
      </c>
      <c r="G55" s="3492">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2610</v>
      </c>
      <c r="B56" s="2643">
        <v>159</v>
      </c>
      <c r="C56" s="2643">
        <v>141</v>
      </c>
      <c r="D56" s="2643">
        <f t="shared" si="87"/>
        <v>141</v>
      </c>
      <c r="E56" s="2643">
        <v>195</v>
      </c>
      <c r="F56" s="2644">
        <v>122</v>
      </c>
      <c r="G56" s="3491">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2611</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489">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2612</v>
      </c>
      <c r="B58" s="2629">
        <f t="shared" si="113"/>
        <v>146.57412060301507</v>
      </c>
      <c r="C58" s="2629">
        <f t="shared" si="113"/>
        <v>136.46831955922866</v>
      </c>
      <c r="D58" s="2629">
        <f t="shared" si="87"/>
        <v>136.46831955922866</v>
      </c>
      <c r="E58" s="2629">
        <f t="shared" si="114"/>
        <v>166.73864894795128</v>
      </c>
      <c r="F58" s="2629">
        <f t="shared" si="114"/>
        <v>115.05882352941177</v>
      </c>
      <c r="G58" s="3489">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2613</v>
      </c>
      <c r="B59" s="2629">
        <f t="shared" si="113"/>
        <v>144.04145728643215</v>
      </c>
      <c r="C59" s="2629">
        <f t="shared" si="113"/>
        <v>136.12396694214877</v>
      </c>
      <c r="D59" s="2629">
        <f t="shared" si="87"/>
        <v>136.12396694214877</v>
      </c>
      <c r="E59" s="2629">
        <f t="shared" si="114"/>
        <v>158.32225913621264</v>
      </c>
      <c r="F59" s="2629">
        <f t="shared" si="114"/>
        <v>114.04278074866311</v>
      </c>
      <c r="G59" s="3492">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2614</v>
      </c>
      <c r="B60" s="2643">
        <v>138</v>
      </c>
      <c r="C60" s="2643">
        <v>131</v>
      </c>
      <c r="D60" s="2643">
        <f t="shared" si="87"/>
        <v>131</v>
      </c>
      <c r="E60" s="2643">
        <v>155</v>
      </c>
      <c r="F60" s="2644">
        <v>114</v>
      </c>
      <c r="G60" s="3491">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2615</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489">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2616</v>
      </c>
      <c r="B62" s="2629">
        <f t="shared" si="117"/>
        <v>124.29032258064517</v>
      </c>
      <c r="C62" s="2629">
        <f t="shared" si="117"/>
        <v>123.8968609865471</v>
      </c>
      <c r="D62" s="2629">
        <f t="shared" si="87"/>
        <v>123.8968609865471</v>
      </c>
      <c r="E62" s="2629">
        <f t="shared" si="118"/>
        <v>138.00507614213197</v>
      </c>
      <c r="F62" s="2629">
        <f t="shared" si="118"/>
        <v>107.96106557377048</v>
      </c>
      <c r="G62" s="3489">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2617</v>
      </c>
      <c r="B63" s="2629">
        <f t="shared" si="117"/>
        <v>122.57204301075269</v>
      </c>
      <c r="C63" s="2629">
        <f t="shared" si="117"/>
        <v>123.4932735426009</v>
      </c>
      <c r="D63" s="2629">
        <f t="shared" si="87"/>
        <v>123.4932735426009</v>
      </c>
      <c r="E63" s="2629">
        <f t="shared" si="118"/>
        <v>129.82233502538071</v>
      </c>
      <c r="F63" s="2629">
        <f t="shared" si="118"/>
        <v>107.39446721311475</v>
      </c>
      <c r="G63" s="3492">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2618</v>
      </c>
      <c r="B64" s="2659">
        <v>121</v>
      </c>
      <c r="C64" s="2659">
        <v>122</v>
      </c>
      <c r="D64" s="2659">
        <f t="shared" si="87"/>
        <v>122</v>
      </c>
      <c r="E64" s="2659">
        <v>124</v>
      </c>
      <c r="F64" s="2660">
        <v>107</v>
      </c>
      <c r="G64" s="3491">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2619</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489">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2620</v>
      </c>
      <c r="B66" s="2629">
        <f t="shared" si="121"/>
        <v>116.99099099099099</v>
      </c>
      <c r="C66" s="2629">
        <f t="shared" si="121"/>
        <v>118.84848484848486</v>
      </c>
      <c r="D66" s="2629">
        <f t="shared" si="87"/>
        <v>118.84848484848486</v>
      </c>
      <c r="E66" s="2629">
        <f t="shared" si="122"/>
        <v>117.60960960960961</v>
      </c>
      <c r="F66" s="2629">
        <f t="shared" si="122"/>
        <v>104</v>
      </c>
      <c r="G66" s="3489">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2621</v>
      </c>
      <c r="B67" s="2662">
        <f t="shared" si="121"/>
        <v>112.48648648648648</v>
      </c>
      <c r="C67" s="2662">
        <f t="shared" si="121"/>
        <v>115.21212121212122</v>
      </c>
      <c r="D67" s="2662">
        <f t="shared" si="87"/>
        <v>115.21212121212122</v>
      </c>
      <c r="E67" s="2662">
        <f t="shared" si="122"/>
        <v>110.4024024024024</v>
      </c>
      <c r="F67" s="2662">
        <f t="shared" si="122"/>
        <v>104</v>
      </c>
      <c r="G67" s="3492">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2622</v>
      </c>
      <c r="B68" s="2680">
        <v>111</v>
      </c>
      <c r="C68" s="2680">
        <v>114</v>
      </c>
      <c r="D68" s="2680">
        <f t="shared" si="87"/>
        <v>114</v>
      </c>
      <c r="E68" s="2680">
        <v>108</v>
      </c>
      <c r="F68" s="2681">
        <v>104</v>
      </c>
      <c r="G68" s="3491">
        <v>2003</v>
      </c>
      <c r="H68" s="2670">
        <v>4</v>
      </c>
      <c r="I68" s="2682"/>
      <c r="J68" s="2682"/>
      <c r="K68" s="2682"/>
      <c r="L68" s="2682"/>
      <c r="N68" s="2683"/>
      <c r="O68" s="2682"/>
      <c r="P68" s="2682"/>
      <c r="Q68" s="2682"/>
      <c r="S68" s="2683"/>
      <c r="T68" s="2682"/>
      <c r="U68" s="2682"/>
      <c r="V68" s="2682"/>
      <c r="X68" s="2674"/>
      <c r="Y68" s="2674"/>
      <c r="Z68" s="2674"/>
    </row>
    <row r="69" spans="1:26">
      <c r="A69" s="2616" t="s">
        <v>2623</v>
      </c>
      <c r="B69" s="2684">
        <f t="shared" ref="B69:C71" si="123">B70+(B$68-B$72)/4</f>
        <v>109.75</v>
      </c>
      <c r="C69" s="2684">
        <f t="shared" si="123"/>
        <v>112.25</v>
      </c>
      <c r="D69" s="2684">
        <f t="shared" si="87"/>
        <v>112.25</v>
      </c>
      <c r="E69" s="2684">
        <f t="shared" ref="E69:F71" si="124">E70+(E$68-E$72)/4</f>
        <v>107.25</v>
      </c>
      <c r="F69" s="2684">
        <f t="shared" si="124"/>
        <v>103.5</v>
      </c>
      <c r="G69" s="3489">
        <v>2003</v>
      </c>
      <c r="H69" s="2640">
        <v>3</v>
      </c>
      <c r="I69" s="2682"/>
      <c r="J69" s="2682"/>
      <c r="K69" s="2682"/>
      <c r="L69" s="2682"/>
      <c r="X69" s="2674"/>
      <c r="Y69" s="2674"/>
      <c r="Z69" s="2674"/>
    </row>
    <row r="70" spans="1:26">
      <c r="A70" s="2616" t="s">
        <v>2624</v>
      </c>
      <c r="B70" s="2684">
        <f t="shared" si="123"/>
        <v>108.5</v>
      </c>
      <c r="C70" s="2684">
        <f t="shared" si="123"/>
        <v>110.5</v>
      </c>
      <c r="D70" s="2684">
        <f t="shared" si="87"/>
        <v>110.5</v>
      </c>
      <c r="E70" s="2684">
        <f t="shared" si="124"/>
        <v>106.5</v>
      </c>
      <c r="F70" s="2684">
        <f t="shared" si="124"/>
        <v>103</v>
      </c>
      <c r="G70" s="3489">
        <v>2003</v>
      </c>
      <c r="H70" s="2620">
        <v>2</v>
      </c>
      <c r="I70" s="2682"/>
      <c r="J70" s="2682"/>
      <c r="K70" s="2682"/>
      <c r="L70" s="2682"/>
      <c r="X70" s="2674"/>
      <c r="Y70" s="2674"/>
      <c r="Z70" s="2674"/>
    </row>
    <row r="71" spans="1:26" ht="13.5" thickBot="1">
      <c r="A71" s="2616" t="s">
        <v>2625</v>
      </c>
      <c r="B71" s="2684">
        <f t="shared" si="123"/>
        <v>107.25</v>
      </c>
      <c r="C71" s="2684">
        <f t="shared" si="123"/>
        <v>108.75</v>
      </c>
      <c r="D71" s="2684">
        <f t="shared" si="87"/>
        <v>108.75</v>
      </c>
      <c r="E71" s="2684">
        <f t="shared" si="124"/>
        <v>105.75</v>
      </c>
      <c r="F71" s="2684">
        <f t="shared" si="124"/>
        <v>102.5</v>
      </c>
      <c r="G71" s="3492">
        <v>2003</v>
      </c>
      <c r="H71" s="2685">
        <v>1</v>
      </c>
      <c r="I71" s="2682"/>
      <c r="J71" s="2682"/>
      <c r="K71" s="2682"/>
      <c r="L71" s="2682"/>
      <c r="S71" s="2624"/>
      <c r="T71" s="2625"/>
      <c r="U71" s="2625"/>
      <c r="X71" s="2674"/>
      <c r="Y71" s="2674"/>
      <c r="Z71" s="2674"/>
    </row>
    <row r="72" spans="1:26" ht="13.5" thickBot="1">
      <c r="A72" s="2616" t="s">
        <v>2626</v>
      </c>
      <c r="B72" s="2686">
        <v>106</v>
      </c>
      <c r="C72" s="2686">
        <v>107</v>
      </c>
      <c r="D72" s="2686">
        <f t="shared" si="87"/>
        <v>107</v>
      </c>
      <c r="E72" s="2686">
        <v>105</v>
      </c>
      <c r="F72" s="2687">
        <v>102</v>
      </c>
      <c r="G72" s="3491">
        <v>2002</v>
      </c>
      <c r="H72" s="2635">
        <v>4</v>
      </c>
      <c r="I72" s="2682"/>
      <c r="J72" s="2682"/>
      <c r="K72" s="2682"/>
      <c r="L72" s="2682"/>
      <c r="N72" s="2683"/>
      <c r="O72" s="2682"/>
      <c r="P72" s="2682"/>
      <c r="Q72" s="2682"/>
      <c r="S72" s="2683"/>
      <c r="T72" s="2682"/>
      <c r="U72" s="2682"/>
      <c r="V72" s="2682"/>
      <c r="X72" s="2674"/>
      <c r="Y72" s="2674"/>
      <c r="Z72" s="2674"/>
    </row>
    <row r="73" spans="1:26">
      <c r="A73" s="2616" t="s">
        <v>2627</v>
      </c>
      <c r="B73" s="2684">
        <f t="shared" ref="B73:C75" si="125">B74+(B$72-B$76)/4</f>
        <v>105</v>
      </c>
      <c r="C73" s="2684">
        <f t="shared" si="125"/>
        <v>106</v>
      </c>
      <c r="D73" s="2684">
        <f t="shared" si="87"/>
        <v>106</v>
      </c>
      <c r="E73" s="2684">
        <f t="shared" ref="E73:F75" si="126">E74+(E$72-E$76)/4</f>
        <v>104.5</v>
      </c>
      <c r="F73" s="2684">
        <f t="shared" si="126"/>
        <v>101.5</v>
      </c>
      <c r="G73" s="3489">
        <v>2002</v>
      </c>
      <c r="H73" s="2640">
        <v>3</v>
      </c>
      <c r="I73" s="2682"/>
      <c r="J73" s="2682"/>
      <c r="K73" s="2682"/>
      <c r="L73" s="2682"/>
      <c r="X73" s="2674"/>
      <c r="Y73" s="2674"/>
      <c r="Z73" s="2674"/>
    </row>
    <row r="74" spans="1:26">
      <c r="A74" s="2616" t="s">
        <v>2628</v>
      </c>
      <c r="B74" s="2684">
        <f t="shared" si="125"/>
        <v>104</v>
      </c>
      <c r="C74" s="2684">
        <f t="shared" si="125"/>
        <v>105</v>
      </c>
      <c r="D74" s="2684">
        <f t="shared" si="87"/>
        <v>105</v>
      </c>
      <c r="E74" s="2684">
        <f t="shared" si="126"/>
        <v>104</v>
      </c>
      <c r="F74" s="2684">
        <f t="shared" si="126"/>
        <v>101</v>
      </c>
      <c r="G74" s="3489">
        <v>2002</v>
      </c>
      <c r="H74" s="2620">
        <v>2</v>
      </c>
      <c r="I74" s="2682"/>
      <c r="J74" s="2682"/>
      <c r="K74" s="2682"/>
      <c r="L74" s="2682"/>
      <c r="X74" s="2674"/>
      <c r="Y74" s="2674"/>
      <c r="Z74" s="2674"/>
    </row>
    <row r="75" spans="1:26" s="2651" customFormat="1" ht="13.5" thickBot="1">
      <c r="A75" s="2647" t="s">
        <v>2629</v>
      </c>
      <c r="B75" s="2688">
        <f t="shared" si="125"/>
        <v>103</v>
      </c>
      <c r="C75" s="2688">
        <f t="shared" si="125"/>
        <v>104</v>
      </c>
      <c r="D75" s="2688">
        <f t="shared" si="87"/>
        <v>104</v>
      </c>
      <c r="E75" s="2688">
        <f t="shared" si="126"/>
        <v>103.5</v>
      </c>
      <c r="F75" s="2688">
        <f t="shared" si="126"/>
        <v>100.5</v>
      </c>
      <c r="G75" s="3492">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2630</v>
      </c>
      <c r="G78" s="2698"/>
      <c r="N78" s="2698"/>
      <c r="S78" s="2698"/>
    </row>
    <row r="79" spans="1:26" s="2697" customFormat="1">
      <c r="A79" s="2697" t="s">
        <v>2631</v>
      </c>
      <c r="G79" s="2698"/>
      <c r="N79" s="2698"/>
      <c r="S79" s="2698"/>
    </row>
    <row r="80" spans="1:26" s="2697" customFormat="1">
      <c r="A80" s="2697" t="s">
        <v>2632</v>
      </c>
      <c r="G80" s="2698"/>
      <c r="I80" s="2699"/>
      <c r="J80" s="2699"/>
      <c r="K80" s="2699"/>
      <c r="L80" s="2699"/>
      <c r="N80" s="2700"/>
      <c r="O80" s="2699"/>
      <c r="P80" s="2699"/>
      <c r="Q80" s="2699"/>
      <c r="S80" s="2700"/>
      <c r="T80" s="2699"/>
      <c r="U80" s="2699"/>
      <c r="V80" s="2699"/>
    </row>
    <row r="81" spans="1:22" s="2697" customFormat="1">
      <c r="A81" s="2697" t="s">
        <v>2633</v>
      </c>
      <c r="G81" s="2698"/>
      <c r="N81" s="2698"/>
      <c r="S81" s="2698"/>
    </row>
    <row r="88" spans="1:22" ht="13.5" thickBot="1"/>
    <row r="89" spans="1:22">
      <c r="G89" s="2623"/>
      <c r="S89" s="2701" t="s">
        <v>2634</v>
      </c>
      <c r="T89" s="2702" t="s">
        <v>2635</v>
      </c>
      <c r="U89" s="2702" t="s">
        <v>2636</v>
      </c>
      <c r="V89" s="2702" t="s">
        <v>2637</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2943</v>
      </c>
      <c r="B1" s="3052"/>
      <c r="C1" s="3052"/>
      <c r="D1" s="3052"/>
      <c r="E1" s="3052"/>
      <c r="F1" s="3052"/>
    </row>
    <row r="2" spans="1:6" ht="14.25">
      <c r="A2" s="3053" t="s">
        <v>2938</v>
      </c>
      <c r="B2" s="3054" t="e">
        <f ca="1">SUMIF(B7:B14,"&lt;&gt;#ref!",B7:B14)</f>
        <v>#DIV/0!</v>
      </c>
      <c r="C2" s="3053" t="s">
        <v>2939</v>
      </c>
      <c r="D2" s="3052"/>
      <c r="E2" s="3052"/>
      <c r="F2" s="3052"/>
    </row>
    <row r="3" spans="1:6" ht="14.25">
      <c r="A3" s="3053" t="s">
        <v>2971</v>
      </c>
      <c r="B3" s="3054" t="e">
        <f ca="1">ROUND(B2*10000/E3,0)</f>
        <v>#DIV/0!</v>
      </c>
      <c r="C3" s="3053" t="s">
        <v>2077</v>
      </c>
      <c r="D3" s="3053" t="s">
        <v>2940</v>
      </c>
      <c r="E3" s="3054">
        <f ca="1">SUMIF(E7:E14,"&lt;&gt;#ref!",E7:E14)</f>
        <v>0</v>
      </c>
      <c r="F3" s="3052"/>
    </row>
    <row r="4" spans="1:6" ht="14.25">
      <c r="A4" s="3053" t="s">
        <v>2947</v>
      </c>
      <c r="B4" s="3054" t="e">
        <f ca="1">ROUND(B2*10000/E4,0)</f>
        <v>#DIV/0!</v>
      </c>
      <c r="C4" s="3053" t="s">
        <v>2077</v>
      </c>
      <c r="D4" s="3053" t="s">
        <v>2948</v>
      </c>
      <c r="E4" s="3054">
        <f ca="1">SUMIF(F7:F14,"&lt;&gt;#ref!",F7:F14)</f>
        <v>0</v>
      </c>
      <c r="F4" s="3052"/>
    </row>
    <row r="5" spans="1:6" ht="14.25">
      <c r="A5" s="3055"/>
      <c r="B5" s="1863"/>
      <c r="C5" s="1863"/>
      <c r="D5" s="1863"/>
      <c r="E5" s="1863"/>
      <c r="F5" s="3052"/>
    </row>
    <row r="6" spans="1:6" ht="28.5">
      <c r="A6" s="3056" t="s">
        <v>2944</v>
      </c>
      <c r="B6" s="3053" t="s">
        <v>2941</v>
      </c>
      <c r="C6" s="3054"/>
      <c r="D6" s="1863"/>
      <c r="E6" s="3053" t="s">
        <v>2942</v>
      </c>
      <c r="F6" s="3053" t="s">
        <v>2946</v>
      </c>
    </row>
    <row r="7" spans="1:6" ht="14.25">
      <c r="A7" s="259" t="s">
        <v>2945</v>
      </c>
      <c r="B7" s="3057" t="e">
        <f ca="1">SUMIF(INDIRECT("'"&amp;A7&amp;"'"&amp;"!A:A"),"总价",INDIRECT("'"&amp;A7&amp;"'"&amp;"!B:B"))</f>
        <v>#DIV/0!</v>
      </c>
      <c r="C7" s="3053" t="s">
        <v>2939</v>
      </c>
      <c r="D7" s="1863"/>
      <c r="E7" s="3058">
        <f ca="1">SUMIF(INDIRECT("'"&amp;A7&amp;"'"&amp;"!C:C"),"建筑面积",INDIRECT("'"&amp;A7&amp;"'"&amp;"!D:D"))</f>
        <v>0</v>
      </c>
      <c r="F7" s="3058">
        <f ca="1">SUMIF(INDIRECT("'"&amp;A7&amp;"'"&amp;"!E:E"),"土地面积",INDIRECT("'"&amp;A7&amp;"'"&amp;"!F:F"))</f>
        <v>0</v>
      </c>
    </row>
    <row r="8" spans="1:6" ht="14.25">
      <c r="A8" s="259"/>
      <c r="B8" s="3057" t="e">
        <f t="shared" ref="B8:B14" ca="1" si="0">SUMIF(INDIRECT("'"&amp;A8&amp;"'"&amp;"!A:A"),"总价",INDIRECT("'"&amp;A8&amp;"'"&amp;"!B:B"))</f>
        <v>#REF!</v>
      </c>
      <c r="C8" s="3053" t="s">
        <v>2939</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2939</v>
      </c>
      <c r="D9" s="1863"/>
      <c r="E9" s="3058" t="e">
        <f t="shared" ca="1" si="1"/>
        <v>#REF!</v>
      </c>
      <c r="F9" s="3058" t="e">
        <f t="shared" ca="1" si="2"/>
        <v>#REF!</v>
      </c>
    </row>
    <row r="10" spans="1:6" ht="14.25">
      <c r="A10" s="259"/>
      <c r="B10" s="3057" t="e">
        <f t="shared" ca="1" si="0"/>
        <v>#REF!</v>
      </c>
      <c r="C10" s="3053" t="s">
        <v>2939</v>
      </c>
      <c r="D10" s="1863"/>
      <c r="E10" s="3058" t="e">
        <f t="shared" ca="1" si="1"/>
        <v>#REF!</v>
      </c>
      <c r="F10" s="3058" t="e">
        <f t="shared" ca="1" si="2"/>
        <v>#REF!</v>
      </c>
    </row>
    <row r="11" spans="1:6" ht="14.25">
      <c r="A11" s="259"/>
      <c r="B11" s="3057" t="e">
        <f t="shared" ca="1" si="0"/>
        <v>#REF!</v>
      </c>
      <c r="C11" s="3053" t="s">
        <v>2939</v>
      </c>
      <c r="D11" s="1863"/>
      <c r="E11" s="3058" t="e">
        <f t="shared" ca="1" si="1"/>
        <v>#REF!</v>
      </c>
      <c r="F11" s="3058" t="e">
        <f t="shared" ca="1" si="2"/>
        <v>#REF!</v>
      </c>
    </row>
    <row r="12" spans="1:6" ht="14.25">
      <c r="A12" s="259"/>
      <c r="B12" s="3057" t="e">
        <f t="shared" ca="1" si="0"/>
        <v>#REF!</v>
      </c>
      <c r="C12" s="3053" t="s">
        <v>2939</v>
      </c>
      <c r="D12" s="1863"/>
      <c r="E12" s="3058" t="e">
        <f t="shared" ca="1" si="1"/>
        <v>#REF!</v>
      </c>
      <c r="F12" s="3058" t="e">
        <f t="shared" ca="1" si="2"/>
        <v>#REF!</v>
      </c>
    </row>
    <row r="13" spans="1:6" ht="14.25">
      <c r="A13" s="259"/>
      <c r="B13" s="3057" t="e">
        <f t="shared" ca="1" si="0"/>
        <v>#REF!</v>
      </c>
      <c r="C13" s="3053" t="s">
        <v>2939</v>
      </c>
      <c r="D13" s="1863"/>
      <c r="E13" s="3058" t="e">
        <f t="shared" ca="1" si="1"/>
        <v>#REF!</v>
      </c>
      <c r="F13" s="3058" t="e">
        <f t="shared" ca="1" si="2"/>
        <v>#REF!</v>
      </c>
    </row>
    <row r="14" spans="1:6" ht="14.25">
      <c r="A14" s="3051"/>
      <c r="B14" s="3057" t="e">
        <f t="shared" ca="1" si="0"/>
        <v>#REF!</v>
      </c>
      <c r="C14" s="3053" t="s">
        <v>2939</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2373</v>
      </c>
      <c r="F1" s="2349">
        <f ca="1">J54</f>
        <v>-1.5</v>
      </c>
      <c r="G1" s="773">
        <f>MATCH(C1,'数据-取费表'!A6:A16,0)+5</f>
        <v>8</v>
      </c>
      <c r="H1" s="1344"/>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5"/>
      <c r="D2" s="2037"/>
      <c r="E2" s="2038"/>
      <c r="F2" s="2038"/>
      <c r="G2" s="1575"/>
      <c r="H2" s="1357"/>
      <c r="I2" s="2039"/>
      <c r="J2" s="2039"/>
      <c r="K2" s="2040"/>
      <c r="L2" s="2039"/>
      <c r="M2" s="2039"/>
    </row>
    <row r="3" spans="1:25" ht="18" customHeight="1">
      <c r="A3" s="1629" t="s">
        <v>1685</v>
      </c>
      <c r="B3" s="1386">
        <f ca="1">ROUND(B2*10000/'数据-汇总表'!E3,0)</f>
        <v>0</v>
      </c>
      <c r="C3" s="1345"/>
      <c r="D3" s="2037"/>
      <c r="E3" s="2038"/>
      <c r="F3" s="2038"/>
      <c r="G3" s="1575"/>
      <c r="H3" s="775" t="s">
        <v>695</v>
      </c>
      <c r="I3" s="2039"/>
      <c r="J3" s="2039"/>
      <c r="K3" s="2040"/>
      <c r="L3" s="2039"/>
      <c r="M3" s="2039"/>
    </row>
    <row r="4" spans="1:25" ht="18" customHeight="1">
      <c r="A4" s="1630" t="s">
        <v>696</v>
      </c>
      <c r="B4" s="1346">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0" t="s">
        <v>698</v>
      </c>
      <c r="B6" s="1802" t="s">
        <v>699</v>
      </c>
      <c r="C6" s="1802" t="s">
        <v>632</v>
      </c>
      <c r="D6" s="1802" t="s">
        <v>633</v>
      </c>
      <c r="E6" s="778" t="s">
        <v>634</v>
      </c>
      <c r="F6" s="779"/>
      <c r="G6" s="1577"/>
      <c r="H6" s="1810" t="s">
        <v>630</v>
      </c>
      <c r="I6" s="1802" t="s">
        <v>631</v>
      </c>
      <c r="J6" s="1802" t="s">
        <v>632</v>
      </c>
      <c r="K6" s="1802" t="s">
        <v>633</v>
      </c>
      <c r="L6" s="778" t="s">
        <v>634</v>
      </c>
      <c r="M6" s="779"/>
    </row>
    <row r="7" spans="1:25" ht="18" customHeight="1">
      <c r="A7" s="780">
        <v>1</v>
      </c>
      <c r="B7" s="781" t="s">
        <v>2457</v>
      </c>
      <c r="C7" s="53">
        <f ca="1">C8+C12+C14</f>
        <v>0</v>
      </c>
      <c r="D7" s="2457" t="s">
        <v>2460</v>
      </c>
      <c r="E7" s="2451"/>
      <c r="F7" s="2452"/>
      <c r="G7" s="1577"/>
      <c r="H7" s="780">
        <v>1</v>
      </c>
      <c r="I7" s="781" t="s">
        <v>2457</v>
      </c>
      <c r="J7" s="53">
        <f ca="1">J8+J12+J14</f>
        <v>0</v>
      </c>
      <c r="K7" s="2457" t="s">
        <v>2460</v>
      </c>
      <c r="L7" s="2451"/>
      <c r="M7" s="2452"/>
    </row>
    <row r="8" spans="1:25" ht="18" customHeight="1">
      <c r="A8" s="1812" t="s">
        <v>1823</v>
      </c>
      <c r="B8" s="3500" t="s">
        <v>2462</v>
      </c>
      <c r="C8" s="1807">
        <f ca="1">ROUND(F8*F10*F9*(1-F11)/10000,0)</f>
        <v>0</v>
      </c>
      <c r="D8" s="1804" t="s">
        <v>2533</v>
      </c>
      <c r="E8" s="61" t="s">
        <v>637</v>
      </c>
      <c r="F8" s="784">
        <f ca="1">INDIRECT("'数据-取费表'!u"&amp;$G$1)</f>
        <v>0</v>
      </c>
      <c r="G8" s="1577"/>
      <c r="H8" s="2465" t="s">
        <v>1823</v>
      </c>
      <c r="I8" s="3500" t="s">
        <v>2462</v>
      </c>
      <c r="J8" s="782">
        <f ca="1">ROUND(M8*M10*M9*(1-M11)/10000,0)</f>
        <v>0</v>
      </c>
      <c r="K8" s="340" t="s">
        <v>2533</v>
      </c>
      <c r="L8" s="783" t="s">
        <v>1737</v>
      </c>
      <c r="M8" s="784">
        <f ca="1">INDIRECT("'数据-取费表'!z"&amp;$G$1)</f>
        <v>0</v>
      </c>
    </row>
    <row r="9" spans="1:25" ht="18" customHeight="1">
      <c r="A9" s="2461"/>
      <c r="B9" s="3501"/>
      <c r="C9" s="1808"/>
      <c r="D9" s="1805"/>
      <c r="E9" s="61" t="s">
        <v>638</v>
      </c>
      <c r="F9" s="784">
        <f ca="1">IF(INDIRECT("'数据-取费表'!ah"&amp;$G$1)="",INDIRECT("'数据-取费表'!k"&amp;$G$1),INDIRECT("'数据-取费表'!ah"&amp;$G$1))</f>
        <v>0</v>
      </c>
      <c r="G9" s="1577"/>
      <c r="H9" s="2450"/>
      <c r="I9" s="3501"/>
      <c r="J9" s="787"/>
      <c r="K9" s="788"/>
      <c r="L9" s="783" t="s">
        <v>1738</v>
      </c>
      <c r="M9" s="784">
        <f ca="1">F9</f>
        <v>0</v>
      </c>
    </row>
    <row r="10" spans="1:25" ht="18" customHeight="1">
      <c r="A10" s="2454"/>
      <c r="B10" s="3502"/>
      <c r="C10" s="1808"/>
      <c r="D10" s="1805"/>
      <c r="E10" s="61" t="s">
        <v>639</v>
      </c>
      <c r="F10" s="784">
        <f ca="1">INDIRECT("'数据-取费表'!ai"&amp;$G$1)</f>
        <v>0</v>
      </c>
      <c r="G10" s="1577"/>
      <c r="H10" s="2450"/>
      <c r="I10" s="3502"/>
      <c r="J10" s="787"/>
      <c r="K10" s="788"/>
      <c r="L10" s="783" t="s">
        <v>1739</v>
      </c>
      <c r="M10" s="784">
        <f ca="1">INDIRECT("'数据-取费表'!ai"&amp;$G$1)</f>
        <v>0</v>
      </c>
    </row>
    <row r="11" spans="1:25" ht="18" customHeight="1">
      <c r="A11" s="785"/>
      <c r="B11" s="3503"/>
      <c r="C11" s="1808"/>
      <c r="D11" s="1805"/>
      <c r="E11" s="61" t="s">
        <v>640</v>
      </c>
      <c r="F11" s="793">
        <f ca="1">INDIRECT("'数据-取费表'!w"&amp;$G$1)</f>
        <v>0</v>
      </c>
      <c r="G11" s="1577"/>
      <c r="H11" s="2466"/>
      <c r="I11" s="3502"/>
      <c r="J11" s="787"/>
      <c r="K11" s="788"/>
      <c r="L11" s="794" t="s">
        <v>1740</v>
      </c>
      <c r="M11" s="795">
        <f ca="1">INDIRECT("'数据-取费表'!ab"&amp;$G$1)</f>
        <v>0</v>
      </c>
    </row>
    <row r="12" spans="1:25" ht="18" customHeight="1">
      <c r="A12" s="1812" t="s">
        <v>1824</v>
      </c>
      <c r="B12" s="2455" t="s">
        <v>2458</v>
      </c>
      <c r="C12" s="798">
        <f ca="1">ROUND(IF(F12="押一",C8/12*F13,IF(F12="押二",C8/12*2*F13,IF(F12="押三",C8/12*3*F13,C13*F13))),0)</f>
        <v>0</v>
      </c>
      <c r="D12" s="2462" t="s">
        <v>2968</v>
      </c>
      <c r="E12" s="2459" t="s">
        <v>2463</v>
      </c>
      <c r="F12" s="2582"/>
      <c r="G12" s="1577"/>
      <c r="H12" s="2522" t="s">
        <v>1824</v>
      </c>
      <c r="I12" s="2527" t="s">
        <v>2458</v>
      </c>
      <c r="J12" s="782">
        <f ca="1">ROUND(IF(M12="押一",J8/12*M13,IF(M12="押二",J8/12*2*M13,IF(M12="押三",J8/12*3*M13,J13*M13))),0)</f>
        <v>0</v>
      </c>
      <c r="K12" s="2462" t="s">
        <v>2968</v>
      </c>
      <c r="L12" s="2459" t="s">
        <v>2463</v>
      </c>
      <c r="M12" s="2582"/>
    </row>
    <row r="13" spans="1:25" ht="18" customHeight="1">
      <c r="A13" s="789"/>
      <c r="B13" s="2456" t="s">
        <v>2572</v>
      </c>
      <c r="C13" s="2460"/>
      <c r="D13" s="788"/>
      <c r="E13" s="2459" t="s">
        <v>2455</v>
      </c>
      <c r="F13" s="795">
        <f ca="1">'数据-取费表'!B39</f>
        <v>1.4999999999999999E-2</v>
      </c>
      <c r="G13" s="1577"/>
      <c r="H13" s="2523"/>
      <c r="I13" s="2456" t="s">
        <v>2572</v>
      </c>
      <c r="J13" s="2460"/>
      <c r="K13" s="2524"/>
      <c r="L13" s="2459" t="s">
        <v>2455</v>
      </c>
      <c r="M13" s="2453">
        <f ca="1">'数据-取费表'!B39</f>
        <v>1.4999999999999999E-2</v>
      </c>
    </row>
    <row r="14" spans="1:25" ht="18" customHeight="1" thickBot="1">
      <c r="A14" s="2498" t="s">
        <v>2466</v>
      </c>
      <c r="B14" s="2499" t="s">
        <v>2459</v>
      </c>
      <c r="C14" s="2500"/>
      <c r="D14" s="2501"/>
      <c r="E14" s="2502"/>
      <c r="F14" s="2503"/>
      <c r="G14" s="1577"/>
      <c r="H14" s="2512" t="s">
        <v>2466</v>
      </c>
      <c r="I14" s="2525" t="s">
        <v>2459</v>
      </c>
      <c r="J14" s="2526"/>
      <c r="K14" s="2501"/>
      <c r="L14" s="2502"/>
      <c r="M14" s="2515"/>
    </row>
    <row r="15" spans="1:25" ht="18" customHeight="1" thickTop="1">
      <c r="A15" s="1811" t="s">
        <v>1873</v>
      </c>
      <c r="B15" s="1809" t="s">
        <v>641</v>
      </c>
      <c r="C15" s="791">
        <f ca="1">ROUND(C31*F15,0)</f>
        <v>0</v>
      </c>
      <c r="D15" s="1816" t="s">
        <v>642</v>
      </c>
      <c r="E15" s="794" t="s">
        <v>643</v>
      </c>
      <c r="F15" s="799">
        <f ca="1">INDIRECT("'数据-取费表'!y"&amp;$G$1)</f>
        <v>0</v>
      </c>
      <c r="G15" s="1577"/>
      <c r="H15" s="1811" t="s">
        <v>1825</v>
      </c>
      <c r="I15" s="1809" t="s">
        <v>644</v>
      </c>
      <c r="J15" s="1801">
        <f ca="1">ROUND(J16*J17,0)</f>
        <v>0</v>
      </c>
      <c r="K15" s="1803" t="s">
        <v>642</v>
      </c>
      <c r="L15" s="800"/>
      <c r="M15" s="801"/>
    </row>
    <row r="16" spans="1:25" ht="18" customHeight="1">
      <c r="A16" s="802" t="s">
        <v>1874</v>
      </c>
      <c r="B16" s="783" t="s">
        <v>645</v>
      </c>
      <c r="C16" s="803">
        <f ca="1">INDIRECT("'数据-取费表'!m"&amp;$G$1)+INDIRECT("'数据-取费表'!t"&amp;$G$1)</f>
        <v>0</v>
      </c>
      <c r="D16" s="1961" t="s">
        <v>646</v>
      </c>
      <c r="E16" s="1962"/>
      <c r="F16" s="804"/>
      <c r="G16" s="1577"/>
      <c r="H16" s="802" t="s">
        <v>2068</v>
      </c>
      <c r="I16" s="2213" t="s">
        <v>2823</v>
      </c>
      <c r="J16" s="53">
        <f ca="1">C31</f>
        <v>0</v>
      </c>
      <c r="K16" s="26"/>
      <c r="L16" s="800"/>
      <c r="M16" s="801"/>
    </row>
    <row r="17" spans="1:25" s="2046" customFormat="1" ht="18" customHeight="1">
      <c r="A17" s="802" t="s">
        <v>1848</v>
      </c>
      <c r="B17" s="783" t="s">
        <v>647</v>
      </c>
      <c r="C17" s="53">
        <f ca="1">ROUND(C16*F17,0)</f>
        <v>0</v>
      </c>
      <c r="D17" s="805" t="s">
        <v>648</v>
      </c>
      <c r="E17" s="805" t="s">
        <v>649</v>
      </c>
      <c r="F17" s="806">
        <f>'数据-取费表'!B33</f>
        <v>0.03</v>
      </c>
      <c r="G17" s="1578"/>
      <c r="H17" s="802" t="s">
        <v>2069</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7"/>
      <c r="H18" s="796" t="s">
        <v>1826</v>
      </c>
      <c r="I18" s="797" t="s">
        <v>651</v>
      </c>
      <c r="J18" s="798">
        <f ca="1">ROUND(J19+J24+J25+J26,0)</f>
        <v>0</v>
      </c>
      <c r="K18" s="26" t="s">
        <v>652</v>
      </c>
      <c r="L18" s="1964"/>
      <c r="M18" s="56"/>
    </row>
    <row r="19" spans="1:25" s="2046" customFormat="1" ht="18" customHeight="1">
      <c r="A19" s="802" t="s">
        <v>1850</v>
      </c>
      <c r="B19" s="783" t="s">
        <v>653</v>
      </c>
      <c r="C19" s="53">
        <f ca="1">ROUND(F19*(INDIRECT("'数据-取费表'!k"&amp;$G$1)+INDIRECT("'数据-取费表'!S"&amp;$G$1))/10000,0)</f>
        <v>0</v>
      </c>
      <c r="D19" s="783" t="s">
        <v>654</v>
      </c>
      <c r="E19" s="783" t="s">
        <v>655</v>
      </c>
      <c r="F19" s="56">
        <f>'数据-取费表'!B35</f>
        <v>200</v>
      </c>
      <c r="G19" s="1578"/>
      <c r="H19" s="802" t="s">
        <v>2068</v>
      </c>
      <c r="I19" s="783" t="s">
        <v>656</v>
      </c>
      <c r="J19" s="53">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1851</v>
      </c>
      <c r="B20" s="783" t="s">
        <v>659</v>
      </c>
      <c r="C20" s="53">
        <f ca="1">ROUND(C16*F20,0)</f>
        <v>0</v>
      </c>
      <c r="D20" s="783" t="s">
        <v>648</v>
      </c>
      <c r="E20" s="783" t="s">
        <v>649</v>
      </c>
      <c r="F20" s="808">
        <f>'数据-取费表'!B36</f>
        <v>1.4999999999999999E-2</v>
      </c>
      <c r="G20" s="1578"/>
      <c r="H20" s="802" t="s">
        <v>1830</v>
      </c>
      <c r="I20" s="783" t="s">
        <v>660</v>
      </c>
      <c r="J20" s="53">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1875</v>
      </c>
      <c r="B21" s="783" t="s">
        <v>662</v>
      </c>
      <c r="C21" s="53">
        <f ca="1">SUM(C16:C20)</f>
        <v>0</v>
      </c>
      <c r="D21" s="260" t="s">
        <v>663</v>
      </c>
      <c r="E21" s="1964"/>
      <c r="F21" s="56"/>
      <c r="G21" s="1577"/>
      <c r="H21" s="1812" t="s">
        <v>1848</v>
      </c>
      <c r="I21" s="783" t="s">
        <v>664</v>
      </c>
      <c r="J21" s="53">
        <f ca="1">IF(K21="按租金收入计税",ROUND(J7*M21,1),ROUND(C31*F35*0.7,1))</f>
        <v>0</v>
      </c>
      <c r="K21" s="810" t="s">
        <v>665</v>
      </c>
      <c r="L21" s="783" t="s">
        <v>649</v>
      </c>
      <c r="M21" s="808">
        <f>IF(K21="按租金收入计税",'数据-取费表'!B51,'数据-取费表'!B50)</f>
        <v>1.2E-2</v>
      </c>
    </row>
    <row r="22" spans="1:25" s="2046" customFormat="1" ht="18" customHeight="1">
      <c r="A22" s="802" t="s">
        <v>1876</v>
      </c>
      <c r="B22" s="783" t="s">
        <v>666</v>
      </c>
      <c r="C22" s="53">
        <f ca="1">ROUND(C21*F22,0)</f>
        <v>0</v>
      </c>
      <c r="D22" s="811" t="s">
        <v>667</v>
      </c>
      <c r="E22" s="783" t="s">
        <v>649</v>
      </c>
      <c r="F22" s="808">
        <f>'数据-取费表'!B37</f>
        <v>1.4999999999999999E-2</v>
      </c>
      <c r="G22" s="1578"/>
      <c r="H22" s="1814" t="s">
        <v>1849</v>
      </c>
      <c r="I22" s="1804" t="s">
        <v>668</v>
      </c>
      <c r="J22" s="54">
        <f ca="1">ROUND(M22*M23/10000,0)</f>
        <v>0</v>
      </c>
      <c r="K22" s="813" t="s">
        <v>669</v>
      </c>
      <c r="L22" s="783" t="s">
        <v>670</v>
      </c>
      <c r="M22" s="639">
        <f>'数据-取费表'!B52</f>
        <v>4</v>
      </c>
      <c r="N22" s="2045"/>
      <c r="O22" s="2045"/>
      <c r="P22" s="2045"/>
      <c r="Q22" s="2045"/>
      <c r="R22" s="2045"/>
      <c r="S22" s="2045"/>
      <c r="T22" s="2045"/>
      <c r="U22" s="2045"/>
      <c r="V22" s="2045"/>
      <c r="W22" s="2045"/>
      <c r="X22" s="2045"/>
      <c r="Y22" s="2045"/>
    </row>
    <row r="23" spans="1:25" s="2046" customFormat="1" ht="18" customHeight="1">
      <c r="A23" s="802" t="s">
        <v>1877</v>
      </c>
      <c r="B23" s="783" t="s">
        <v>671</v>
      </c>
      <c r="C23" s="53" t="s">
        <v>1</v>
      </c>
      <c r="D23" s="811" t="s">
        <v>672</v>
      </c>
      <c r="E23" s="783" t="s">
        <v>673</v>
      </c>
      <c r="F23" s="808">
        <f>'数据-取费表'!B38</f>
        <v>1.4999999999999999E-2</v>
      </c>
      <c r="G23" s="1578"/>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1878</v>
      </c>
      <c r="B24" s="783" t="s">
        <v>675</v>
      </c>
      <c r="C24" s="53"/>
      <c r="D24" s="2533" t="str">
        <f>IF(F25&lt;=1,"单利计息。","复利计息。")&amp;"建造成本、管理费用、销售费用产生的利息。"</f>
        <v>复利计息。建造成本、管理费用、销售费用产生的利息。</v>
      </c>
      <c r="E24" s="1964"/>
      <c r="F24" s="56"/>
      <c r="G24" s="1577"/>
      <c r="H24" s="1813" t="s">
        <v>2069</v>
      </c>
      <c r="I24" s="783" t="s">
        <v>676</v>
      </c>
      <c r="J24" s="53">
        <f ca="1">ROUND(J16*M24,0)</f>
        <v>0</v>
      </c>
      <c r="K24" s="1959" t="s">
        <v>677</v>
      </c>
      <c r="L24" s="783" t="s">
        <v>649</v>
      </c>
      <c r="M24" s="816">
        <f ca="1">INDIRECT("'数据-取费表'!Ak"&amp;$G$1)</f>
        <v>0</v>
      </c>
    </row>
    <row r="25" spans="1:25" s="2046" customFormat="1" ht="18" customHeight="1">
      <c r="A25" s="802" t="s">
        <v>1874</v>
      </c>
      <c r="B25" s="783" t="s">
        <v>2436</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1.5</v>
      </c>
      <c r="G25" s="1578"/>
      <c r="H25" s="802" t="s">
        <v>1877</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1848</v>
      </c>
      <c r="B26" s="783" t="s">
        <v>681</v>
      </c>
      <c r="C26" s="53">
        <f ca="1">ROUND(IF('数据-取费表'!B22&lt;=1,F23*F26*F25/2,F23*(POWER((1+F26),F25/2)-1)),4)</f>
        <v>5.0000000000000001E-4</v>
      </c>
      <c r="D26" s="2532" t="str">
        <f>IF(F25&lt;=1,"销售费用×利率×(建设周期÷2)","销售费用×((1+利率)^(建设周期÷2)-1)")</f>
        <v>销售费用×((1+利率)^(建设周期÷2)-1)</v>
      </c>
      <c r="E26" s="783" t="s">
        <v>682</v>
      </c>
      <c r="F26" s="818">
        <f ca="1">'数据-取费表'!B40</f>
        <v>4.7500000000000001E-2</v>
      </c>
      <c r="G26" s="1578"/>
      <c r="H26" s="802" t="s">
        <v>1878</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1880</v>
      </c>
      <c r="B27" s="783" t="s">
        <v>684</v>
      </c>
      <c r="C27" s="53"/>
      <c r="D27" s="260" t="s">
        <v>685</v>
      </c>
      <c r="E27" s="1964"/>
      <c r="F27" s="56"/>
      <c r="G27" s="1577"/>
      <c r="H27" s="796" t="s">
        <v>1827</v>
      </c>
      <c r="I27" s="2959" t="s">
        <v>2820</v>
      </c>
      <c r="J27" s="798">
        <f ca="1">J7-J18</f>
        <v>0</v>
      </c>
      <c r="K27" s="1961" t="s">
        <v>700</v>
      </c>
      <c r="L27" s="1963"/>
      <c r="M27" s="819"/>
    </row>
    <row r="28" spans="1:25" ht="18" customHeight="1">
      <c r="A28" s="802" t="s">
        <v>1874</v>
      </c>
      <c r="B28" s="783" t="s">
        <v>2437</v>
      </c>
      <c r="C28" s="53">
        <f ca="1">ROUND((C21+C22)*F28,0)</f>
        <v>0</v>
      </c>
      <c r="D28" s="811" t="s">
        <v>701</v>
      </c>
      <c r="E28" s="794" t="s">
        <v>702</v>
      </c>
      <c r="F28" s="793">
        <f ca="1">INDIRECT("'数据-取费表'!q"&amp;$G$1)</f>
        <v>0</v>
      </c>
      <c r="G28" s="1577"/>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1881</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2821</v>
      </c>
      <c r="C31" s="2505">
        <f ca="1">ROUND((C21+C22+C25+C28)/(1-F23-C26-C29-C30),0)</f>
        <v>0</v>
      </c>
      <c r="D31" s="2506"/>
      <c r="E31" s="2507"/>
      <c r="F31" s="2508"/>
      <c r="G31" s="1578"/>
      <c r="H31" s="822" t="s">
        <v>1871</v>
      </c>
      <c r="I31" s="2960" t="s">
        <v>2822</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1875</v>
      </c>
      <c r="B33" s="783" t="s">
        <v>656</v>
      </c>
      <c r="C33" s="53">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1874</v>
      </c>
      <c r="B34" s="783" t="s">
        <v>660</v>
      </c>
      <c r="C34" s="53">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1848</v>
      </c>
      <c r="B35" s="783" t="s">
        <v>664</v>
      </c>
      <c r="C35" s="53">
        <f ca="1">IF(D35="按租金收入计税",ROUND(C7*F35,1),IF(D35="按房产原值计税",ROUND(C31*F35*0.7,1),INDIRECT("'数据-取费表'!Aj"&amp;$G$1)))</f>
        <v>0</v>
      </c>
      <c r="D35" s="810" t="s">
        <v>1679</v>
      </c>
      <c r="E35" s="783" t="s">
        <v>649</v>
      </c>
      <c r="F35" s="808">
        <f>IF(D35="按租金收入计税",'数据-取费表'!B51,'数据-取费表'!B50)</f>
        <v>1.2E-2</v>
      </c>
      <c r="G35" s="2044"/>
      <c r="H35" s="2059"/>
      <c r="I35" s="2059"/>
      <c r="J35" s="2059"/>
      <c r="K35" s="2060"/>
      <c r="L35" s="2059"/>
      <c r="M35" s="2059"/>
    </row>
    <row r="36" spans="1:18" ht="18" customHeight="1">
      <c r="A36" s="812" t="s">
        <v>1879</v>
      </c>
      <c r="B36" s="340" t="s">
        <v>668</v>
      </c>
      <c r="C36" s="54">
        <f ca="1">ROUND(F36*F37/10000,1)</f>
        <v>0</v>
      </c>
      <c r="D36" s="813" t="s">
        <v>669</v>
      </c>
      <c r="E36" s="783" t="s">
        <v>670</v>
      </c>
      <c r="F36" s="639">
        <f>'数据-取费表'!B52</f>
        <v>4</v>
      </c>
      <c r="G36" s="2044"/>
      <c r="H36" s="2047"/>
      <c r="I36" s="3499"/>
      <c r="J36" s="2061"/>
      <c r="K36" s="2062"/>
      <c r="L36" s="2061"/>
      <c r="M36" s="2061"/>
    </row>
    <row r="37" spans="1:18" ht="18" customHeight="1">
      <c r="A37" s="814"/>
      <c r="B37" s="792"/>
      <c r="C37" s="69"/>
      <c r="D37" s="815"/>
      <c r="E37" s="783" t="s">
        <v>674</v>
      </c>
      <c r="F37" s="784">
        <f ca="1">INDIRECT("'数据-取费表'!r"&amp;$G$1)</f>
        <v>0</v>
      </c>
      <c r="G37" s="2044"/>
      <c r="H37" s="2047"/>
      <c r="I37" s="3499"/>
      <c r="J37" s="2059"/>
      <c r="K37" s="2060"/>
      <c r="L37" s="2059"/>
      <c r="M37" s="2059"/>
    </row>
    <row r="38" spans="1:18" ht="18" customHeight="1">
      <c r="A38" s="802" t="s">
        <v>1876</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1877</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1875</v>
      </c>
      <c r="B42" s="834" t="s">
        <v>693</v>
      </c>
      <c r="C42" s="828">
        <f ca="1">C7-C32</f>
        <v>0</v>
      </c>
      <c r="D42" s="1961" t="s">
        <v>694</v>
      </c>
      <c r="E42" s="1963"/>
      <c r="F42" s="819"/>
      <c r="G42" s="2044"/>
      <c r="H42" s="2044"/>
      <c r="I42" s="2044"/>
      <c r="J42" s="2044"/>
      <c r="K42" s="2065"/>
      <c r="L42" s="2044"/>
      <c r="M42" s="2044"/>
    </row>
    <row r="43" spans="1:18" ht="18" customHeight="1">
      <c r="A43" s="802" t="s">
        <v>1876</v>
      </c>
      <c r="B43" s="834" t="s">
        <v>711</v>
      </c>
      <c r="C43" s="835">
        <f ca="1">ROUND(C15*F43,0)</f>
        <v>0</v>
      </c>
      <c r="D43" s="1350" t="s">
        <v>712</v>
      </c>
      <c r="E43" s="3069" t="s">
        <v>2956</v>
      </c>
      <c r="F43" s="3070">
        <f ca="1">INDIRECT("'数据-取费表'!j"&amp;$G$1)</f>
        <v>0</v>
      </c>
      <c r="G43" s="2044"/>
      <c r="H43" s="2044"/>
      <c r="I43" s="2044"/>
      <c r="J43" s="2044"/>
      <c r="K43" s="2065"/>
      <c r="L43" s="2044"/>
      <c r="M43" s="2044"/>
    </row>
    <row r="44" spans="1:18" ht="18" customHeight="1">
      <c r="A44" s="802" t="s">
        <v>1877</v>
      </c>
      <c r="B44" s="834" t="s">
        <v>713</v>
      </c>
      <c r="C44" s="1351">
        <f ca="1">C42-C43</f>
        <v>0</v>
      </c>
      <c r="D44" s="462" t="s">
        <v>714</v>
      </c>
      <c r="E44" s="463"/>
      <c r="F44" s="464"/>
      <c r="G44" s="2044"/>
      <c r="H44" s="2044"/>
      <c r="I44" s="2044"/>
      <c r="J44" s="2044"/>
      <c r="K44" s="2065"/>
      <c r="L44" s="2044"/>
      <c r="M44" s="2044"/>
    </row>
    <row r="45" spans="1:18" ht="18" customHeight="1">
      <c r="A45" s="802" t="s">
        <v>1878</v>
      </c>
      <c r="B45" s="1350" t="s">
        <v>715</v>
      </c>
      <c r="C45" s="2986">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3071" t="s">
        <v>2959</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2342</v>
      </c>
      <c r="J47" s="2340"/>
      <c r="K47" s="2341"/>
      <c r="L47" s="3104" t="str">
        <f ca="1">IF(M48="住宅",0,IF(L49&gt;J52,L61,J61))</f>
        <v>0</v>
      </c>
      <c r="O47" s="2355" t="s">
        <v>2409</v>
      </c>
      <c r="P47" s="1577"/>
      <c r="Q47" s="1588"/>
      <c r="R47" s="1577"/>
    </row>
    <row r="48" spans="1:18" s="2041" customFormat="1" ht="18" customHeight="1" thickBot="1">
      <c r="A48" s="2066"/>
      <c r="C48" s="2069"/>
      <c r="D48" s="2070"/>
      <c r="E48" s="2070"/>
      <c r="F48" s="2071"/>
      <c r="G48" s="2072"/>
      <c r="I48" s="3094" t="s">
        <v>2343</v>
      </c>
      <c r="J48" s="2342"/>
      <c r="K48" s="3101" t="s">
        <v>2348</v>
      </c>
      <c r="L48" s="3105">
        <f ca="1">INDIRECT("'数据-取费表'!d"&amp;$G$1)</f>
        <v>0</v>
      </c>
      <c r="M48" s="3068" t="str">
        <f>IF(ISNUMBER(FIND("住宅",C1)),"住宅","非住宅")</f>
        <v>非住宅</v>
      </c>
      <c r="O48" s="2356" t="s">
        <v>2374</v>
      </c>
      <c r="P48" s="2357" t="s">
        <v>2375</v>
      </c>
      <c r="Q48" s="2358" t="s">
        <v>2376</v>
      </c>
      <c r="R48" s="2357" t="s">
        <v>2377</v>
      </c>
    </row>
    <row r="49" spans="1:18" s="2041" customFormat="1" ht="18" customHeight="1" thickBot="1">
      <c r="A49" s="2066"/>
      <c r="D49" s="2073"/>
      <c r="E49" s="2074"/>
      <c r="F49" s="2071"/>
      <c r="G49" s="2072"/>
      <c r="H49" s="2075"/>
      <c r="I49" s="3073" t="s">
        <v>2344</v>
      </c>
      <c r="J49" s="2343"/>
      <c r="K49" s="3102" t="s">
        <v>2350</v>
      </c>
      <c r="L49" s="1890">
        <f ca="1">INDIRECT("'数据-取费表'!f"&amp;$G$1)</f>
        <v>0</v>
      </c>
      <c r="O49" s="2359" t="s">
        <v>2378</v>
      </c>
      <c r="P49" s="2360" t="s">
        <v>2404</v>
      </c>
      <c r="Q49" s="2361">
        <f ca="1">C41+J31</f>
        <v>0</v>
      </c>
      <c r="R49" s="2360" t="s">
        <v>2379</v>
      </c>
    </row>
    <row r="50" spans="1:18" s="2041" customFormat="1" ht="18" customHeight="1" thickBot="1">
      <c r="A50" s="2066"/>
      <c r="D50" s="2076"/>
      <c r="E50" s="2076"/>
      <c r="F50" s="2070"/>
      <c r="G50" s="2077"/>
      <c r="H50" s="2075"/>
      <c r="I50" s="3073" t="s">
        <v>2345</v>
      </c>
      <c r="J50" s="2344"/>
      <c r="K50" s="3103" t="s">
        <v>2351</v>
      </c>
      <c r="L50" s="2345"/>
      <c r="O50" s="2359" t="s">
        <v>2380</v>
      </c>
      <c r="P50" s="2360" t="s">
        <v>2405</v>
      </c>
      <c r="Q50" s="2361" t="str">
        <f ca="1">J61</f>
        <v>0</v>
      </c>
      <c r="R50" s="2360" t="s">
        <v>2381</v>
      </c>
    </row>
    <row r="51" spans="1:18" s="2041" customFormat="1" ht="18" customHeight="1" thickBot="1">
      <c r="A51" s="2078"/>
      <c r="D51" s="2076"/>
      <c r="E51" s="2076"/>
      <c r="F51" s="2067"/>
      <c r="H51" s="2075"/>
      <c r="I51" s="3073" t="s">
        <v>2346</v>
      </c>
      <c r="J51" s="3098">
        <f>SUMPRODUCT((I64:I66=J48)*(J63:L63=J49)*(J64:L66))</f>
        <v>0</v>
      </c>
      <c r="K51" s="3103" t="s">
        <v>2352</v>
      </c>
      <c r="L51" s="2345"/>
      <c r="O51" s="2362" t="s">
        <v>2382</v>
      </c>
      <c r="P51" s="2360" t="s">
        <v>2406</v>
      </c>
      <c r="Q51" s="2361">
        <f ca="1">C31</f>
        <v>0</v>
      </c>
      <c r="R51" s="2360" t="s">
        <v>2379</v>
      </c>
    </row>
    <row r="52" spans="1:18" s="2041" customFormat="1" ht="18" customHeight="1" thickBot="1">
      <c r="A52" s="2078"/>
      <c r="F52" s="2067"/>
      <c r="I52" s="3095" t="s">
        <v>2347</v>
      </c>
      <c r="J52" s="3099">
        <f>IF(J50="",J51,J50+J51-YEAR('数据-取费表'!B3))</f>
        <v>0</v>
      </c>
      <c r="K52" s="3073" t="s">
        <v>2353</v>
      </c>
      <c r="L52" s="3106">
        <f ca="1">ROUND(-PV(INDIRECT("'数据-取费表'!h"&amp;$G$1),L49,(C40-C14*J36),0),0)</f>
        <v>0</v>
      </c>
      <c r="O52" s="2362" t="s">
        <v>2383</v>
      </c>
      <c r="P52" s="2360" t="s">
        <v>2384</v>
      </c>
      <c r="Q52" s="2363" t="e">
        <f ca="1">J59</f>
        <v>#VALUE!</v>
      </c>
      <c r="R52" s="2364"/>
    </row>
    <row r="53" spans="1:18" s="2041" customFormat="1" ht="18" customHeight="1" thickBot="1">
      <c r="A53" s="2078"/>
      <c r="F53" s="2067"/>
      <c r="I53" s="3096" t="s">
        <v>2420</v>
      </c>
      <c r="J53" s="2346"/>
      <c r="K53" s="3096" t="s">
        <v>2419</v>
      </c>
      <c r="L53" s="2346"/>
      <c r="O53" s="2362" t="s">
        <v>2385</v>
      </c>
      <c r="P53" s="2360" t="s">
        <v>2386</v>
      </c>
      <c r="Q53" s="2363">
        <f>J53</f>
        <v>0</v>
      </c>
      <c r="R53" s="2364"/>
    </row>
    <row r="54" spans="1:18" s="2041" customFormat="1" ht="29.25" thickBot="1">
      <c r="A54" s="2078"/>
      <c r="I54" s="3097" t="s">
        <v>2972</v>
      </c>
      <c r="J54" s="3100">
        <f ca="1">IF(M48="住宅",MAX(J52,L49-'数据-取费表'!B20),MIN(J52,L49-'数据-取费表'!B20))</f>
        <v>-1.5</v>
      </c>
      <c r="K54" s="3504"/>
      <c r="L54" s="3505"/>
      <c r="O54" s="2362" t="s">
        <v>2387</v>
      </c>
      <c r="P54" s="2360" t="s">
        <v>2388</v>
      </c>
      <c r="Q54" s="2361">
        <f ca="1">J54</f>
        <v>-1.5</v>
      </c>
      <c r="R54" s="2360" t="s">
        <v>2389</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2390</v>
      </c>
      <c r="P55" s="2360" t="s">
        <v>2407</v>
      </c>
      <c r="Q55" s="2361">
        <f ca="1">Q49+Q50</f>
        <v>0</v>
      </c>
      <c r="R55" s="2364" t="s">
        <v>2391</v>
      </c>
    </row>
    <row r="56" spans="1:18" s="2041" customFormat="1" ht="16.5" thickBot="1">
      <c r="A56" s="2078"/>
      <c r="B56" s="2079"/>
      <c r="C56" s="2079"/>
      <c r="I56" s="3109" t="s">
        <v>2354</v>
      </c>
      <c r="J56" s="3048" t="e">
        <f ca="1">ROUND(IF(J48="钢混",J58/J51,1-(1-2%)*(J51-J58)/J51),3)</f>
        <v>#VALUE!</v>
      </c>
      <c r="K56" s="3110" t="s">
        <v>2355</v>
      </c>
      <c r="L56" s="2347"/>
      <c r="O56" s="2365" t="s">
        <v>2410</v>
      </c>
      <c r="P56" s="1577"/>
      <c r="Q56" s="1588"/>
      <c r="R56" s="1577"/>
    </row>
    <row r="57" spans="1:18" s="2041" customFormat="1" ht="43.5" thickBot="1">
      <c r="A57" s="2078"/>
      <c r="B57" s="2079"/>
      <c r="C57" s="2079"/>
      <c r="I57" s="3111" t="s">
        <v>2356</v>
      </c>
      <c r="J57" s="3121" t="s">
        <v>1677</v>
      </c>
      <c r="K57" s="3073" t="s">
        <v>2361</v>
      </c>
      <c r="L57" s="1890">
        <f ca="1">IF(L49&lt;J52,"——",L49-J52)</f>
        <v>0</v>
      </c>
      <c r="O57" s="2356" t="s">
        <v>2374</v>
      </c>
      <c r="P57" s="2357" t="s">
        <v>2375</v>
      </c>
      <c r="Q57" s="2358" t="s">
        <v>2376</v>
      </c>
      <c r="R57" s="2357" t="s">
        <v>2377</v>
      </c>
    </row>
    <row r="58" spans="1:18" s="2041" customFormat="1" ht="29.25" thickBot="1">
      <c r="A58" s="2078"/>
      <c r="B58" s="2079"/>
      <c r="C58" s="2079"/>
      <c r="I58" s="3112" t="s">
        <v>2357</v>
      </c>
      <c r="J58" s="3113" t="str">
        <f ca="1">IF(OR(M48="住宅",J52&lt;L49,J57="是"),"——",J52-L49)</f>
        <v>——</v>
      </c>
      <c r="K58" s="3073" t="s">
        <v>2362</v>
      </c>
      <c r="L58" s="1890">
        <f ca="1">IF(L49&lt;J52,"——",IF(L56="比较法",L50,IF(L56="基准地价",L51,L52)))</f>
        <v>0</v>
      </c>
      <c r="O58" s="2359" t="s">
        <v>2378</v>
      </c>
      <c r="P58" s="2360" t="s">
        <v>2404</v>
      </c>
      <c r="Q58" s="2361">
        <f ca="1">C41+J31</f>
        <v>0</v>
      </c>
      <c r="R58" s="2360" t="s">
        <v>2379</v>
      </c>
    </row>
    <row r="59" spans="1:18" s="2041" customFormat="1" ht="29.25" thickBot="1">
      <c r="A59" s="2078"/>
      <c r="B59" s="2079"/>
      <c r="C59" s="2079"/>
      <c r="I59" s="3112" t="s">
        <v>2358</v>
      </c>
      <c r="J59" s="3049" t="e">
        <f ca="1">IF(J56&lt;0.4,0.4,J56)</f>
        <v>#VALUE!</v>
      </c>
      <c r="K59" s="3073" t="s">
        <v>2363</v>
      </c>
      <c r="L59" s="1890">
        <f ca="1">IF(ISERROR(POWER(1+L53,L48-L49)*(POWER(1+L53,L49)-1)/(POWER(1+L53,L48)-1)),0,POWER(1+L53,L48-L49)*(POWER(1+L53,L49)-1)/(POWER(1+L53,L48)-1))</f>
        <v>0</v>
      </c>
      <c r="O59" s="2359" t="s">
        <v>2380</v>
      </c>
      <c r="P59" s="2360" t="s">
        <v>2411</v>
      </c>
      <c r="Q59" s="2361" t="e">
        <f ca="1">L61</f>
        <v>#DIV/0!</v>
      </c>
      <c r="R59" s="2364" t="s">
        <v>2413</v>
      </c>
    </row>
    <row r="60" spans="1:18" s="2041" customFormat="1" ht="29.25" thickBot="1">
      <c r="A60" s="2078"/>
      <c r="B60" s="2079"/>
      <c r="C60" s="2079"/>
      <c r="I60" s="3112" t="s">
        <v>2359</v>
      </c>
      <c r="J60" s="3113" t="str">
        <f ca="1">IF(OR(M48="住宅",J52&lt;L49,J57="是"),"——",ROUND(C30*J59,0))</f>
        <v>——</v>
      </c>
      <c r="K60" s="3073" t="s">
        <v>2364</v>
      </c>
      <c r="L60" s="1890">
        <f ca="1">IF(ISERROR(POWER(1+L53,L48-J52)*(POWER(1+L53,J52)-1)/(POWER(1+L53,L48)-1)),0,POWER(1+L53,L48-J52)*(POWER(1+L53,J52)-1)/(POWER(1+L53,L48)-1))</f>
        <v>0</v>
      </c>
      <c r="O60" s="2362" t="s">
        <v>2382</v>
      </c>
      <c r="P60" s="2360" t="s">
        <v>2412</v>
      </c>
      <c r="Q60" s="2361">
        <f>IF(L56="比较法",L50,IF(L56="基准地价",L51,0))</f>
        <v>0</v>
      </c>
      <c r="R60" s="2360" t="s">
        <v>2379</v>
      </c>
    </row>
    <row r="61" spans="1:18" s="2041" customFormat="1" ht="15.75" thickBot="1">
      <c r="A61" s="2078"/>
      <c r="B61" s="2079"/>
      <c r="C61" s="2079"/>
      <c r="I61" s="3114" t="s">
        <v>2360</v>
      </c>
      <c r="J61" s="3115" t="str">
        <f ca="1">IF(OR(M48="住宅",J52&lt;L49,J57="是"),"0",ROUND(J60/(1+J53)^J54,0))</f>
        <v>0</v>
      </c>
      <c r="K61" s="3116" t="s">
        <v>2365</v>
      </c>
      <c r="L61" s="3115" t="e">
        <f ca="1">IF(OR(M48="住宅",L49&lt;J52),0,ROUND(L58*(L59/L60-1),0))</f>
        <v>#DIV/0!</v>
      </c>
      <c r="O61" s="2362" t="s">
        <v>2383</v>
      </c>
      <c r="P61" s="2360" t="s">
        <v>2392</v>
      </c>
      <c r="Q61" s="2363">
        <f>L53</f>
        <v>0</v>
      </c>
      <c r="R61" s="2364"/>
    </row>
    <row r="62" spans="1:18" s="2041" customFormat="1" ht="20.25" thickBot="1">
      <c r="A62" s="2078"/>
      <c r="B62" s="2079"/>
      <c r="C62" s="2079"/>
      <c r="K62" s="2068"/>
      <c r="O62" s="2362" t="s">
        <v>2385</v>
      </c>
      <c r="P62" s="2360" t="s">
        <v>2393</v>
      </c>
      <c r="Q62" s="2361">
        <f ca="1">L59</f>
        <v>0</v>
      </c>
      <c r="R62" s="2364" t="s">
        <v>2394</v>
      </c>
    </row>
    <row r="63" spans="1:18" s="2041" customFormat="1" ht="20.25" thickBot="1">
      <c r="A63" s="2078"/>
      <c r="B63" s="2079"/>
      <c r="C63" s="2079"/>
      <c r="I63" s="3117" t="s">
        <v>2366</v>
      </c>
      <c r="J63" s="3118" t="s">
        <v>2367</v>
      </c>
      <c r="K63" s="3118" t="s">
        <v>2368</v>
      </c>
      <c r="L63" s="3118" t="s">
        <v>2349</v>
      </c>
      <c r="M63" s="3119" t="s">
        <v>2937</v>
      </c>
      <c r="O63" s="2362" t="s">
        <v>2387</v>
      </c>
      <c r="P63" s="2360" t="s">
        <v>2395</v>
      </c>
      <c r="Q63" s="2361">
        <f ca="1">L60</f>
        <v>0</v>
      </c>
      <c r="R63" s="2364" t="s">
        <v>2396</v>
      </c>
    </row>
    <row r="64" spans="1:18" s="2041" customFormat="1" ht="15.75" thickBot="1">
      <c r="A64" s="2078"/>
      <c r="B64" s="2079"/>
      <c r="C64" s="2079"/>
      <c r="I64" s="3117" t="s">
        <v>2369</v>
      </c>
      <c r="J64" s="3118">
        <v>70</v>
      </c>
      <c r="K64" s="3118">
        <v>50</v>
      </c>
      <c r="L64" s="3118">
        <v>80</v>
      </c>
      <c r="M64" s="3120">
        <v>0.02</v>
      </c>
      <c r="O64" s="2359" t="s">
        <v>2390</v>
      </c>
      <c r="P64" s="2360" t="s">
        <v>2407</v>
      </c>
      <c r="Q64" s="2361" t="e">
        <f ca="1">Q58+Q59</f>
        <v>#DIV/0!</v>
      </c>
      <c r="R64" s="2364" t="s">
        <v>2391</v>
      </c>
    </row>
    <row r="65" spans="1:18" s="2041" customFormat="1" ht="16.5" thickBot="1">
      <c r="A65" s="2078"/>
      <c r="B65" s="2079"/>
      <c r="C65" s="2079"/>
      <c r="I65" s="3117" t="s">
        <v>2370</v>
      </c>
      <c r="J65" s="3118">
        <v>50</v>
      </c>
      <c r="K65" s="3118">
        <v>35</v>
      </c>
      <c r="L65" s="3118">
        <v>60</v>
      </c>
      <c r="M65" s="845">
        <v>0</v>
      </c>
      <c r="O65" s="2365" t="s">
        <v>2414</v>
      </c>
      <c r="P65" s="1577"/>
      <c r="Q65" s="1588"/>
      <c r="R65" s="1577"/>
    </row>
    <row r="66" spans="1:18" s="2041" customFormat="1" ht="15.75" thickBot="1">
      <c r="A66" s="2078"/>
      <c r="B66" s="2079"/>
      <c r="C66" s="2079"/>
      <c r="I66" s="3117" t="s">
        <v>2371</v>
      </c>
      <c r="J66" s="3118">
        <v>40</v>
      </c>
      <c r="K66" s="3118">
        <v>30</v>
      </c>
      <c r="L66" s="3118">
        <v>50</v>
      </c>
      <c r="M66" s="3120">
        <v>0.02</v>
      </c>
      <c r="O66" s="2356" t="s">
        <v>2374</v>
      </c>
      <c r="P66" s="2357" t="s">
        <v>2375</v>
      </c>
      <c r="Q66" s="2358" t="s">
        <v>2376</v>
      </c>
      <c r="R66" s="2357" t="s">
        <v>2377</v>
      </c>
    </row>
    <row r="67" spans="1:18" s="2041" customFormat="1" ht="15.75" thickBot="1">
      <c r="A67" s="2078"/>
      <c r="B67" s="2079"/>
      <c r="C67" s="2079"/>
      <c r="K67" s="2068"/>
      <c r="O67" s="2359" t="s">
        <v>2378</v>
      </c>
      <c r="P67" s="2360" t="s">
        <v>2404</v>
      </c>
      <c r="Q67" s="2361">
        <f ca="1">C41+J31</f>
        <v>0</v>
      </c>
      <c r="R67" s="2360" t="s">
        <v>2379</v>
      </c>
    </row>
    <row r="68" spans="1:18" s="2041" customFormat="1" ht="20.25" thickBot="1">
      <c r="A68" s="2078"/>
      <c r="B68" s="2079"/>
      <c r="C68" s="2079"/>
      <c r="K68" s="2068"/>
      <c r="O68" s="2359" t="s">
        <v>2380</v>
      </c>
      <c r="P68" s="2360" t="s">
        <v>2411</v>
      </c>
      <c r="Q68" s="2361" t="e">
        <f ca="1">L61</f>
        <v>#DIV/0!</v>
      </c>
      <c r="R68" s="2364" t="s">
        <v>2413</v>
      </c>
    </row>
    <row r="69" spans="1:18" s="2041" customFormat="1" ht="21.75" thickBot="1">
      <c r="A69" s="2078"/>
      <c r="B69" s="2079"/>
      <c r="C69" s="2079"/>
      <c r="K69" s="2068"/>
      <c r="O69" s="2362" t="s">
        <v>2382</v>
      </c>
      <c r="P69" s="2360" t="s">
        <v>2412</v>
      </c>
      <c r="Q69" s="2366">
        <f ca="1">L52</f>
        <v>0</v>
      </c>
      <c r="R69" s="2367" t="s">
        <v>2415</v>
      </c>
    </row>
    <row r="70" spans="1:18" s="2041" customFormat="1" ht="20.25" thickBot="1">
      <c r="A70" s="2078"/>
      <c r="B70" s="2079"/>
      <c r="C70" s="2079"/>
      <c r="K70" s="2068"/>
      <c r="O70" s="2362" t="s">
        <v>2383</v>
      </c>
      <c r="P70" s="2368" t="s">
        <v>2397</v>
      </c>
      <c r="Q70" s="2361">
        <f ca="1">ROUND(Q71-Q72*Q73,0)</f>
        <v>0</v>
      </c>
      <c r="R70" s="2364"/>
    </row>
    <row r="71" spans="1:18" s="2041" customFormat="1" ht="15.75" thickBot="1">
      <c r="A71" s="2078"/>
      <c r="B71" s="2079"/>
      <c r="C71" s="2079"/>
      <c r="K71" s="2068"/>
      <c r="O71" s="2362" t="s">
        <v>2398</v>
      </c>
      <c r="P71" s="2368" t="s">
        <v>2399</v>
      </c>
      <c r="Q71" s="2361">
        <f ca="1">C42</f>
        <v>0</v>
      </c>
      <c r="R71" s="2360" t="s">
        <v>2379</v>
      </c>
    </row>
    <row r="72" spans="1:18" s="2041" customFormat="1" ht="15.75" thickBot="1">
      <c r="A72" s="2078"/>
      <c r="B72" s="2079"/>
      <c r="C72" s="2079"/>
      <c r="K72" s="2068"/>
      <c r="O72" s="2362" t="s">
        <v>2400</v>
      </c>
      <c r="P72" s="2368" t="s">
        <v>2401</v>
      </c>
      <c r="Q72" s="2361">
        <f ca="1">C15</f>
        <v>0</v>
      </c>
      <c r="R72" s="2360" t="s">
        <v>2379</v>
      </c>
    </row>
    <row r="73" spans="1:18" s="2041" customFormat="1" ht="15.75" thickBot="1">
      <c r="A73" s="2078"/>
      <c r="B73" s="2079"/>
      <c r="C73" s="2079"/>
      <c r="K73" s="2068"/>
      <c r="O73" s="2362" t="s">
        <v>2402</v>
      </c>
      <c r="P73" s="2368" t="s">
        <v>2403</v>
      </c>
      <c r="Q73" s="2363">
        <f ca="1">F43</f>
        <v>0</v>
      </c>
      <c r="R73" s="2364"/>
    </row>
    <row r="74" spans="1:18" s="2041" customFormat="1" ht="15.75" thickBot="1">
      <c r="A74" s="2078"/>
      <c r="B74" s="2079"/>
      <c r="C74" s="2079"/>
      <c r="K74" s="2068"/>
      <c r="O74" s="2362" t="s">
        <v>2385</v>
      </c>
      <c r="P74" s="2360" t="s">
        <v>2392</v>
      </c>
      <c r="Q74" s="2363">
        <f>L53</f>
        <v>0</v>
      </c>
      <c r="R74" s="2364"/>
    </row>
    <row r="75" spans="1:18" s="2041" customFormat="1" ht="20.25" thickBot="1">
      <c r="A75" s="2078"/>
      <c r="B75" s="2079"/>
      <c r="C75" s="2079"/>
      <c r="K75" s="2068"/>
      <c r="O75" s="2362" t="s">
        <v>2387</v>
      </c>
      <c r="P75" s="2360" t="s">
        <v>2393</v>
      </c>
      <c r="Q75" s="2361">
        <f ca="1">L59</f>
        <v>0</v>
      </c>
      <c r="R75" s="2364" t="s">
        <v>2394</v>
      </c>
    </row>
    <row r="76" spans="1:18" s="2041" customFormat="1" ht="20.25" thickBot="1">
      <c r="A76" s="2078"/>
      <c r="B76" s="2079"/>
      <c r="C76" s="2079"/>
      <c r="K76" s="2068"/>
      <c r="O76" s="2362" t="s">
        <v>2416</v>
      </c>
      <c r="P76" s="2360" t="s">
        <v>2395</v>
      </c>
      <c r="Q76" s="2361">
        <f ca="1">L60</f>
        <v>0</v>
      </c>
      <c r="R76" s="2364" t="s">
        <v>2396</v>
      </c>
    </row>
    <row r="77" spans="1:18" s="2041" customFormat="1" ht="15.75" thickBot="1">
      <c r="A77" s="2078"/>
      <c r="B77" s="2079"/>
      <c r="C77" s="2079"/>
      <c r="K77" s="2068"/>
      <c r="O77" s="2359" t="s">
        <v>2390</v>
      </c>
      <c r="P77" s="2360" t="s">
        <v>2407</v>
      </c>
      <c r="Q77" s="2361" t="e">
        <f ca="1">Q67+Q68</f>
        <v>#DIV/0!</v>
      </c>
      <c r="R77" s="2364" t="s">
        <v>2391</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国通信托有限责任公司：</v>
      </c>
    </row>
    <row r="4" spans="1:4" ht="37.5">
      <c r="A4" s="1773" t="str">
        <f>"受贵公司委托，我公司对"&amp;项目基本情况!K2&amp;项目基本情况!B9&amp;"进行了预评估。"</f>
        <v>受贵公司委托，我公司对安徽省马鞍山市和县乌江镇四联社区十宗住宅用地出让国有建设用地使用权抵押价格进行了预评估。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使用的、位于安徽省马鞍山市和县乌江镇四联社区十宗住宅用地出让国有建设用地使用权。根据《国有土地使用证》[]，估价对象（分摊）出让国有建设用地使用权面积为27011.59平方米。根据《建设工程规划许可证》[]、《出让合同》[]，估价对象规划建筑面积为67528.97平方米。</v>
      </c>
    </row>
    <row r="7" spans="1:4" ht="56.25">
      <c r="A7" s="1777" t="s">
        <v>2745</v>
      </c>
    </row>
    <row r="8" spans="1:4" ht="18.75">
      <c r="A8" s="1776" t="s">
        <v>1905</v>
      </c>
    </row>
    <row r="9" spans="1:4" ht="93.75">
      <c r="A9" s="1778" t="str">
        <f>IF(项目基本情况!B8="抵押",IF(项目基本情况!B5=项目基本情况!B6,定义!C51,定义!B51),定义!D51)</f>
        <v>马鞍山明坤实业有限公司拟使用安徽省马鞍山市和县乌江镇四联社区十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2019年7月10日（评估专业人员勘察现场之日）</v>
      </c>
    </row>
    <row r="12" spans="1:4" ht="18.75">
      <c r="A12" s="1779" t="s">
        <v>2024</v>
      </c>
    </row>
    <row r="13" spans="1:4" ht="18.75">
      <c r="A13" s="1773" t="s">
        <v>2936</v>
      </c>
    </row>
    <row r="14" spans="1:4" ht="18.75">
      <c r="A14" s="1773" t="str">
        <f>"根据"&amp;项目基本情况!F12&amp;"，本次评估估价对象证载（地类）用途为"&amp;项目基本情况!B12&amp;"。"</f>
        <v>根据《国有土地使用证》[]，本次评估估价对象证载（地类）用途为住宅。</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2072</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18.75">
      <c r="A21" s="1773" t="s">
        <v>2073</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2074</v>
      </c>
    </row>
    <row r="25" spans="1:1" ht="93.75">
      <c r="A25" s="1773"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02"/>
  <sheetViews>
    <sheetView workbookViewId="0">
      <pane ySplit="1" topLeftCell="A71" activePane="bottomLeft" state="frozen"/>
      <selection pane="bottomLeft" activeCell="J91" sqref="J91"/>
    </sheetView>
  </sheetViews>
  <sheetFormatPr defaultRowHeight="12.75"/>
  <cols>
    <col min="1" max="1" width="21.375" style="3191" customWidth="1"/>
    <col min="2" max="2" width="5.625" style="3191" customWidth="1"/>
    <col min="3" max="3" width="6.375" style="3191" customWidth="1"/>
    <col min="4" max="4" width="32.75" style="3191" hidden="1" customWidth="1"/>
    <col min="5" max="5" width="4.375" style="3191" customWidth="1"/>
    <col min="6" max="6" width="13.125" style="3191" customWidth="1"/>
    <col min="7" max="7" width="11" style="3191" customWidth="1"/>
    <col min="8" max="8" width="24" style="3191" customWidth="1"/>
    <col min="9" max="9" width="9" style="3191" customWidth="1"/>
    <col min="10" max="10" width="15.375" style="3191" customWidth="1"/>
    <col min="11" max="11" width="6.875" style="3191" customWidth="1"/>
    <col min="12" max="12" width="10.625" style="3191" customWidth="1"/>
    <col min="13" max="13" width="14.375" style="3191" customWidth="1"/>
    <col min="14" max="14" width="6.25" style="3191" customWidth="1"/>
    <col min="15" max="15" width="7.875" style="3191" hidden="1" customWidth="1"/>
    <col min="16" max="256" width="9" style="3191"/>
    <col min="257" max="257" width="21.375" style="3191" customWidth="1"/>
    <col min="258" max="258" width="5.625" style="3191" customWidth="1"/>
    <col min="259" max="259" width="6.375" style="3191" customWidth="1"/>
    <col min="260" max="260" width="0" style="3191" hidden="1" customWidth="1"/>
    <col min="261" max="261" width="4.375" style="3191" customWidth="1"/>
    <col min="262" max="262" width="13.125" style="3191" customWidth="1"/>
    <col min="263" max="263" width="11" style="3191" customWidth="1"/>
    <col min="264" max="264" width="24" style="3191" customWidth="1"/>
    <col min="265" max="265" width="9" style="3191" customWidth="1"/>
    <col min="266" max="266" width="15.375" style="3191" customWidth="1"/>
    <col min="267" max="268" width="10.625" style="3191" customWidth="1"/>
    <col min="269" max="269" width="14.375" style="3191" customWidth="1"/>
    <col min="270" max="270" width="6.25" style="3191" customWidth="1"/>
    <col min="271" max="271" width="7.875" style="3191" customWidth="1"/>
    <col min="272" max="512" width="9" style="3191"/>
    <col min="513" max="513" width="21.375" style="3191" customWidth="1"/>
    <col min="514" max="514" width="5.625" style="3191" customWidth="1"/>
    <col min="515" max="515" width="6.375" style="3191" customWidth="1"/>
    <col min="516" max="516" width="0" style="3191" hidden="1" customWidth="1"/>
    <col min="517" max="517" width="4.375" style="3191" customWidth="1"/>
    <col min="518" max="518" width="13.125" style="3191" customWidth="1"/>
    <col min="519" max="519" width="11" style="3191" customWidth="1"/>
    <col min="520" max="520" width="24" style="3191" customWidth="1"/>
    <col min="521" max="521" width="9" style="3191" customWidth="1"/>
    <col min="522" max="522" width="15.375" style="3191" customWidth="1"/>
    <col min="523" max="524" width="10.625" style="3191" customWidth="1"/>
    <col min="525" max="525" width="14.375" style="3191" customWidth="1"/>
    <col min="526" max="526" width="6.25" style="3191" customWidth="1"/>
    <col min="527" max="527" width="7.875" style="3191" customWidth="1"/>
    <col min="528" max="768" width="9" style="3191"/>
    <col min="769" max="769" width="21.375" style="3191" customWidth="1"/>
    <col min="770" max="770" width="5.625" style="3191" customWidth="1"/>
    <col min="771" max="771" width="6.375" style="3191" customWidth="1"/>
    <col min="772" max="772" width="0" style="3191" hidden="1" customWidth="1"/>
    <col min="773" max="773" width="4.375" style="3191" customWidth="1"/>
    <col min="774" max="774" width="13.125" style="3191" customWidth="1"/>
    <col min="775" max="775" width="11" style="3191" customWidth="1"/>
    <col min="776" max="776" width="24" style="3191" customWidth="1"/>
    <col min="777" max="777" width="9" style="3191" customWidth="1"/>
    <col min="778" max="778" width="15.375" style="3191" customWidth="1"/>
    <col min="779" max="780" width="10.625" style="3191" customWidth="1"/>
    <col min="781" max="781" width="14.375" style="3191" customWidth="1"/>
    <col min="782" max="782" width="6.25" style="3191" customWidth="1"/>
    <col min="783" max="783" width="7.875" style="3191" customWidth="1"/>
    <col min="784" max="1024" width="9" style="3191"/>
    <col min="1025" max="1025" width="21.375" style="3191" customWidth="1"/>
    <col min="1026" max="1026" width="5.625" style="3191" customWidth="1"/>
    <col min="1027" max="1027" width="6.375" style="3191" customWidth="1"/>
    <col min="1028" max="1028" width="0" style="3191" hidden="1" customWidth="1"/>
    <col min="1029" max="1029" width="4.375" style="3191" customWidth="1"/>
    <col min="1030" max="1030" width="13.125" style="3191" customWidth="1"/>
    <col min="1031" max="1031" width="11" style="3191" customWidth="1"/>
    <col min="1032" max="1032" width="24" style="3191" customWidth="1"/>
    <col min="1033" max="1033" width="9" style="3191" customWidth="1"/>
    <col min="1034" max="1034" width="15.375" style="3191" customWidth="1"/>
    <col min="1035" max="1036" width="10.625" style="3191" customWidth="1"/>
    <col min="1037" max="1037" width="14.375" style="3191" customWidth="1"/>
    <col min="1038" max="1038" width="6.25" style="3191" customWidth="1"/>
    <col min="1039" max="1039" width="7.875" style="3191" customWidth="1"/>
    <col min="1040" max="1280" width="9" style="3191"/>
    <col min="1281" max="1281" width="21.375" style="3191" customWidth="1"/>
    <col min="1282" max="1282" width="5.625" style="3191" customWidth="1"/>
    <col min="1283" max="1283" width="6.375" style="3191" customWidth="1"/>
    <col min="1284" max="1284" width="0" style="3191" hidden="1" customWidth="1"/>
    <col min="1285" max="1285" width="4.375" style="3191" customWidth="1"/>
    <col min="1286" max="1286" width="13.125" style="3191" customWidth="1"/>
    <col min="1287" max="1287" width="11" style="3191" customWidth="1"/>
    <col min="1288" max="1288" width="24" style="3191" customWidth="1"/>
    <col min="1289" max="1289" width="9" style="3191" customWidth="1"/>
    <col min="1290" max="1290" width="15.375" style="3191" customWidth="1"/>
    <col min="1291" max="1292" width="10.625" style="3191" customWidth="1"/>
    <col min="1293" max="1293" width="14.375" style="3191" customWidth="1"/>
    <col min="1294" max="1294" width="6.25" style="3191" customWidth="1"/>
    <col min="1295" max="1295" width="7.875" style="3191" customWidth="1"/>
    <col min="1296" max="1536" width="9" style="3191"/>
    <col min="1537" max="1537" width="21.375" style="3191" customWidth="1"/>
    <col min="1538" max="1538" width="5.625" style="3191" customWidth="1"/>
    <col min="1539" max="1539" width="6.375" style="3191" customWidth="1"/>
    <col min="1540" max="1540" width="0" style="3191" hidden="1" customWidth="1"/>
    <col min="1541" max="1541" width="4.375" style="3191" customWidth="1"/>
    <col min="1542" max="1542" width="13.125" style="3191" customWidth="1"/>
    <col min="1543" max="1543" width="11" style="3191" customWidth="1"/>
    <col min="1544" max="1544" width="24" style="3191" customWidth="1"/>
    <col min="1545" max="1545" width="9" style="3191" customWidth="1"/>
    <col min="1546" max="1546" width="15.375" style="3191" customWidth="1"/>
    <col min="1547" max="1548" width="10.625" style="3191" customWidth="1"/>
    <col min="1549" max="1549" width="14.375" style="3191" customWidth="1"/>
    <col min="1550" max="1550" width="6.25" style="3191" customWidth="1"/>
    <col min="1551" max="1551" width="7.875" style="3191" customWidth="1"/>
    <col min="1552" max="1792" width="9" style="3191"/>
    <col min="1793" max="1793" width="21.375" style="3191" customWidth="1"/>
    <col min="1794" max="1794" width="5.625" style="3191" customWidth="1"/>
    <col min="1795" max="1795" width="6.375" style="3191" customWidth="1"/>
    <col min="1796" max="1796" width="0" style="3191" hidden="1" customWidth="1"/>
    <col min="1797" max="1797" width="4.375" style="3191" customWidth="1"/>
    <col min="1798" max="1798" width="13.125" style="3191" customWidth="1"/>
    <col min="1799" max="1799" width="11" style="3191" customWidth="1"/>
    <col min="1800" max="1800" width="24" style="3191" customWidth="1"/>
    <col min="1801" max="1801" width="9" style="3191" customWidth="1"/>
    <col min="1802" max="1802" width="15.375" style="3191" customWidth="1"/>
    <col min="1803" max="1804" width="10.625" style="3191" customWidth="1"/>
    <col min="1805" max="1805" width="14.375" style="3191" customWidth="1"/>
    <col min="1806" max="1806" width="6.25" style="3191" customWidth="1"/>
    <col min="1807" max="1807" width="7.875" style="3191" customWidth="1"/>
    <col min="1808" max="2048" width="9" style="3191"/>
    <col min="2049" max="2049" width="21.375" style="3191" customWidth="1"/>
    <col min="2050" max="2050" width="5.625" style="3191" customWidth="1"/>
    <col min="2051" max="2051" width="6.375" style="3191" customWidth="1"/>
    <col min="2052" max="2052" width="0" style="3191" hidden="1" customWidth="1"/>
    <col min="2053" max="2053" width="4.375" style="3191" customWidth="1"/>
    <col min="2054" max="2054" width="13.125" style="3191" customWidth="1"/>
    <col min="2055" max="2055" width="11" style="3191" customWidth="1"/>
    <col min="2056" max="2056" width="24" style="3191" customWidth="1"/>
    <col min="2057" max="2057" width="9" style="3191" customWidth="1"/>
    <col min="2058" max="2058" width="15.375" style="3191" customWidth="1"/>
    <col min="2059" max="2060" width="10.625" style="3191" customWidth="1"/>
    <col min="2061" max="2061" width="14.375" style="3191" customWidth="1"/>
    <col min="2062" max="2062" width="6.25" style="3191" customWidth="1"/>
    <col min="2063" max="2063" width="7.875" style="3191" customWidth="1"/>
    <col min="2064" max="2304" width="9" style="3191"/>
    <col min="2305" max="2305" width="21.375" style="3191" customWidth="1"/>
    <col min="2306" max="2306" width="5.625" style="3191" customWidth="1"/>
    <col min="2307" max="2307" width="6.375" style="3191" customWidth="1"/>
    <col min="2308" max="2308" width="0" style="3191" hidden="1" customWidth="1"/>
    <col min="2309" max="2309" width="4.375" style="3191" customWidth="1"/>
    <col min="2310" max="2310" width="13.125" style="3191" customWidth="1"/>
    <col min="2311" max="2311" width="11" style="3191" customWidth="1"/>
    <col min="2312" max="2312" width="24" style="3191" customWidth="1"/>
    <col min="2313" max="2313" width="9" style="3191" customWidth="1"/>
    <col min="2314" max="2314" width="15.375" style="3191" customWidth="1"/>
    <col min="2315" max="2316" width="10.625" style="3191" customWidth="1"/>
    <col min="2317" max="2317" width="14.375" style="3191" customWidth="1"/>
    <col min="2318" max="2318" width="6.25" style="3191" customWidth="1"/>
    <col min="2319" max="2319" width="7.875" style="3191" customWidth="1"/>
    <col min="2320" max="2560" width="9" style="3191"/>
    <col min="2561" max="2561" width="21.375" style="3191" customWidth="1"/>
    <col min="2562" max="2562" width="5.625" style="3191" customWidth="1"/>
    <col min="2563" max="2563" width="6.375" style="3191" customWidth="1"/>
    <col min="2564" max="2564" width="0" style="3191" hidden="1" customWidth="1"/>
    <col min="2565" max="2565" width="4.375" style="3191" customWidth="1"/>
    <col min="2566" max="2566" width="13.125" style="3191" customWidth="1"/>
    <col min="2567" max="2567" width="11" style="3191" customWidth="1"/>
    <col min="2568" max="2568" width="24" style="3191" customWidth="1"/>
    <col min="2569" max="2569" width="9" style="3191" customWidth="1"/>
    <col min="2570" max="2570" width="15.375" style="3191" customWidth="1"/>
    <col min="2571" max="2572" width="10.625" style="3191" customWidth="1"/>
    <col min="2573" max="2573" width="14.375" style="3191" customWidth="1"/>
    <col min="2574" max="2574" width="6.25" style="3191" customWidth="1"/>
    <col min="2575" max="2575" width="7.875" style="3191" customWidth="1"/>
    <col min="2576" max="2816" width="9" style="3191"/>
    <col min="2817" max="2817" width="21.375" style="3191" customWidth="1"/>
    <col min="2818" max="2818" width="5.625" style="3191" customWidth="1"/>
    <col min="2819" max="2819" width="6.375" style="3191" customWidth="1"/>
    <col min="2820" max="2820" width="0" style="3191" hidden="1" customWidth="1"/>
    <col min="2821" max="2821" width="4.375" style="3191" customWidth="1"/>
    <col min="2822" max="2822" width="13.125" style="3191" customWidth="1"/>
    <col min="2823" max="2823" width="11" style="3191" customWidth="1"/>
    <col min="2824" max="2824" width="24" style="3191" customWidth="1"/>
    <col min="2825" max="2825" width="9" style="3191" customWidth="1"/>
    <col min="2826" max="2826" width="15.375" style="3191" customWidth="1"/>
    <col min="2827" max="2828" width="10.625" style="3191" customWidth="1"/>
    <col min="2829" max="2829" width="14.375" style="3191" customWidth="1"/>
    <col min="2830" max="2830" width="6.25" style="3191" customWidth="1"/>
    <col min="2831" max="2831" width="7.875" style="3191" customWidth="1"/>
    <col min="2832" max="3072" width="9" style="3191"/>
    <col min="3073" max="3073" width="21.375" style="3191" customWidth="1"/>
    <col min="3074" max="3074" width="5.625" style="3191" customWidth="1"/>
    <col min="3075" max="3075" width="6.375" style="3191" customWidth="1"/>
    <col min="3076" max="3076" width="0" style="3191" hidden="1" customWidth="1"/>
    <col min="3077" max="3077" width="4.375" style="3191" customWidth="1"/>
    <col min="3078" max="3078" width="13.125" style="3191" customWidth="1"/>
    <col min="3079" max="3079" width="11" style="3191" customWidth="1"/>
    <col min="3080" max="3080" width="24" style="3191" customWidth="1"/>
    <col min="3081" max="3081" width="9" style="3191" customWidth="1"/>
    <col min="3082" max="3082" width="15.375" style="3191" customWidth="1"/>
    <col min="3083" max="3084" width="10.625" style="3191" customWidth="1"/>
    <col min="3085" max="3085" width="14.375" style="3191" customWidth="1"/>
    <col min="3086" max="3086" width="6.25" style="3191" customWidth="1"/>
    <col min="3087" max="3087" width="7.875" style="3191" customWidth="1"/>
    <col min="3088" max="3328" width="9" style="3191"/>
    <col min="3329" max="3329" width="21.375" style="3191" customWidth="1"/>
    <col min="3330" max="3330" width="5.625" style="3191" customWidth="1"/>
    <col min="3331" max="3331" width="6.375" style="3191" customWidth="1"/>
    <col min="3332" max="3332" width="0" style="3191" hidden="1" customWidth="1"/>
    <col min="3333" max="3333" width="4.375" style="3191" customWidth="1"/>
    <col min="3334" max="3334" width="13.125" style="3191" customWidth="1"/>
    <col min="3335" max="3335" width="11" style="3191" customWidth="1"/>
    <col min="3336" max="3336" width="24" style="3191" customWidth="1"/>
    <col min="3337" max="3337" width="9" style="3191" customWidth="1"/>
    <col min="3338" max="3338" width="15.375" style="3191" customWidth="1"/>
    <col min="3339" max="3340" width="10.625" style="3191" customWidth="1"/>
    <col min="3341" max="3341" width="14.375" style="3191" customWidth="1"/>
    <col min="3342" max="3342" width="6.25" style="3191" customWidth="1"/>
    <col min="3343" max="3343" width="7.875" style="3191" customWidth="1"/>
    <col min="3344" max="3584" width="9" style="3191"/>
    <col min="3585" max="3585" width="21.375" style="3191" customWidth="1"/>
    <col min="3586" max="3586" width="5.625" style="3191" customWidth="1"/>
    <col min="3587" max="3587" width="6.375" style="3191" customWidth="1"/>
    <col min="3588" max="3588" width="0" style="3191" hidden="1" customWidth="1"/>
    <col min="3589" max="3589" width="4.375" style="3191" customWidth="1"/>
    <col min="3590" max="3590" width="13.125" style="3191" customWidth="1"/>
    <col min="3591" max="3591" width="11" style="3191" customWidth="1"/>
    <col min="3592" max="3592" width="24" style="3191" customWidth="1"/>
    <col min="3593" max="3593" width="9" style="3191" customWidth="1"/>
    <col min="3594" max="3594" width="15.375" style="3191" customWidth="1"/>
    <col min="3595" max="3596" width="10.625" style="3191" customWidth="1"/>
    <col min="3597" max="3597" width="14.375" style="3191" customWidth="1"/>
    <col min="3598" max="3598" width="6.25" style="3191" customWidth="1"/>
    <col min="3599" max="3599" width="7.875" style="3191" customWidth="1"/>
    <col min="3600" max="3840" width="9" style="3191"/>
    <col min="3841" max="3841" width="21.375" style="3191" customWidth="1"/>
    <col min="3842" max="3842" width="5.625" style="3191" customWidth="1"/>
    <col min="3843" max="3843" width="6.375" style="3191" customWidth="1"/>
    <col min="3844" max="3844" width="0" style="3191" hidden="1" customWidth="1"/>
    <col min="3845" max="3845" width="4.375" style="3191" customWidth="1"/>
    <col min="3846" max="3846" width="13.125" style="3191" customWidth="1"/>
    <col min="3847" max="3847" width="11" style="3191" customWidth="1"/>
    <col min="3848" max="3848" width="24" style="3191" customWidth="1"/>
    <col min="3849" max="3849" width="9" style="3191" customWidth="1"/>
    <col min="3850" max="3850" width="15.375" style="3191" customWidth="1"/>
    <col min="3851" max="3852" width="10.625" style="3191" customWidth="1"/>
    <col min="3853" max="3853" width="14.375" style="3191" customWidth="1"/>
    <col min="3854" max="3854" width="6.25" style="3191" customWidth="1"/>
    <col min="3855" max="3855" width="7.875" style="3191" customWidth="1"/>
    <col min="3856" max="4096" width="9" style="3191"/>
    <col min="4097" max="4097" width="21.375" style="3191" customWidth="1"/>
    <col min="4098" max="4098" width="5.625" style="3191" customWidth="1"/>
    <col min="4099" max="4099" width="6.375" style="3191" customWidth="1"/>
    <col min="4100" max="4100" width="0" style="3191" hidden="1" customWidth="1"/>
    <col min="4101" max="4101" width="4.375" style="3191" customWidth="1"/>
    <col min="4102" max="4102" width="13.125" style="3191" customWidth="1"/>
    <col min="4103" max="4103" width="11" style="3191" customWidth="1"/>
    <col min="4104" max="4104" width="24" style="3191" customWidth="1"/>
    <col min="4105" max="4105" width="9" style="3191" customWidth="1"/>
    <col min="4106" max="4106" width="15.375" style="3191" customWidth="1"/>
    <col min="4107" max="4108" width="10.625" style="3191" customWidth="1"/>
    <col min="4109" max="4109" width="14.375" style="3191" customWidth="1"/>
    <col min="4110" max="4110" width="6.25" style="3191" customWidth="1"/>
    <col min="4111" max="4111" width="7.875" style="3191" customWidth="1"/>
    <col min="4112" max="4352" width="9" style="3191"/>
    <col min="4353" max="4353" width="21.375" style="3191" customWidth="1"/>
    <col min="4354" max="4354" width="5.625" style="3191" customWidth="1"/>
    <col min="4355" max="4355" width="6.375" style="3191" customWidth="1"/>
    <col min="4356" max="4356" width="0" style="3191" hidden="1" customWidth="1"/>
    <col min="4357" max="4357" width="4.375" style="3191" customWidth="1"/>
    <col min="4358" max="4358" width="13.125" style="3191" customWidth="1"/>
    <col min="4359" max="4359" width="11" style="3191" customWidth="1"/>
    <col min="4360" max="4360" width="24" style="3191" customWidth="1"/>
    <col min="4361" max="4361" width="9" style="3191" customWidth="1"/>
    <col min="4362" max="4362" width="15.375" style="3191" customWidth="1"/>
    <col min="4363" max="4364" width="10.625" style="3191" customWidth="1"/>
    <col min="4365" max="4365" width="14.375" style="3191" customWidth="1"/>
    <col min="4366" max="4366" width="6.25" style="3191" customWidth="1"/>
    <col min="4367" max="4367" width="7.875" style="3191" customWidth="1"/>
    <col min="4368" max="4608" width="9" style="3191"/>
    <col min="4609" max="4609" width="21.375" style="3191" customWidth="1"/>
    <col min="4610" max="4610" width="5.625" style="3191" customWidth="1"/>
    <col min="4611" max="4611" width="6.375" style="3191" customWidth="1"/>
    <col min="4612" max="4612" width="0" style="3191" hidden="1" customWidth="1"/>
    <col min="4613" max="4613" width="4.375" style="3191" customWidth="1"/>
    <col min="4614" max="4614" width="13.125" style="3191" customWidth="1"/>
    <col min="4615" max="4615" width="11" style="3191" customWidth="1"/>
    <col min="4616" max="4616" width="24" style="3191" customWidth="1"/>
    <col min="4617" max="4617" width="9" style="3191" customWidth="1"/>
    <col min="4618" max="4618" width="15.375" style="3191" customWidth="1"/>
    <col min="4619" max="4620" width="10.625" style="3191" customWidth="1"/>
    <col min="4621" max="4621" width="14.375" style="3191" customWidth="1"/>
    <col min="4622" max="4622" width="6.25" style="3191" customWidth="1"/>
    <col min="4623" max="4623" width="7.875" style="3191" customWidth="1"/>
    <col min="4624" max="4864" width="9" style="3191"/>
    <col min="4865" max="4865" width="21.375" style="3191" customWidth="1"/>
    <col min="4866" max="4866" width="5.625" style="3191" customWidth="1"/>
    <col min="4867" max="4867" width="6.375" style="3191" customWidth="1"/>
    <col min="4868" max="4868" width="0" style="3191" hidden="1" customWidth="1"/>
    <col min="4869" max="4869" width="4.375" style="3191" customWidth="1"/>
    <col min="4870" max="4870" width="13.125" style="3191" customWidth="1"/>
    <col min="4871" max="4871" width="11" style="3191" customWidth="1"/>
    <col min="4872" max="4872" width="24" style="3191" customWidth="1"/>
    <col min="4873" max="4873" width="9" style="3191" customWidth="1"/>
    <col min="4874" max="4874" width="15.375" style="3191" customWidth="1"/>
    <col min="4875" max="4876" width="10.625" style="3191" customWidth="1"/>
    <col min="4877" max="4877" width="14.375" style="3191" customWidth="1"/>
    <col min="4878" max="4878" width="6.25" style="3191" customWidth="1"/>
    <col min="4879" max="4879" width="7.875" style="3191" customWidth="1"/>
    <col min="4880" max="5120" width="9" style="3191"/>
    <col min="5121" max="5121" width="21.375" style="3191" customWidth="1"/>
    <col min="5122" max="5122" width="5.625" style="3191" customWidth="1"/>
    <col min="5123" max="5123" width="6.375" style="3191" customWidth="1"/>
    <col min="5124" max="5124" width="0" style="3191" hidden="1" customWidth="1"/>
    <col min="5125" max="5125" width="4.375" style="3191" customWidth="1"/>
    <col min="5126" max="5126" width="13.125" style="3191" customWidth="1"/>
    <col min="5127" max="5127" width="11" style="3191" customWidth="1"/>
    <col min="5128" max="5128" width="24" style="3191" customWidth="1"/>
    <col min="5129" max="5129" width="9" style="3191" customWidth="1"/>
    <col min="5130" max="5130" width="15.375" style="3191" customWidth="1"/>
    <col min="5131" max="5132" width="10.625" style="3191" customWidth="1"/>
    <col min="5133" max="5133" width="14.375" style="3191" customWidth="1"/>
    <col min="5134" max="5134" width="6.25" style="3191" customWidth="1"/>
    <col min="5135" max="5135" width="7.875" style="3191" customWidth="1"/>
    <col min="5136" max="5376" width="9" style="3191"/>
    <col min="5377" max="5377" width="21.375" style="3191" customWidth="1"/>
    <col min="5378" max="5378" width="5.625" style="3191" customWidth="1"/>
    <col min="5379" max="5379" width="6.375" style="3191" customWidth="1"/>
    <col min="5380" max="5380" width="0" style="3191" hidden="1" customWidth="1"/>
    <col min="5381" max="5381" width="4.375" style="3191" customWidth="1"/>
    <col min="5382" max="5382" width="13.125" style="3191" customWidth="1"/>
    <col min="5383" max="5383" width="11" style="3191" customWidth="1"/>
    <col min="5384" max="5384" width="24" style="3191" customWidth="1"/>
    <col min="5385" max="5385" width="9" style="3191" customWidth="1"/>
    <col min="5386" max="5386" width="15.375" style="3191" customWidth="1"/>
    <col min="5387" max="5388" width="10.625" style="3191" customWidth="1"/>
    <col min="5389" max="5389" width="14.375" style="3191" customWidth="1"/>
    <col min="5390" max="5390" width="6.25" style="3191" customWidth="1"/>
    <col min="5391" max="5391" width="7.875" style="3191" customWidth="1"/>
    <col min="5392" max="5632" width="9" style="3191"/>
    <col min="5633" max="5633" width="21.375" style="3191" customWidth="1"/>
    <col min="5634" max="5634" width="5.625" style="3191" customWidth="1"/>
    <col min="5635" max="5635" width="6.375" style="3191" customWidth="1"/>
    <col min="5636" max="5636" width="0" style="3191" hidden="1" customWidth="1"/>
    <col min="5637" max="5637" width="4.375" style="3191" customWidth="1"/>
    <col min="5638" max="5638" width="13.125" style="3191" customWidth="1"/>
    <col min="5639" max="5639" width="11" style="3191" customWidth="1"/>
    <col min="5640" max="5640" width="24" style="3191" customWidth="1"/>
    <col min="5641" max="5641" width="9" style="3191" customWidth="1"/>
    <col min="5642" max="5642" width="15.375" style="3191" customWidth="1"/>
    <col min="5643" max="5644" width="10.625" style="3191" customWidth="1"/>
    <col min="5645" max="5645" width="14.375" style="3191" customWidth="1"/>
    <col min="5646" max="5646" width="6.25" style="3191" customWidth="1"/>
    <col min="5647" max="5647" width="7.875" style="3191" customWidth="1"/>
    <col min="5648" max="5888" width="9" style="3191"/>
    <col min="5889" max="5889" width="21.375" style="3191" customWidth="1"/>
    <col min="5890" max="5890" width="5.625" style="3191" customWidth="1"/>
    <col min="5891" max="5891" width="6.375" style="3191" customWidth="1"/>
    <col min="5892" max="5892" width="0" style="3191" hidden="1" customWidth="1"/>
    <col min="5893" max="5893" width="4.375" style="3191" customWidth="1"/>
    <col min="5894" max="5894" width="13.125" style="3191" customWidth="1"/>
    <col min="5895" max="5895" width="11" style="3191" customWidth="1"/>
    <col min="5896" max="5896" width="24" style="3191" customWidth="1"/>
    <col min="5897" max="5897" width="9" style="3191" customWidth="1"/>
    <col min="5898" max="5898" width="15.375" style="3191" customWidth="1"/>
    <col min="5899" max="5900" width="10.625" style="3191" customWidth="1"/>
    <col min="5901" max="5901" width="14.375" style="3191" customWidth="1"/>
    <col min="5902" max="5902" width="6.25" style="3191" customWidth="1"/>
    <col min="5903" max="5903" width="7.875" style="3191" customWidth="1"/>
    <col min="5904" max="6144" width="9" style="3191"/>
    <col min="6145" max="6145" width="21.375" style="3191" customWidth="1"/>
    <col min="6146" max="6146" width="5.625" style="3191" customWidth="1"/>
    <col min="6147" max="6147" width="6.375" style="3191" customWidth="1"/>
    <col min="6148" max="6148" width="0" style="3191" hidden="1" customWidth="1"/>
    <col min="6149" max="6149" width="4.375" style="3191" customWidth="1"/>
    <col min="6150" max="6150" width="13.125" style="3191" customWidth="1"/>
    <col min="6151" max="6151" width="11" style="3191" customWidth="1"/>
    <col min="6152" max="6152" width="24" style="3191" customWidth="1"/>
    <col min="6153" max="6153" width="9" style="3191" customWidth="1"/>
    <col min="6154" max="6154" width="15.375" style="3191" customWidth="1"/>
    <col min="6155" max="6156" width="10.625" style="3191" customWidth="1"/>
    <col min="6157" max="6157" width="14.375" style="3191" customWidth="1"/>
    <col min="6158" max="6158" width="6.25" style="3191" customWidth="1"/>
    <col min="6159" max="6159" width="7.875" style="3191" customWidth="1"/>
    <col min="6160" max="6400" width="9" style="3191"/>
    <col min="6401" max="6401" width="21.375" style="3191" customWidth="1"/>
    <col min="6402" max="6402" width="5.625" style="3191" customWidth="1"/>
    <col min="6403" max="6403" width="6.375" style="3191" customWidth="1"/>
    <col min="6404" max="6404" width="0" style="3191" hidden="1" customWidth="1"/>
    <col min="6405" max="6405" width="4.375" style="3191" customWidth="1"/>
    <col min="6406" max="6406" width="13.125" style="3191" customWidth="1"/>
    <col min="6407" max="6407" width="11" style="3191" customWidth="1"/>
    <col min="6408" max="6408" width="24" style="3191" customWidth="1"/>
    <col min="6409" max="6409" width="9" style="3191" customWidth="1"/>
    <col min="6410" max="6410" width="15.375" style="3191" customWidth="1"/>
    <col min="6411" max="6412" width="10.625" style="3191" customWidth="1"/>
    <col min="6413" max="6413" width="14.375" style="3191" customWidth="1"/>
    <col min="6414" max="6414" width="6.25" style="3191" customWidth="1"/>
    <col min="6415" max="6415" width="7.875" style="3191" customWidth="1"/>
    <col min="6416" max="6656" width="9" style="3191"/>
    <col min="6657" max="6657" width="21.375" style="3191" customWidth="1"/>
    <col min="6658" max="6658" width="5.625" style="3191" customWidth="1"/>
    <col min="6659" max="6659" width="6.375" style="3191" customWidth="1"/>
    <col min="6660" max="6660" width="0" style="3191" hidden="1" customWidth="1"/>
    <col min="6661" max="6661" width="4.375" style="3191" customWidth="1"/>
    <col min="6662" max="6662" width="13.125" style="3191" customWidth="1"/>
    <col min="6663" max="6663" width="11" style="3191" customWidth="1"/>
    <col min="6664" max="6664" width="24" style="3191" customWidth="1"/>
    <col min="6665" max="6665" width="9" style="3191" customWidth="1"/>
    <col min="6666" max="6666" width="15.375" style="3191" customWidth="1"/>
    <col min="6667" max="6668" width="10.625" style="3191" customWidth="1"/>
    <col min="6669" max="6669" width="14.375" style="3191" customWidth="1"/>
    <col min="6670" max="6670" width="6.25" style="3191" customWidth="1"/>
    <col min="6671" max="6671" width="7.875" style="3191" customWidth="1"/>
    <col min="6672" max="6912" width="9" style="3191"/>
    <col min="6913" max="6913" width="21.375" style="3191" customWidth="1"/>
    <col min="6914" max="6914" width="5.625" style="3191" customWidth="1"/>
    <col min="6915" max="6915" width="6.375" style="3191" customWidth="1"/>
    <col min="6916" max="6916" width="0" style="3191" hidden="1" customWidth="1"/>
    <col min="6917" max="6917" width="4.375" style="3191" customWidth="1"/>
    <col min="6918" max="6918" width="13.125" style="3191" customWidth="1"/>
    <col min="6919" max="6919" width="11" style="3191" customWidth="1"/>
    <col min="6920" max="6920" width="24" style="3191" customWidth="1"/>
    <col min="6921" max="6921" width="9" style="3191" customWidth="1"/>
    <col min="6922" max="6922" width="15.375" style="3191" customWidth="1"/>
    <col min="6923" max="6924" width="10.625" style="3191" customWidth="1"/>
    <col min="6925" max="6925" width="14.375" style="3191" customWidth="1"/>
    <col min="6926" max="6926" width="6.25" style="3191" customWidth="1"/>
    <col min="6927" max="6927" width="7.875" style="3191" customWidth="1"/>
    <col min="6928" max="7168" width="9" style="3191"/>
    <col min="7169" max="7169" width="21.375" style="3191" customWidth="1"/>
    <col min="7170" max="7170" width="5.625" style="3191" customWidth="1"/>
    <col min="7171" max="7171" width="6.375" style="3191" customWidth="1"/>
    <col min="7172" max="7172" width="0" style="3191" hidden="1" customWidth="1"/>
    <col min="7173" max="7173" width="4.375" style="3191" customWidth="1"/>
    <col min="7174" max="7174" width="13.125" style="3191" customWidth="1"/>
    <col min="7175" max="7175" width="11" style="3191" customWidth="1"/>
    <col min="7176" max="7176" width="24" style="3191" customWidth="1"/>
    <col min="7177" max="7177" width="9" style="3191" customWidth="1"/>
    <col min="7178" max="7178" width="15.375" style="3191" customWidth="1"/>
    <col min="7179" max="7180" width="10.625" style="3191" customWidth="1"/>
    <col min="7181" max="7181" width="14.375" style="3191" customWidth="1"/>
    <col min="7182" max="7182" width="6.25" style="3191" customWidth="1"/>
    <col min="7183" max="7183" width="7.875" style="3191" customWidth="1"/>
    <col min="7184" max="7424" width="9" style="3191"/>
    <col min="7425" max="7425" width="21.375" style="3191" customWidth="1"/>
    <col min="7426" max="7426" width="5.625" style="3191" customWidth="1"/>
    <col min="7427" max="7427" width="6.375" style="3191" customWidth="1"/>
    <col min="7428" max="7428" width="0" style="3191" hidden="1" customWidth="1"/>
    <col min="7429" max="7429" width="4.375" style="3191" customWidth="1"/>
    <col min="7430" max="7430" width="13.125" style="3191" customWidth="1"/>
    <col min="7431" max="7431" width="11" style="3191" customWidth="1"/>
    <col min="7432" max="7432" width="24" style="3191" customWidth="1"/>
    <col min="7433" max="7433" width="9" style="3191" customWidth="1"/>
    <col min="7434" max="7434" width="15.375" style="3191" customWidth="1"/>
    <col min="7435" max="7436" width="10.625" style="3191" customWidth="1"/>
    <col min="7437" max="7437" width="14.375" style="3191" customWidth="1"/>
    <col min="7438" max="7438" width="6.25" style="3191" customWidth="1"/>
    <col min="7439" max="7439" width="7.875" style="3191" customWidth="1"/>
    <col min="7440" max="7680" width="9" style="3191"/>
    <col min="7681" max="7681" width="21.375" style="3191" customWidth="1"/>
    <col min="7682" max="7682" width="5.625" style="3191" customWidth="1"/>
    <col min="7683" max="7683" width="6.375" style="3191" customWidth="1"/>
    <col min="7684" max="7684" width="0" style="3191" hidden="1" customWidth="1"/>
    <col min="7685" max="7685" width="4.375" style="3191" customWidth="1"/>
    <col min="7686" max="7686" width="13.125" style="3191" customWidth="1"/>
    <col min="7687" max="7687" width="11" style="3191" customWidth="1"/>
    <col min="7688" max="7688" width="24" style="3191" customWidth="1"/>
    <col min="7689" max="7689" width="9" style="3191" customWidth="1"/>
    <col min="7690" max="7690" width="15.375" style="3191" customWidth="1"/>
    <col min="7691" max="7692" width="10.625" style="3191" customWidth="1"/>
    <col min="7693" max="7693" width="14.375" style="3191" customWidth="1"/>
    <col min="7694" max="7694" width="6.25" style="3191" customWidth="1"/>
    <col min="7695" max="7695" width="7.875" style="3191" customWidth="1"/>
    <col min="7696" max="7936" width="9" style="3191"/>
    <col min="7937" max="7937" width="21.375" style="3191" customWidth="1"/>
    <col min="7938" max="7938" width="5.625" style="3191" customWidth="1"/>
    <col min="7939" max="7939" width="6.375" style="3191" customWidth="1"/>
    <col min="7940" max="7940" width="0" style="3191" hidden="1" customWidth="1"/>
    <col min="7941" max="7941" width="4.375" style="3191" customWidth="1"/>
    <col min="7942" max="7942" width="13.125" style="3191" customWidth="1"/>
    <col min="7943" max="7943" width="11" style="3191" customWidth="1"/>
    <col min="7944" max="7944" width="24" style="3191" customWidth="1"/>
    <col min="7945" max="7945" width="9" style="3191" customWidth="1"/>
    <col min="7946" max="7946" width="15.375" style="3191" customWidth="1"/>
    <col min="7947" max="7948" width="10.625" style="3191" customWidth="1"/>
    <col min="7949" max="7949" width="14.375" style="3191" customWidth="1"/>
    <col min="7950" max="7950" width="6.25" style="3191" customWidth="1"/>
    <col min="7951" max="7951" width="7.875" style="3191" customWidth="1"/>
    <col min="7952" max="8192" width="9" style="3191"/>
    <col min="8193" max="8193" width="21.375" style="3191" customWidth="1"/>
    <col min="8194" max="8194" width="5.625" style="3191" customWidth="1"/>
    <col min="8195" max="8195" width="6.375" style="3191" customWidth="1"/>
    <col min="8196" max="8196" width="0" style="3191" hidden="1" customWidth="1"/>
    <col min="8197" max="8197" width="4.375" style="3191" customWidth="1"/>
    <col min="8198" max="8198" width="13.125" style="3191" customWidth="1"/>
    <col min="8199" max="8199" width="11" style="3191" customWidth="1"/>
    <col min="8200" max="8200" width="24" style="3191" customWidth="1"/>
    <col min="8201" max="8201" width="9" style="3191" customWidth="1"/>
    <col min="8202" max="8202" width="15.375" style="3191" customWidth="1"/>
    <col min="8203" max="8204" width="10.625" style="3191" customWidth="1"/>
    <col min="8205" max="8205" width="14.375" style="3191" customWidth="1"/>
    <col min="8206" max="8206" width="6.25" style="3191" customWidth="1"/>
    <col min="8207" max="8207" width="7.875" style="3191" customWidth="1"/>
    <col min="8208" max="8448" width="9" style="3191"/>
    <col min="8449" max="8449" width="21.375" style="3191" customWidth="1"/>
    <col min="8450" max="8450" width="5.625" style="3191" customWidth="1"/>
    <col min="8451" max="8451" width="6.375" style="3191" customWidth="1"/>
    <col min="8452" max="8452" width="0" style="3191" hidden="1" customWidth="1"/>
    <col min="8453" max="8453" width="4.375" style="3191" customWidth="1"/>
    <col min="8454" max="8454" width="13.125" style="3191" customWidth="1"/>
    <col min="8455" max="8455" width="11" style="3191" customWidth="1"/>
    <col min="8456" max="8456" width="24" style="3191" customWidth="1"/>
    <col min="8457" max="8457" width="9" style="3191" customWidth="1"/>
    <col min="8458" max="8458" width="15.375" style="3191" customWidth="1"/>
    <col min="8459" max="8460" width="10.625" style="3191" customWidth="1"/>
    <col min="8461" max="8461" width="14.375" style="3191" customWidth="1"/>
    <col min="8462" max="8462" width="6.25" style="3191" customWidth="1"/>
    <col min="8463" max="8463" width="7.875" style="3191" customWidth="1"/>
    <col min="8464" max="8704" width="9" style="3191"/>
    <col min="8705" max="8705" width="21.375" style="3191" customWidth="1"/>
    <col min="8706" max="8706" width="5.625" style="3191" customWidth="1"/>
    <col min="8707" max="8707" width="6.375" style="3191" customWidth="1"/>
    <col min="8708" max="8708" width="0" style="3191" hidden="1" customWidth="1"/>
    <col min="8709" max="8709" width="4.375" style="3191" customWidth="1"/>
    <col min="8710" max="8710" width="13.125" style="3191" customWidth="1"/>
    <col min="8711" max="8711" width="11" style="3191" customWidth="1"/>
    <col min="8712" max="8712" width="24" style="3191" customWidth="1"/>
    <col min="8713" max="8713" width="9" style="3191" customWidth="1"/>
    <col min="8714" max="8714" width="15.375" style="3191" customWidth="1"/>
    <col min="8715" max="8716" width="10.625" style="3191" customWidth="1"/>
    <col min="8717" max="8717" width="14.375" style="3191" customWidth="1"/>
    <col min="8718" max="8718" width="6.25" style="3191" customWidth="1"/>
    <col min="8719" max="8719" width="7.875" style="3191" customWidth="1"/>
    <col min="8720" max="8960" width="9" style="3191"/>
    <col min="8961" max="8961" width="21.375" style="3191" customWidth="1"/>
    <col min="8962" max="8962" width="5.625" style="3191" customWidth="1"/>
    <col min="8963" max="8963" width="6.375" style="3191" customWidth="1"/>
    <col min="8964" max="8964" width="0" style="3191" hidden="1" customWidth="1"/>
    <col min="8965" max="8965" width="4.375" style="3191" customWidth="1"/>
    <col min="8966" max="8966" width="13.125" style="3191" customWidth="1"/>
    <col min="8967" max="8967" width="11" style="3191" customWidth="1"/>
    <col min="8968" max="8968" width="24" style="3191" customWidth="1"/>
    <col min="8969" max="8969" width="9" style="3191" customWidth="1"/>
    <col min="8970" max="8970" width="15.375" style="3191" customWidth="1"/>
    <col min="8971" max="8972" width="10.625" style="3191" customWidth="1"/>
    <col min="8973" max="8973" width="14.375" style="3191" customWidth="1"/>
    <col min="8974" max="8974" width="6.25" style="3191" customWidth="1"/>
    <col min="8975" max="8975" width="7.875" style="3191" customWidth="1"/>
    <col min="8976" max="9216" width="9" style="3191"/>
    <col min="9217" max="9217" width="21.375" style="3191" customWidth="1"/>
    <col min="9218" max="9218" width="5.625" style="3191" customWidth="1"/>
    <col min="9219" max="9219" width="6.375" style="3191" customWidth="1"/>
    <col min="9220" max="9220" width="0" style="3191" hidden="1" customWidth="1"/>
    <col min="9221" max="9221" width="4.375" style="3191" customWidth="1"/>
    <col min="9222" max="9222" width="13.125" style="3191" customWidth="1"/>
    <col min="9223" max="9223" width="11" style="3191" customWidth="1"/>
    <col min="9224" max="9224" width="24" style="3191" customWidth="1"/>
    <col min="9225" max="9225" width="9" style="3191" customWidth="1"/>
    <col min="9226" max="9226" width="15.375" style="3191" customWidth="1"/>
    <col min="9227" max="9228" width="10.625" style="3191" customWidth="1"/>
    <col min="9229" max="9229" width="14.375" style="3191" customWidth="1"/>
    <col min="9230" max="9230" width="6.25" style="3191" customWidth="1"/>
    <col min="9231" max="9231" width="7.875" style="3191" customWidth="1"/>
    <col min="9232" max="9472" width="9" style="3191"/>
    <col min="9473" max="9473" width="21.375" style="3191" customWidth="1"/>
    <col min="9474" max="9474" width="5.625" style="3191" customWidth="1"/>
    <col min="9475" max="9475" width="6.375" style="3191" customWidth="1"/>
    <col min="9476" max="9476" width="0" style="3191" hidden="1" customWidth="1"/>
    <col min="9477" max="9477" width="4.375" style="3191" customWidth="1"/>
    <col min="9478" max="9478" width="13.125" style="3191" customWidth="1"/>
    <col min="9479" max="9479" width="11" style="3191" customWidth="1"/>
    <col min="9480" max="9480" width="24" style="3191" customWidth="1"/>
    <col min="9481" max="9481" width="9" style="3191" customWidth="1"/>
    <col min="9482" max="9482" width="15.375" style="3191" customWidth="1"/>
    <col min="9483" max="9484" width="10.625" style="3191" customWidth="1"/>
    <col min="9485" max="9485" width="14.375" style="3191" customWidth="1"/>
    <col min="9486" max="9486" width="6.25" style="3191" customWidth="1"/>
    <col min="9487" max="9487" width="7.875" style="3191" customWidth="1"/>
    <col min="9488" max="9728" width="9" style="3191"/>
    <col min="9729" max="9729" width="21.375" style="3191" customWidth="1"/>
    <col min="9730" max="9730" width="5.625" style="3191" customWidth="1"/>
    <col min="9731" max="9731" width="6.375" style="3191" customWidth="1"/>
    <col min="9732" max="9732" width="0" style="3191" hidden="1" customWidth="1"/>
    <col min="9733" max="9733" width="4.375" style="3191" customWidth="1"/>
    <col min="9734" max="9734" width="13.125" style="3191" customWidth="1"/>
    <col min="9735" max="9735" width="11" style="3191" customWidth="1"/>
    <col min="9736" max="9736" width="24" style="3191" customWidth="1"/>
    <col min="9737" max="9737" width="9" style="3191" customWidth="1"/>
    <col min="9738" max="9738" width="15.375" style="3191" customWidth="1"/>
    <col min="9739" max="9740" width="10.625" style="3191" customWidth="1"/>
    <col min="9741" max="9741" width="14.375" style="3191" customWidth="1"/>
    <col min="9742" max="9742" width="6.25" style="3191" customWidth="1"/>
    <col min="9743" max="9743" width="7.875" style="3191" customWidth="1"/>
    <col min="9744" max="9984" width="9" style="3191"/>
    <col min="9985" max="9985" width="21.375" style="3191" customWidth="1"/>
    <col min="9986" max="9986" width="5.625" style="3191" customWidth="1"/>
    <col min="9987" max="9987" width="6.375" style="3191" customWidth="1"/>
    <col min="9988" max="9988" width="0" style="3191" hidden="1" customWidth="1"/>
    <col min="9989" max="9989" width="4.375" style="3191" customWidth="1"/>
    <col min="9990" max="9990" width="13.125" style="3191" customWidth="1"/>
    <col min="9991" max="9991" width="11" style="3191" customWidth="1"/>
    <col min="9992" max="9992" width="24" style="3191" customWidth="1"/>
    <col min="9993" max="9993" width="9" style="3191" customWidth="1"/>
    <col min="9994" max="9994" width="15.375" style="3191" customWidth="1"/>
    <col min="9995" max="9996" width="10.625" style="3191" customWidth="1"/>
    <col min="9997" max="9997" width="14.375" style="3191" customWidth="1"/>
    <col min="9998" max="9998" width="6.25" style="3191" customWidth="1"/>
    <col min="9999" max="9999" width="7.875" style="3191" customWidth="1"/>
    <col min="10000" max="10240" width="9" style="3191"/>
    <col min="10241" max="10241" width="21.375" style="3191" customWidth="1"/>
    <col min="10242" max="10242" width="5.625" style="3191" customWidth="1"/>
    <col min="10243" max="10243" width="6.375" style="3191" customWidth="1"/>
    <col min="10244" max="10244" width="0" style="3191" hidden="1" customWidth="1"/>
    <col min="10245" max="10245" width="4.375" style="3191" customWidth="1"/>
    <col min="10246" max="10246" width="13.125" style="3191" customWidth="1"/>
    <col min="10247" max="10247" width="11" style="3191" customWidth="1"/>
    <col min="10248" max="10248" width="24" style="3191" customWidth="1"/>
    <col min="10249" max="10249" width="9" style="3191" customWidth="1"/>
    <col min="10250" max="10250" width="15.375" style="3191" customWidth="1"/>
    <col min="10251" max="10252" width="10.625" style="3191" customWidth="1"/>
    <col min="10253" max="10253" width="14.375" style="3191" customWidth="1"/>
    <col min="10254" max="10254" width="6.25" style="3191" customWidth="1"/>
    <col min="10255" max="10255" width="7.875" style="3191" customWidth="1"/>
    <col min="10256" max="10496" width="9" style="3191"/>
    <col min="10497" max="10497" width="21.375" style="3191" customWidth="1"/>
    <col min="10498" max="10498" width="5.625" style="3191" customWidth="1"/>
    <col min="10499" max="10499" width="6.375" style="3191" customWidth="1"/>
    <col min="10500" max="10500" width="0" style="3191" hidden="1" customWidth="1"/>
    <col min="10501" max="10501" width="4.375" style="3191" customWidth="1"/>
    <col min="10502" max="10502" width="13.125" style="3191" customWidth="1"/>
    <col min="10503" max="10503" width="11" style="3191" customWidth="1"/>
    <col min="10504" max="10504" width="24" style="3191" customWidth="1"/>
    <col min="10505" max="10505" width="9" style="3191" customWidth="1"/>
    <col min="10506" max="10506" width="15.375" style="3191" customWidth="1"/>
    <col min="10507" max="10508" width="10.625" style="3191" customWidth="1"/>
    <col min="10509" max="10509" width="14.375" style="3191" customWidth="1"/>
    <col min="10510" max="10510" width="6.25" style="3191" customWidth="1"/>
    <col min="10511" max="10511" width="7.875" style="3191" customWidth="1"/>
    <col min="10512" max="10752" width="9" style="3191"/>
    <col min="10753" max="10753" width="21.375" style="3191" customWidth="1"/>
    <col min="10754" max="10754" width="5.625" style="3191" customWidth="1"/>
    <col min="10755" max="10755" width="6.375" style="3191" customWidth="1"/>
    <col min="10756" max="10756" width="0" style="3191" hidden="1" customWidth="1"/>
    <col min="10757" max="10757" width="4.375" style="3191" customWidth="1"/>
    <col min="10758" max="10758" width="13.125" style="3191" customWidth="1"/>
    <col min="10759" max="10759" width="11" style="3191" customWidth="1"/>
    <col min="10760" max="10760" width="24" style="3191" customWidth="1"/>
    <col min="10761" max="10761" width="9" style="3191" customWidth="1"/>
    <col min="10762" max="10762" width="15.375" style="3191" customWidth="1"/>
    <col min="10763" max="10764" width="10.625" style="3191" customWidth="1"/>
    <col min="10765" max="10765" width="14.375" style="3191" customWidth="1"/>
    <col min="10766" max="10766" width="6.25" style="3191" customWidth="1"/>
    <col min="10767" max="10767" width="7.875" style="3191" customWidth="1"/>
    <col min="10768" max="11008" width="9" style="3191"/>
    <col min="11009" max="11009" width="21.375" style="3191" customWidth="1"/>
    <col min="11010" max="11010" width="5.625" style="3191" customWidth="1"/>
    <col min="11011" max="11011" width="6.375" style="3191" customWidth="1"/>
    <col min="11012" max="11012" width="0" style="3191" hidden="1" customWidth="1"/>
    <col min="11013" max="11013" width="4.375" style="3191" customWidth="1"/>
    <col min="11014" max="11014" width="13.125" style="3191" customWidth="1"/>
    <col min="11015" max="11015" width="11" style="3191" customWidth="1"/>
    <col min="11016" max="11016" width="24" style="3191" customWidth="1"/>
    <col min="11017" max="11017" width="9" style="3191" customWidth="1"/>
    <col min="11018" max="11018" width="15.375" style="3191" customWidth="1"/>
    <col min="11019" max="11020" width="10.625" style="3191" customWidth="1"/>
    <col min="11021" max="11021" width="14.375" style="3191" customWidth="1"/>
    <col min="11022" max="11022" width="6.25" style="3191" customWidth="1"/>
    <col min="11023" max="11023" width="7.875" style="3191" customWidth="1"/>
    <col min="11024" max="11264" width="9" style="3191"/>
    <col min="11265" max="11265" width="21.375" style="3191" customWidth="1"/>
    <col min="11266" max="11266" width="5.625" style="3191" customWidth="1"/>
    <col min="11267" max="11267" width="6.375" style="3191" customWidth="1"/>
    <col min="11268" max="11268" width="0" style="3191" hidden="1" customWidth="1"/>
    <col min="11269" max="11269" width="4.375" style="3191" customWidth="1"/>
    <col min="11270" max="11270" width="13.125" style="3191" customWidth="1"/>
    <col min="11271" max="11271" width="11" style="3191" customWidth="1"/>
    <col min="11272" max="11272" width="24" style="3191" customWidth="1"/>
    <col min="11273" max="11273" width="9" style="3191" customWidth="1"/>
    <col min="11274" max="11274" width="15.375" style="3191" customWidth="1"/>
    <col min="11275" max="11276" width="10.625" style="3191" customWidth="1"/>
    <col min="11277" max="11277" width="14.375" style="3191" customWidth="1"/>
    <col min="11278" max="11278" width="6.25" style="3191" customWidth="1"/>
    <col min="11279" max="11279" width="7.875" style="3191" customWidth="1"/>
    <col min="11280" max="11520" width="9" style="3191"/>
    <col min="11521" max="11521" width="21.375" style="3191" customWidth="1"/>
    <col min="11522" max="11522" width="5.625" style="3191" customWidth="1"/>
    <col min="11523" max="11523" width="6.375" style="3191" customWidth="1"/>
    <col min="11524" max="11524" width="0" style="3191" hidden="1" customWidth="1"/>
    <col min="11525" max="11525" width="4.375" style="3191" customWidth="1"/>
    <col min="11526" max="11526" width="13.125" style="3191" customWidth="1"/>
    <col min="11527" max="11527" width="11" style="3191" customWidth="1"/>
    <col min="11528" max="11528" width="24" style="3191" customWidth="1"/>
    <col min="11529" max="11529" width="9" style="3191" customWidth="1"/>
    <col min="11530" max="11530" width="15.375" style="3191" customWidth="1"/>
    <col min="11531" max="11532" width="10.625" style="3191" customWidth="1"/>
    <col min="11533" max="11533" width="14.375" style="3191" customWidth="1"/>
    <col min="11534" max="11534" width="6.25" style="3191" customWidth="1"/>
    <col min="11535" max="11535" width="7.875" style="3191" customWidth="1"/>
    <col min="11536" max="11776" width="9" style="3191"/>
    <col min="11777" max="11777" width="21.375" style="3191" customWidth="1"/>
    <col min="11778" max="11778" width="5.625" style="3191" customWidth="1"/>
    <col min="11779" max="11779" width="6.375" style="3191" customWidth="1"/>
    <col min="11780" max="11780" width="0" style="3191" hidden="1" customWidth="1"/>
    <col min="11781" max="11781" width="4.375" style="3191" customWidth="1"/>
    <col min="11782" max="11782" width="13.125" style="3191" customWidth="1"/>
    <col min="11783" max="11783" width="11" style="3191" customWidth="1"/>
    <col min="11784" max="11784" width="24" style="3191" customWidth="1"/>
    <col min="11785" max="11785" width="9" style="3191" customWidth="1"/>
    <col min="11786" max="11786" width="15.375" style="3191" customWidth="1"/>
    <col min="11787" max="11788" width="10.625" style="3191" customWidth="1"/>
    <col min="11789" max="11789" width="14.375" style="3191" customWidth="1"/>
    <col min="11790" max="11790" width="6.25" style="3191" customWidth="1"/>
    <col min="11791" max="11791" width="7.875" style="3191" customWidth="1"/>
    <col min="11792" max="12032" width="9" style="3191"/>
    <col min="12033" max="12033" width="21.375" style="3191" customWidth="1"/>
    <col min="12034" max="12034" width="5.625" style="3191" customWidth="1"/>
    <col min="12035" max="12035" width="6.375" style="3191" customWidth="1"/>
    <col min="12036" max="12036" width="0" style="3191" hidden="1" customWidth="1"/>
    <col min="12037" max="12037" width="4.375" style="3191" customWidth="1"/>
    <col min="12038" max="12038" width="13.125" style="3191" customWidth="1"/>
    <col min="12039" max="12039" width="11" style="3191" customWidth="1"/>
    <col min="12040" max="12040" width="24" style="3191" customWidth="1"/>
    <col min="12041" max="12041" width="9" style="3191" customWidth="1"/>
    <col min="12042" max="12042" width="15.375" style="3191" customWidth="1"/>
    <col min="12043" max="12044" width="10.625" style="3191" customWidth="1"/>
    <col min="12045" max="12045" width="14.375" style="3191" customWidth="1"/>
    <col min="12046" max="12046" width="6.25" style="3191" customWidth="1"/>
    <col min="12047" max="12047" width="7.875" style="3191" customWidth="1"/>
    <col min="12048" max="12288" width="9" style="3191"/>
    <col min="12289" max="12289" width="21.375" style="3191" customWidth="1"/>
    <col min="12290" max="12290" width="5.625" style="3191" customWidth="1"/>
    <col min="12291" max="12291" width="6.375" style="3191" customWidth="1"/>
    <col min="12292" max="12292" width="0" style="3191" hidden="1" customWidth="1"/>
    <col min="12293" max="12293" width="4.375" style="3191" customWidth="1"/>
    <col min="12294" max="12294" width="13.125" style="3191" customWidth="1"/>
    <col min="12295" max="12295" width="11" style="3191" customWidth="1"/>
    <col min="12296" max="12296" width="24" style="3191" customWidth="1"/>
    <col min="12297" max="12297" width="9" style="3191" customWidth="1"/>
    <col min="12298" max="12298" width="15.375" style="3191" customWidth="1"/>
    <col min="12299" max="12300" width="10.625" style="3191" customWidth="1"/>
    <col min="12301" max="12301" width="14.375" style="3191" customWidth="1"/>
    <col min="12302" max="12302" width="6.25" style="3191" customWidth="1"/>
    <col min="12303" max="12303" width="7.875" style="3191" customWidth="1"/>
    <col min="12304" max="12544" width="9" style="3191"/>
    <col min="12545" max="12545" width="21.375" style="3191" customWidth="1"/>
    <col min="12546" max="12546" width="5.625" style="3191" customWidth="1"/>
    <col min="12547" max="12547" width="6.375" style="3191" customWidth="1"/>
    <col min="12548" max="12548" width="0" style="3191" hidden="1" customWidth="1"/>
    <col min="12549" max="12549" width="4.375" style="3191" customWidth="1"/>
    <col min="12550" max="12550" width="13.125" style="3191" customWidth="1"/>
    <col min="12551" max="12551" width="11" style="3191" customWidth="1"/>
    <col min="12552" max="12552" width="24" style="3191" customWidth="1"/>
    <col min="12553" max="12553" width="9" style="3191" customWidth="1"/>
    <col min="12554" max="12554" width="15.375" style="3191" customWidth="1"/>
    <col min="12555" max="12556" width="10.625" style="3191" customWidth="1"/>
    <col min="12557" max="12557" width="14.375" style="3191" customWidth="1"/>
    <col min="12558" max="12558" width="6.25" style="3191" customWidth="1"/>
    <col min="12559" max="12559" width="7.875" style="3191" customWidth="1"/>
    <col min="12560" max="12800" width="9" style="3191"/>
    <col min="12801" max="12801" width="21.375" style="3191" customWidth="1"/>
    <col min="12802" max="12802" width="5.625" style="3191" customWidth="1"/>
    <col min="12803" max="12803" width="6.375" style="3191" customWidth="1"/>
    <col min="12804" max="12804" width="0" style="3191" hidden="1" customWidth="1"/>
    <col min="12805" max="12805" width="4.375" style="3191" customWidth="1"/>
    <col min="12806" max="12806" width="13.125" style="3191" customWidth="1"/>
    <col min="12807" max="12807" width="11" style="3191" customWidth="1"/>
    <col min="12808" max="12808" width="24" style="3191" customWidth="1"/>
    <col min="12809" max="12809" width="9" style="3191" customWidth="1"/>
    <col min="12810" max="12810" width="15.375" style="3191" customWidth="1"/>
    <col min="12811" max="12812" width="10.625" style="3191" customWidth="1"/>
    <col min="12813" max="12813" width="14.375" style="3191" customWidth="1"/>
    <col min="12814" max="12814" width="6.25" style="3191" customWidth="1"/>
    <col min="12815" max="12815" width="7.875" style="3191" customWidth="1"/>
    <col min="12816" max="13056" width="9" style="3191"/>
    <col min="13057" max="13057" width="21.375" style="3191" customWidth="1"/>
    <col min="13058" max="13058" width="5.625" style="3191" customWidth="1"/>
    <col min="13059" max="13059" width="6.375" style="3191" customWidth="1"/>
    <col min="13060" max="13060" width="0" style="3191" hidden="1" customWidth="1"/>
    <col min="13061" max="13061" width="4.375" style="3191" customWidth="1"/>
    <col min="13062" max="13062" width="13.125" style="3191" customWidth="1"/>
    <col min="13063" max="13063" width="11" style="3191" customWidth="1"/>
    <col min="13064" max="13064" width="24" style="3191" customWidth="1"/>
    <col min="13065" max="13065" width="9" style="3191" customWidth="1"/>
    <col min="13066" max="13066" width="15.375" style="3191" customWidth="1"/>
    <col min="13067" max="13068" width="10.625" style="3191" customWidth="1"/>
    <col min="13069" max="13069" width="14.375" style="3191" customWidth="1"/>
    <col min="13070" max="13070" width="6.25" style="3191" customWidth="1"/>
    <col min="13071" max="13071" width="7.875" style="3191" customWidth="1"/>
    <col min="13072" max="13312" width="9" style="3191"/>
    <col min="13313" max="13313" width="21.375" style="3191" customWidth="1"/>
    <col min="13314" max="13314" width="5.625" style="3191" customWidth="1"/>
    <col min="13315" max="13315" width="6.375" style="3191" customWidth="1"/>
    <col min="13316" max="13316" width="0" style="3191" hidden="1" customWidth="1"/>
    <col min="13317" max="13317" width="4.375" style="3191" customWidth="1"/>
    <col min="13318" max="13318" width="13.125" style="3191" customWidth="1"/>
    <col min="13319" max="13319" width="11" style="3191" customWidth="1"/>
    <col min="13320" max="13320" width="24" style="3191" customWidth="1"/>
    <col min="13321" max="13321" width="9" style="3191" customWidth="1"/>
    <col min="13322" max="13322" width="15.375" style="3191" customWidth="1"/>
    <col min="13323" max="13324" width="10.625" style="3191" customWidth="1"/>
    <col min="13325" max="13325" width="14.375" style="3191" customWidth="1"/>
    <col min="13326" max="13326" width="6.25" style="3191" customWidth="1"/>
    <col min="13327" max="13327" width="7.875" style="3191" customWidth="1"/>
    <col min="13328" max="13568" width="9" style="3191"/>
    <col min="13569" max="13569" width="21.375" style="3191" customWidth="1"/>
    <col min="13570" max="13570" width="5.625" style="3191" customWidth="1"/>
    <col min="13571" max="13571" width="6.375" style="3191" customWidth="1"/>
    <col min="13572" max="13572" width="0" style="3191" hidden="1" customWidth="1"/>
    <col min="13573" max="13573" width="4.375" style="3191" customWidth="1"/>
    <col min="13574" max="13574" width="13.125" style="3191" customWidth="1"/>
    <col min="13575" max="13575" width="11" style="3191" customWidth="1"/>
    <col min="13576" max="13576" width="24" style="3191" customWidth="1"/>
    <col min="13577" max="13577" width="9" style="3191" customWidth="1"/>
    <col min="13578" max="13578" width="15.375" style="3191" customWidth="1"/>
    <col min="13579" max="13580" width="10.625" style="3191" customWidth="1"/>
    <col min="13581" max="13581" width="14.375" style="3191" customWidth="1"/>
    <col min="13582" max="13582" width="6.25" style="3191" customWidth="1"/>
    <col min="13583" max="13583" width="7.875" style="3191" customWidth="1"/>
    <col min="13584" max="13824" width="9" style="3191"/>
    <col min="13825" max="13825" width="21.375" style="3191" customWidth="1"/>
    <col min="13826" max="13826" width="5.625" style="3191" customWidth="1"/>
    <col min="13827" max="13827" width="6.375" style="3191" customWidth="1"/>
    <col min="13828" max="13828" width="0" style="3191" hidden="1" customWidth="1"/>
    <col min="13829" max="13829" width="4.375" style="3191" customWidth="1"/>
    <col min="13830" max="13830" width="13.125" style="3191" customWidth="1"/>
    <col min="13831" max="13831" width="11" style="3191" customWidth="1"/>
    <col min="13832" max="13832" width="24" style="3191" customWidth="1"/>
    <col min="13833" max="13833" width="9" style="3191" customWidth="1"/>
    <col min="13834" max="13834" width="15.375" style="3191" customWidth="1"/>
    <col min="13835" max="13836" width="10.625" style="3191" customWidth="1"/>
    <col min="13837" max="13837" width="14.375" style="3191" customWidth="1"/>
    <col min="13838" max="13838" width="6.25" style="3191" customWidth="1"/>
    <col min="13839" max="13839" width="7.875" style="3191" customWidth="1"/>
    <col min="13840" max="14080" width="9" style="3191"/>
    <col min="14081" max="14081" width="21.375" style="3191" customWidth="1"/>
    <col min="14082" max="14082" width="5.625" style="3191" customWidth="1"/>
    <col min="14083" max="14083" width="6.375" style="3191" customWidth="1"/>
    <col min="14084" max="14084" width="0" style="3191" hidden="1" customWidth="1"/>
    <col min="14085" max="14085" width="4.375" style="3191" customWidth="1"/>
    <col min="14086" max="14086" width="13.125" style="3191" customWidth="1"/>
    <col min="14087" max="14087" width="11" style="3191" customWidth="1"/>
    <col min="14088" max="14088" width="24" style="3191" customWidth="1"/>
    <col min="14089" max="14089" width="9" style="3191" customWidth="1"/>
    <col min="14090" max="14090" width="15.375" style="3191" customWidth="1"/>
    <col min="14091" max="14092" width="10.625" style="3191" customWidth="1"/>
    <col min="14093" max="14093" width="14.375" style="3191" customWidth="1"/>
    <col min="14094" max="14094" width="6.25" style="3191" customWidth="1"/>
    <col min="14095" max="14095" width="7.875" style="3191" customWidth="1"/>
    <col min="14096" max="14336" width="9" style="3191"/>
    <col min="14337" max="14337" width="21.375" style="3191" customWidth="1"/>
    <col min="14338" max="14338" width="5.625" style="3191" customWidth="1"/>
    <col min="14339" max="14339" width="6.375" style="3191" customWidth="1"/>
    <col min="14340" max="14340" width="0" style="3191" hidden="1" customWidth="1"/>
    <col min="14341" max="14341" width="4.375" style="3191" customWidth="1"/>
    <col min="14342" max="14342" width="13.125" style="3191" customWidth="1"/>
    <col min="14343" max="14343" width="11" style="3191" customWidth="1"/>
    <col min="14344" max="14344" width="24" style="3191" customWidth="1"/>
    <col min="14345" max="14345" width="9" style="3191" customWidth="1"/>
    <col min="14346" max="14346" width="15.375" style="3191" customWidth="1"/>
    <col min="14347" max="14348" width="10.625" style="3191" customWidth="1"/>
    <col min="14349" max="14349" width="14.375" style="3191" customWidth="1"/>
    <col min="14350" max="14350" width="6.25" style="3191" customWidth="1"/>
    <col min="14351" max="14351" width="7.875" style="3191" customWidth="1"/>
    <col min="14352" max="14592" width="9" style="3191"/>
    <col min="14593" max="14593" width="21.375" style="3191" customWidth="1"/>
    <col min="14594" max="14594" width="5.625" style="3191" customWidth="1"/>
    <col min="14595" max="14595" width="6.375" style="3191" customWidth="1"/>
    <col min="14596" max="14596" width="0" style="3191" hidden="1" customWidth="1"/>
    <col min="14597" max="14597" width="4.375" style="3191" customWidth="1"/>
    <col min="14598" max="14598" width="13.125" style="3191" customWidth="1"/>
    <col min="14599" max="14599" width="11" style="3191" customWidth="1"/>
    <col min="14600" max="14600" width="24" style="3191" customWidth="1"/>
    <col min="14601" max="14601" width="9" style="3191" customWidth="1"/>
    <col min="14602" max="14602" width="15.375" style="3191" customWidth="1"/>
    <col min="14603" max="14604" width="10.625" style="3191" customWidth="1"/>
    <col min="14605" max="14605" width="14.375" style="3191" customWidth="1"/>
    <col min="14606" max="14606" width="6.25" style="3191" customWidth="1"/>
    <col min="14607" max="14607" width="7.875" style="3191" customWidth="1"/>
    <col min="14608" max="14848" width="9" style="3191"/>
    <col min="14849" max="14849" width="21.375" style="3191" customWidth="1"/>
    <col min="14850" max="14850" width="5.625" style="3191" customWidth="1"/>
    <col min="14851" max="14851" width="6.375" style="3191" customWidth="1"/>
    <col min="14852" max="14852" width="0" style="3191" hidden="1" customWidth="1"/>
    <col min="14853" max="14853" width="4.375" style="3191" customWidth="1"/>
    <col min="14854" max="14854" width="13.125" style="3191" customWidth="1"/>
    <col min="14855" max="14855" width="11" style="3191" customWidth="1"/>
    <col min="14856" max="14856" width="24" style="3191" customWidth="1"/>
    <col min="14857" max="14857" width="9" style="3191" customWidth="1"/>
    <col min="14858" max="14858" width="15.375" style="3191" customWidth="1"/>
    <col min="14859" max="14860" width="10.625" style="3191" customWidth="1"/>
    <col min="14861" max="14861" width="14.375" style="3191" customWidth="1"/>
    <col min="14862" max="14862" width="6.25" style="3191" customWidth="1"/>
    <col min="14863" max="14863" width="7.875" style="3191" customWidth="1"/>
    <col min="14864" max="15104" width="9" style="3191"/>
    <col min="15105" max="15105" width="21.375" style="3191" customWidth="1"/>
    <col min="15106" max="15106" width="5.625" style="3191" customWidth="1"/>
    <col min="15107" max="15107" width="6.375" style="3191" customWidth="1"/>
    <col min="15108" max="15108" width="0" style="3191" hidden="1" customWidth="1"/>
    <col min="15109" max="15109" width="4.375" style="3191" customWidth="1"/>
    <col min="15110" max="15110" width="13.125" style="3191" customWidth="1"/>
    <col min="15111" max="15111" width="11" style="3191" customWidth="1"/>
    <col min="15112" max="15112" width="24" style="3191" customWidth="1"/>
    <col min="15113" max="15113" width="9" style="3191" customWidth="1"/>
    <col min="15114" max="15114" width="15.375" style="3191" customWidth="1"/>
    <col min="15115" max="15116" width="10.625" style="3191" customWidth="1"/>
    <col min="15117" max="15117" width="14.375" style="3191" customWidth="1"/>
    <col min="15118" max="15118" width="6.25" style="3191" customWidth="1"/>
    <col min="15119" max="15119" width="7.875" style="3191" customWidth="1"/>
    <col min="15120" max="15360" width="9" style="3191"/>
    <col min="15361" max="15361" width="21.375" style="3191" customWidth="1"/>
    <col min="15362" max="15362" width="5.625" style="3191" customWidth="1"/>
    <col min="15363" max="15363" width="6.375" style="3191" customWidth="1"/>
    <col min="15364" max="15364" width="0" style="3191" hidden="1" customWidth="1"/>
    <col min="15365" max="15365" width="4.375" style="3191" customWidth="1"/>
    <col min="15366" max="15366" width="13.125" style="3191" customWidth="1"/>
    <col min="15367" max="15367" width="11" style="3191" customWidth="1"/>
    <col min="15368" max="15368" width="24" style="3191" customWidth="1"/>
    <col min="15369" max="15369" width="9" style="3191" customWidth="1"/>
    <col min="15370" max="15370" width="15.375" style="3191" customWidth="1"/>
    <col min="15371" max="15372" width="10.625" style="3191" customWidth="1"/>
    <col min="15373" max="15373" width="14.375" style="3191" customWidth="1"/>
    <col min="15374" max="15374" width="6.25" style="3191" customWidth="1"/>
    <col min="15375" max="15375" width="7.875" style="3191" customWidth="1"/>
    <col min="15376" max="15616" width="9" style="3191"/>
    <col min="15617" max="15617" width="21.375" style="3191" customWidth="1"/>
    <col min="15618" max="15618" width="5.625" style="3191" customWidth="1"/>
    <col min="15619" max="15619" width="6.375" style="3191" customWidth="1"/>
    <col min="15620" max="15620" width="0" style="3191" hidden="1" customWidth="1"/>
    <col min="15621" max="15621" width="4.375" style="3191" customWidth="1"/>
    <col min="15622" max="15622" width="13.125" style="3191" customWidth="1"/>
    <col min="15623" max="15623" width="11" style="3191" customWidth="1"/>
    <col min="15624" max="15624" width="24" style="3191" customWidth="1"/>
    <col min="15625" max="15625" width="9" style="3191" customWidth="1"/>
    <col min="15626" max="15626" width="15.375" style="3191" customWidth="1"/>
    <col min="15627" max="15628" width="10.625" style="3191" customWidth="1"/>
    <col min="15629" max="15629" width="14.375" style="3191" customWidth="1"/>
    <col min="15630" max="15630" width="6.25" style="3191" customWidth="1"/>
    <col min="15631" max="15631" width="7.875" style="3191" customWidth="1"/>
    <col min="15632" max="15872" width="9" style="3191"/>
    <col min="15873" max="15873" width="21.375" style="3191" customWidth="1"/>
    <col min="15874" max="15874" width="5.625" style="3191" customWidth="1"/>
    <col min="15875" max="15875" width="6.375" style="3191" customWidth="1"/>
    <col min="15876" max="15876" width="0" style="3191" hidden="1" customWidth="1"/>
    <col min="15877" max="15877" width="4.375" style="3191" customWidth="1"/>
    <col min="15878" max="15878" width="13.125" style="3191" customWidth="1"/>
    <col min="15879" max="15879" width="11" style="3191" customWidth="1"/>
    <col min="15880" max="15880" width="24" style="3191" customWidth="1"/>
    <col min="15881" max="15881" width="9" style="3191" customWidth="1"/>
    <col min="15882" max="15882" width="15.375" style="3191" customWidth="1"/>
    <col min="15883" max="15884" width="10.625" style="3191" customWidth="1"/>
    <col min="15885" max="15885" width="14.375" style="3191" customWidth="1"/>
    <col min="15886" max="15886" width="6.25" style="3191" customWidth="1"/>
    <col min="15887" max="15887" width="7.875" style="3191" customWidth="1"/>
    <col min="15888" max="16128" width="9" style="3191"/>
    <col min="16129" max="16129" width="21.375" style="3191" customWidth="1"/>
    <col min="16130" max="16130" width="5.625" style="3191" customWidth="1"/>
    <col min="16131" max="16131" width="6.375" style="3191" customWidth="1"/>
    <col min="16132" max="16132" width="0" style="3191" hidden="1" customWidth="1"/>
    <col min="16133" max="16133" width="4.375" style="3191" customWidth="1"/>
    <col min="16134" max="16134" width="13.125" style="3191" customWidth="1"/>
    <col min="16135" max="16135" width="11" style="3191" customWidth="1"/>
    <col min="16136" max="16136" width="24" style="3191" customWidth="1"/>
    <col min="16137" max="16137" width="9" style="3191" customWidth="1"/>
    <col min="16138" max="16138" width="15.375" style="3191" customWidth="1"/>
    <col min="16139" max="16140" width="10.625" style="3191" customWidth="1"/>
    <col min="16141" max="16141" width="14.375" style="3191" customWidth="1"/>
    <col min="16142" max="16142" width="6.25" style="3191" customWidth="1"/>
    <col min="16143" max="16143" width="7.875" style="3191" customWidth="1"/>
    <col min="16144" max="16384" width="9" style="3191"/>
  </cols>
  <sheetData>
    <row r="1" spans="1:16">
      <c r="A1" s="3191" t="s">
        <v>3098</v>
      </c>
      <c r="B1" s="3191" t="s">
        <v>3099</v>
      </c>
      <c r="C1" s="3191" t="s">
        <v>3100</v>
      </c>
      <c r="D1" s="3191" t="s">
        <v>3101</v>
      </c>
      <c r="E1" s="3191" t="s">
        <v>3102</v>
      </c>
      <c r="F1" s="3191" t="s">
        <v>3103</v>
      </c>
      <c r="G1" s="3191" t="s">
        <v>3104</v>
      </c>
      <c r="H1" s="3191" t="s">
        <v>2031</v>
      </c>
      <c r="I1" s="3191" t="s">
        <v>3105</v>
      </c>
      <c r="J1" s="3191" t="s">
        <v>3106</v>
      </c>
      <c r="K1" s="3191" t="s">
        <v>3107</v>
      </c>
      <c r="L1" s="3191" t="s">
        <v>3108</v>
      </c>
      <c r="M1" s="3191" t="s">
        <v>3109</v>
      </c>
      <c r="N1" s="3191" t="s">
        <v>3110</v>
      </c>
      <c r="O1" s="3191" t="s">
        <v>3111</v>
      </c>
    </row>
    <row r="2" spans="1:16" s="3193" customFormat="1">
      <c r="A2" s="3192" t="s">
        <v>3112</v>
      </c>
      <c r="B2" s="3193" t="s">
        <v>3113</v>
      </c>
      <c r="C2" s="3193" t="s">
        <v>3114</v>
      </c>
      <c r="D2" s="3193" t="s">
        <v>3115</v>
      </c>
      <c r="E2" s="3193" t="s">
        <v>3116</v>
      </c>
      <c r="F2" s="3193">
        <v>57943.26</v>
      </c>
      <c r="G2" s="3193">
        <v>115886.5</v>
      </c>
      <c r="H2" s="3193" t="s">
        <v>3117</v>
      </c>
      <c r="I2" s="3193" t="s">
        <v>3118</v>
      </c>
      <c r="J2" s="3193" t="s">
        <v>3119</v>
      </c>
      <c r="K2" s="3193">
        <v>13906</v>
      </c>
      <c r="L2" s="3193">
        <v>15706</v>
      </c>
      <c r="M2" s="3193">
        <v>1355.28</v>
      </c>
      <c r="N2" s="3193">
        <v>12.94</v>
      </c>
      <c r="O2" s="3193" t="s">
        <v>3120</v>
      </c>
      <c r="P2" s="3194">
        <f>L2/F2*10000</f>
        <v>2710.5827321417537</v>
      </c>
    </row>
    <row r="3" spans="1:16" s="3196" customFormat="1">
      <c r="A3" s="3195" t="s">
        <v>3121</v>
      </c>
      <c r="B3" s="3196" t="s">
        <v>3113</v>
      </c>
      <c r="C3" s="3196" t="s">
        <v>3114</v>
      </c>
      <c r="D3" s="3196" t="s">
        <v>3122</v>
      </c>
      <c r="E3" s="3196" t="s">
        <v>3116</v>
      </c>
      <c r="F3" s="3196">
        <v>58481.52</v>
      </c>
      <c r="G3" s="3196">
        <v>116963</v>
      </c>
      <c r="H3" s="3196" t="s">
        <v>3123</v>
      </c>
      <c r="I3" s="3196" t="s">
        <v>3124</v>
      </c>
      <c r="J3" s="3196" t="s">
        <v>3125</v>
      </c>
      <c r="K3" s="3196">
        <v>14036</v>
      </c>
      <c r="L3" s="3196">
        <v>19936</v>
      </c>
      <c r="M3" s="3196">
        <v>1704.47</v>
      </c>
      <c r="N3" s="3196">
        <v>42.03</v>
      </c>
      <c r="O3" s="3196" t="s">
        <v>3126</v>
      </c>
      <c r="P3" s="3197">
        <f t="shared" ref="P3:P32" si="0">L3/F3*10000</f>
        <v>3408.9401233073286</v>
      </c>
    </row>
    <row r="4" spans="1:16" s="3196" customFormat="1">
      <c r="A4" s="3195" t="s">
        <v>3294</v>
      </c>
      <c r="B4" s="3196" t="s">
        <v>3113</v>
      </c>
      <c r="C4" s="3196" t="s">
        <v>3114</v>
      </c>
      <c r="D4" s="3196" t="s">
        <v>3127</v>
      </c>
      <c r="E4" s="3196" t="s">
        <v>3116</v>
      </c>
      <c r="F4" s="3196">
        <v>26917.5</v>
      </c>
      <c r="G4" s="3196">
        <v>53835</v>
      </c>
      <c r="H4" s="3196" t="s">
        <v>3128</v>
      </c>
      <c r="I4" s="3196" t="s">
        <v>3129</v>
      </c>
      <c r="J4" s="3196" t="s">
        <v>3130</v>
      </c>
      <c r="K4" s="3196">
        <v>4444.1000000000004</v>
      </c>
      <c r="L4" s="3196">
        <v>14100</v>
      </c>
      <c r="M4" s="3196">
        <v>2619.11</v>
      </c>
      <c r="N4" s="3196">
        <v>217.27</v>
      </c>
      <c r="O4" s="3196" t="s">
        <v>3120</v>
      </c>
      <c r="P4" s="3197">
        <f t="shared" si="0"/>
        <v>5238.2279186402902</v>
      </c>
    </row>
    <row r="5" spans="1:16" s="3193" customFormat="1">
      <c r="A5" s="3192" t="s">
        <v>3131</v>
      </c>
      <c r="B5" s="3193" t="s">
        <v>3113</v>
      </c>
      <c r="C5" s="3193" t="s">
        <v>3114</v>
      </c>
      <c r="D5" s="3193" t="s">
        <v>3132</v>
      </c>
      <c r="E5" s="3193" t="s">
        <v>3116</v>
      </c>
      <c r="F5" s="3193">
        <v>64933.49</v>
      </c>
      <c r="G5" s="3193">
        <v>142853.68</v>
      </c>
      <c r="H5" s="3193" t="s">
        <v>3133</v>
      </c>
      <c r="I5" s="3193" t="s">
        <v>3134</v>
      </c>
      <c r="J5" s="3193" t="s">
        <v>3135</v>
      </c>
      <c r="K5" s="3193">
        <v>9740</v>
      </c>
      <c r="L5" s="3193">
        <v>14840</v>
      </c>
      <c r="M5" s="3193">
        <v>1038.82</v>
      </c>
      <c r="N5" s="3193">
        <v>52.36</v>
      </c>
      <c r="O5" s="3193" t="s">
        <v>3120</v>
      </c>
      <c r="P5" s="3194">
        <f t="shared" si="0"/>
        <v>2285.4154304658505</v>
      </c>
    </row>
    <row r="6" spans="1:16" s="3193" customFormat="1">
      <c r="A6" s="3192" t="s">
        <v>3136</v>
      </c>
      <c r="B6" s="3193" t="s">
        <v>3113</v>
      </c>
      <c r="C6" s="3193" t="s">
        <v>3114</v>
      </c>
      <c r="D6" s="3193" t="s">
        <v>3137</v>
      </c>
      <c r="E6" s="3193" t="s">
        <v>3116</v>
      </c>
      <c r="F6" s="3193">
        <v>7700.1</v>
      </c>
      <c r="G6" s="3193">
        <v>15400.2</v>
      </c>
      <c r="H6" s="3193" t="s">
        <v>3128</v>
      </c>
      <c r="I6" s="3193" t="s">
        <v>3138</v>
      </c>
      <c r="J6" s="3193" t="s">
        <v>3139</v>
      </c>
      <c r="K6" s="3193">
        <v>1249</v>
      </c>
      <c r="L6" s="3193">
        <v>3000</v>
      </c>
      <c r="M6" s="3193">
        <v>1948.02</v>
      </c>
      <c r="N6" s="3193">
        <v>140.19</v>
      </c>
      <c r="O6" s="3193" t="s">
        <v>3120</v>
      </c>
      <c r="P6" s="3194">
        <f t="shared" si="0"/>
        <v>3896.0532980091166</v>
      </c>
    </row>
    <row r="7" spans="1:16" s="3196" customFormat="1">
      <c r="A7" s="3195" t="s">
        <v>3140</v>
      </c>
      <c r="B7" s="3196" t="s">
        <v>3113</v>
      </c>
      <c r="C7" s="3196" t="s">
        <v>3114</v>
      </c>
      <c r="D7" s="3196" t="s">
        <v>3141</v>
      </c>
      <c r="E7" s="3196" t="s">
        <v>3116</v>
      </c>
      <c r="F7" s="3196">
        <v>65466.400000000001</v>
      </c>
      <c r="G7" s="3196">
        <v>130932.8</v>
      </c>
      <c r="H7" s="3196" t="s">
        <v>3128</v>
      </c>
      <c r="I7" s="3196" t="s">
        <v>3138</v>
      </c>
      <c r="J7" s="3196" t="s">
        <v>3139</v>
      </c>
      <c r="K7" s="3196">
        <v>10802</v>
      </c>
      <c r="L7" s="3196">
        <v>25532</v>
      </c>
      <c r="M7" s="3196">
        <v>1950</v>
      </c>
      <c r="N7" s="3196">
        <v>136.36000000000001</v>
      </c>
      <c r="O7" s="3196" t="s">
        <v>3120</v>
      </c>
      <c r="P7" s="3197">
        <f t="shared" si="0"/>
        <v>3900.0158860117558</v>
      </c>
    </row>
    <row r="8" spans="1:16" s="3193" customFormat="1">
      <c r="A8" s="3193" t="s">
        <v>3141</v>
      </c>
      <c r="B8" s="3193" t="s">
        <v>3113</v>
      </c>
      <c r="C8" s="3193" t="s">
        <v>3114</v>
      </c>
      <c r="D8" s="3193" t="s">
        <v>3141</v>
      </c>
      <c r="E8" s="3193" t="s">
        <v>3116</v>
      </c>
      <c r="F8" s="3193">
        <v>66146.3</v>
      </c>
      <c r="G8" s="3193">
        <v>132292.6</v>
      </c>
      <c r="H8" s="3193" t="s">
        <v>3128</v>
      </c>
      <c r="I8" s="3193" t="s">
        <v>3138</v>
      </c>
      <c r="J8" s="3193" t="s">
        <v>3139</v>
      </c>
      <c r="K8" s="3193">
        <v>10921</v>
      </c>
      <c r="L8" s="3193">
        <v>25816</v>
      </c>
      <c r="M8" s="3193">
        <v>1951.43</v>
      </c>
      <c r="N8" s="3193">
        <v>136.38999999999999</v>
      </c>
      <c r="O8" s="3193" t="s">
        <v>3120</v>
      </c>
      <c r="P8" s="3194">
        <f t="shared" si="0"/>
        <v>3902.8638034175756</v>
      </c>
    </row>
    <row r="9" spans="1:16" s="3193" customFormat="1">
      <c r="A9" s="3193" t="s">
        <v>3142</v>
      </c>
      <c r="B9" s="3193" t="s">
        <v>3113</v>
      </c>
      <c r="C9" s="3193" t="s">
        <v>3114</v>
      </c>
      <c r="D9" s="3193" t="s">
        <v>3142</v>
      </c>
      <c r="E9" s="3193" t="s">
        <v>3143</v>
      </c>
      <c r="F9" s="3193">
        <v>8105</v>
      </c>
      <c r="G9" s="3193">
        <v>16210</v>
      </c>
      <c r="H9" s="3193" t="s">
        <v>3128</v>
      </c>
      <c r="I9" s="3193" t="s">
        <v>3144</v>
      </c>
      <c r="J9" s="3193" t="s">
        <v>3145</v>
      </c>
      <c r="K9" s="3193" t="s">
        <v>2816</v>
      </c>
      <c r="L9" s="3193">
        <v>258</v>
      </c>
      <c r="M9" s="3193">
        <v>159.15</v>
      </c>
      <c r="N9" s="3193" t="s">
        <v>2816</v>
      </c>
      <c r="O9" s="3193" t="s">
        <v>3120</v>
      </c>
      <c r="P9" s="3194">
        <f t="shared" si="0"/>
        <v>318.32202344231951</v>
      </c>
    </row>
    <row r="10" spans="1:16" s="3193" customFormat="1">
      <c r="A10" s="3193" t="s">
        <v>3142</v>
      </c>
      <c r="B10" s="3193" t="s">
        <v>3113</v>
      </c>
      <c r="C10" s="3193" t="s">
        <v>3114</v>
      </c>
      <c r="D10" s="3193" t="s">
        <v>3142</v>
      </c>
      <c r="E10" s="3193" t="s">
        <v>3143</v>
      </c>
      <c r="F10" s="3193">
        <v>5030</v>
      </c>
      <c r="G10" s="3193">
        <v>10060</v>
      </c>
      <c r="H10" s="3193" t="s">
        <v>3128</v>
      </c>
      <c r="I10" s="3193" t="s">
        <v>3144</v>
      </c>
      <c r="J10" s="3193" t="s">
        <v>3145</v>
      </c>
      <c r="K10" s="3193" t="s">
        <v>2816</v>
      </c>
      <c r="L10" s="3193">
        <v>160</v>
      </c>
      <c r="M10" s="3193">
        <v>159.05000000000001</v>
      </c>
      <c r="N10" s="3193" t="s">
        <v>2816</v>
      </c>
      <c r="O10" s="3193" t="s">
        <v>3120</v>
      </c>
      <c r="P10" s="3194">
        <f t="shared" si="0"/>
        <v>318.09145129224646</v>
      </c>
    </row>
    <row r="11" spans="1:16" s="3193" customFormat="1">
      <c r="A11" s="3193" t="s">
        <v>3146</v>
      </c>
      <c r="B11" s="3193" t="s">
        <v>3113</v>
      </c>
      <c r="C11" s="3193" t="s">
        <v>3114</v>
      </c>
      <c r="D11" s="3193" t="s">
        <v>3147</v>
      </c>
      <c r="E11" s="3193" t="s">
        <v>3116</v>
      </c>
      <c r="F11" s="3193">
        <v>26638.52</v>
      </c>
      <c r="G11" s="3193">
        <v>53277.04</v>
      </c>
      <c r="H11" s="3193" t="s">
        <v>3117</v>
      </c>
      <c r="I11" s="3193" t="s">
        <v>3148</v>
      </c>
      <c r="J11" s="3193" t="s">
        <v>3125</v>
      </c>
      <c r="K11" s="3193">
        <v>6394</v>
      </c>
      <c r="L11" s="3193">
        <v>6594</v>
      </c>
      <c r="M11" s="3193">
        <v>1237.68</v>
      </c>
      <c r="N11" s="3193">
        <v>3.13</v>
      </c>
      <c r="O11" s="3193" t="s">
        <v>3120</v>
      </c>
      <c r="P11" s="3194">
        <f t="shared" si="0"/>
        <v>2475.3627453777463</v>
      </c>
    </row>
    <row r="12" spans="1:16">
      <c r="A12" s="3191" t="s">
        <v>3149</v>
      </c>
      <c r="B12" s="3191" t="s">
        <v>3113</v>
      </c>
      <c r="C12" s="3191" t="s">
        <v>3114</v>
      </c>
      <c r="D12" s="3191" t="s">
        <v>3149</v>
      </c>
      <c r="E12" s="3191" t="s">
        <v>3150</v>
      </c>
      <c r="F12" s="3191">
        <v>48118.38</v>
      </c>
      <c r="G12" s="3191">
        <v>120296</v>
      </c>
      <c r="H12" s="3191" t="s">
        <v>3151</v>
      </c>
      <c r="I12" s="3191" t="s">
        <v>3152</v>
      </c>
      <c r="J12" s="3191" t="s">
        <v>3130</v>
      </c>
      <c r="K12" s="3191" t="s">
        <v>2816</v>
      </c>
      <c r="L12" s="3191">
        <v>8342</v>
      </c>
      <c r="M12" s="3191">
        <v>693.46</v>
      </c>
      <c r="N12" s="3191" t="s">
        <v>2816</v>
      </c>
      <c r="O12" s="3191" t="s">
        <v>3120</v>
      </c>
      <c r="P12" s="3198">
        <f t="shared" si="0"/>
        <v>1733.6410743670092</v>
      </c>
    </row>
    <row r="13" spans="1:16">
      <c r="A13" s="3191" t="s">
        <v>3149</v>
      </c>
      <c r="B13" s="3191" t="s">
        <v>3113</v>
      </c>
      <c r="C13" s="3191" t="s">
        <v>3114</v>
      </c>
      <c r="D13" s="3191" t="s">
        <v>3149</v>
      </c>
      <c r="E13" s="3191" t="s">
        <v>3150</v>
      </c>
      <c r="F13" s="3191">
        <v>30013.43</v>
      </c>
      <c r="G13" s="3191">
        <v>90040.29</v>
      </c>
      <c r="H13" s="3191" t="s">
        <v>3153</v>
      </c>
      <c r="I13" s="3191" t="s">
        <v>3152</v>
      </c>
      <c r="J13" s="3191" t="s">
        <v>3130</v>
      </c>
      <c r="K13" s="3191" t="s">
        <v>2816</v>
      </c>
      <c r="L13" s="3191">
        <v>5249</v>
      </c>
      <c r="M13" s="3191">
        <v>582.96</v>
      </c>
      <c r="N13" s="3191" t="s">
        <v>2816</v>
      </c>
      <c r="O13" s="3191" t="s">
        <v>3120</v>
      </c>
      <c r="P13" s="3198">
        <f t="shared" si="0"/>
        <v>1748.8837497080472</v>
      </c>
    </row>
    <row r="14" spans="1:16">
      <c r="A14" s="3191" t="s">
        <v>3149</v>
      </c>
      <c r="B14" s="3191" t="s">
        <v>3113</v>
      </c>
      <c r="C14" s="3191" t="s">
        <v>3114</v>
      </c>
      <c r="D14" s="3191" t="s">
        <v>3149</v>
      </c>
      <c r="E14" s="3191" t="s">
        <v>3150</v>
      </c>
      <c r="F14" s="3191">
        <v>57030.22</v>
      </c>
      <c r="G14" s="3191">
        <v>171090.7</v>
      </c>
      <c r="H14" s="3191" t="s">
        <v>3153</v>
      </c>
      <c r="I14" s="3191" t="s">
        <v>3152</v>
      </c>
      <c r="J14" s="3191" t="s">
        <v>3130</v>
      </c>
      <c r="K14" s="3191" t="s">
        <v>2816</v>
      </c>
      <c r="L14" s="3191">
        <v>10039</v>
      </c>
      <c r="M14" s="3191">
        <v>586.75</v>
      </c>
      <c r="N14" s="3191" t="s">
        <v>2816</v>
      </c>
      <c r="O14" s="3191" t="s">
        <v>3120</v>
      </c>
      <c r="P14" s="3198">
        <f t="shared" si="0"/>
        <v>1760.294805105083</v>
      </c>
    </row>
    <row r="15" spans="1:16">
      <c r="A15" s="3191" t="s">
        <v>3149</v>
      </c>
      <c r="B15" s="3191" t="s">
        <v>3113</v>
      </c>
      <c r="C15" s="3191" t="s">
        <v>3114</v>
      </c>
      <c r="D15" s="3191" t="s">
        <v>3149</v>
      </c>
      <c r="E15" s="3191" t="s">
        <v>3150</v>
      </c>
      <c r="F15" s="3191">
        <v>1687.22</v>
      </c>
      <c r="G15" s="3191">
        <v>5061.66</v>
      </c>
      <c r="H15" s="3191" t="s">
        <v>3153</v>
      </c>
      <c r="I15" s="3191" t="s">
        <v>3152</v>
      </c>
      <c r="J15" s="3191" t="s">
        <v>3130</v>
      </c>
      <c r="K15" s="3191" t="s">
        <v>2816</v>
      </c>
      <c r="L15" s="3191">
        <v>288</v>
      </c>
      <c r="M15" s="3191">
        <v>568.98</v>
      </c>
      <c r="N15" s="3191" t="s">
        <v>2816</v>
      </c>
      <c r="O15" s="3191" t="s">
        <v>3120</v>
      </c>
      <c r="P15" s="3198">
        <f t="shared" si="0"/>
        <v>1706.9498939083226</v>
      </c>
    </row>
    <row r="16" spans="1:16">
      <c r="A16" s="3191" t="s">
        <v>3149</v>
      </c>
      <c r="B16" s="3191" t="s">
        <v>3113</v>
      </c>
      <c r="C16" s="3191" t="s">
        <v>3114</v>
      </c>
      <c r="D16" s="3191" t="s">
        <v>3149</v>
      </c>
      <c r="E16" s="3191" t="s">
        <v>3150</v>
      </c>
      <c r="F16" s="3191">
        <v>46711.79</v>
      </c>
      <c r="G16" s="3191">
        <v>116779.5</v>
      </c>
      <c r="H16" s="3191" t="s">
        <v>3151</v>
      </c>
      <c r="I16" s="3191" t="s">
        <v>3152</v>
      </c>
      <c r="J16" s="3191" t="s">
        <v>3130</v>
      </c>
      <c r="K16" s="3191" t="s">
        <v>2816</v>
      </c>
      <c r="L16" s="3191">
        <v>8052</v>
      </c>
      <c r="M16" s="3191">
        <v>689.5</v>
      </c>
      <c r="N16" s="3191" t="s">
        <v>2816</v>
      </c>
      <c r="O16" s="3191" t="s">
        <v>3120</v>
      </c>
      <c r="P16" s="3198">
        <f t="shared" si="0"/>
        <v>1723.7618168774948</v>
      </c>
    </row>
    <row r="17" spans="1:16">
      <c r="A17" s="3199" t="s">
        <v>3149</v>
      </c>
      <c r="B17" s="3199" t="s">
        <v>3113</v>
      </c>
      <c r="C17" s="3199" t="s">
        <v>3114</v>
      </c>
      <c r="D17" s="3199" t="s">
        <v>3149</v>
      </c>
      <c r="E17" s="3199" t="s">
        <v>3116</v>
      </c>
      <c r="F17" s="3199">
        <v>6403.63</v>
      </c>
      <c r="G17" s="3199">
        <v>19210.89</v>
      </c>
      <c r="H17" s="3199" t="s">
        <v>3153</v>
      </c>
      <c r="I17" s="3199" t="s">
        <v>3152</v>
      </c>
      <c r="J17" s="3199" t="s">
        <v>3130</v>
      </c>
      <c r="K17" s="3199">
        <v>1088</v>
      </c>
      <c r="L17" s="3199">
        <v>1118</v>
      </c>
      <c r="M17" s="3199">
        <v>581.96</v>
      </c>
      <c r="N17" s="3199">
        <v>2.76</v>
      </c>
      <c r="O17" s="3199" t="s">
        <v>3120</v>
      </c>
      <c r="P17" s="3198">
        <f t="shared" si="0"/>
        <v>1745.8847559899618</v>
      </c>
    </row>
    <row r="18" spans="1:16">
      <c r="A18" s="3199" t="s">
        <v>3149</v>
      </c>
      <c r="B18" s="3199" t="s">
        <v>3113</v>
      </c>
      <c r="C18" s="3199" t="s">
        <v>3114</v>
      </c>
      <c r="D18" s="3199" t="s">
        <v>3149</v>
      </c>
      <c r="E18" s="3199" t="s">
        <v>3116</v>
      </c>
      <c r="F18" s="3199">
        <v>27011.59</v>
      </c>
      <c r="G18" s="3199">
        <v>67528.98</v>
      </c>
      <c r="H18" s="3199" t="s">
        <v>3151</v>
      </c>
      <c r="I18" s="3199" t="s">
        <v>3152</v>
      </c>
      <c r="J18" s="3199" t="s">
        <v>3130</v>
      </c>
      <c r="K18" s="3199">
        <v>4422</v>
      </c>
      <c r="L18" s="3199">
        <v>4545</v>
      </c>
      <c r="M18" s="3199">
        <v>673.03</v>
      </c>
      <c r="N18" s="3199">
        <v>2.78</v>
      </c>
      <c r="O18" s="3199" t="s">
        <v>3120</v>
      </c>
      <c r="P18" s="3198">
        <f t="shared" si="0"/>
        <v>1682.6110569574023</v>
      </c>
    </row>
    <row r="19" spans="1:16">
      <c r="A19" s="3199" t="s">
        <v>3149</v>
      </c>
      <c r="B19" s="3199" t="s">
        <v>3113</v>
      </c>
      <c r="C19" s="3199" t="s">
        <v>3114</v>
      </c>
      <c r="D19" s="3199" t="s">
        <v>3149</v>
      </c>
      <c r="E19" s="3199" t="s">
        <v>3116</v>
      </c>
      <c r="F19" s="3199">
        <v>64100.13</v>
      </c>
      <c r="G19" s="3199">
        <v>192300.4</v>
      </c>
      <c r="H19" s="3199" t="s">
        <v>3153</v>
      </c>
      <c r="I19" s="3199" t="s">
        <v>3152</v>
      </c>
      <c r="J19" s="3199" t="s">
        <v>3154</v>
      </c>
      <c r="K19" s="3199">
        <v>10994</v>
      </c>
      <c r="L19" s="3199">
        <v>11285</v>
      </c>
      <c r="M19" s="3199">
        <v>586.84</v>
      </c>
      <c r="N19" s="3199">
        <v>2.65</v>
      </c>
      <c r="O19" s="3199" t="s">
        <v>3120</v>
      </c>
      <c r="P19" s="3198">
        <f t="shared" si="0"/>
        <v>1760.5268507255757</v>
      </c>
    </row>
    <row r="20" spans="1:16">
      <c r="A20" s="3199" t="s">
        <v>3149</v>
      </c>
      <c r="B20" s="3199" t="s">
        <v>3113</v>
      </c>
      <c r="C20" s="3199" t="s">
        <v>3114</v>
      </c>
      <c r="D20" s="3199" t="s">
        <v>3149</v>
      </c>
      <c r="E20" s="3199" t="s">
        <v>3150</v>
      </c>
      <c r="F20" s="3199">
        <v>54538.42</v>
      </c>
      <c r="G20" s="3199">
        <v>163615.29999999999</v>
      </c>
      <c r="H20" s="3199" t="s">
        <v>3153</v>
      </c>
      <c r="I20" s="3199" t="s">
        <v>3152</v>
      </c>
      <c r="J20" s="3199" t="s">
        <v>3130</v>
      </c>
      <c r="K20" s="3199" t="s">
        <v>2816</v>
      </c>
      <c r="L20" s="3199">
        <v>9513</v>
      </c>
      <c r="M20" s="3199">
        <v>581.41</v>
      </c>
      <c r="N20" s="3199" t="s">
        <v>2816</v>
      </c>
      <c r="O20" s="3199" t="s">
        <v>3120</v>
      </c>
      <c r="P20" s="3198">
        <f t="shared" si="0"/>
        <v>1744.2749533264807</v>
      </c>
    </row>
    <row r="21" spans="1:16">
      <c r="A21" s="3199" t="s">
        <v>3149</v>
      </c>
      <c r="B21" s="3199" t="s">
        <v>3113</v>
      </c>
      <c r="C21" s="3199" t="s">
        <v>3114</v>
      </c>
      <c r="D21" s="3199" t="s">
        <v>3149</v>
      </c>
      <c r="E21" s="3199" t="s">
        <v>3150</v>
      </c>
      <c r="F21" s="3199">
        <v>52273.04</v>
      </c>
      <c r="G21" s="3199">
        <v>130682.6</v>
      </c>
      <c r="H21" s="3199" t="s">
        <v>3151</v>
      </c>
      <c r="I21" s="3199" t="s">
        <v>3152</v>
      </c>
      <c r="J21" s="3199" t="s">
        <v>3130</v>
      </c>
      <c r="K21" s="3199" t="s">
        <v>2816</v>
      </c>
      <c r="L21" s="3199">
        <v>9140</v>
      </c>
      <c r="M21" s="3199">
        <v>699.39</v>
      </c>
      <c r="N21" s="3199" t="s">
        <v>2816</v>
      </c>
      <c r="O21" s="3199" t="s">
        <v>3120</v>
      </c>
      <c r="P21" s="3198">
        <f t="shared" si="0"/>
        <v>1748.5112784716557</v>
      </c>
    </row>
    <row r="22" spans="1:16">
      <c r="A22" s="3199" t="s">
        <v>3149</v>
      </c>
      <c r="B22" s="3199" t="s">
        <v>3113</v>
      </c>
      <c r="C22" s="3199" t="s">
        <v>3114</v>
      </c>
      <c r="D22" s="3199" t="s">
        <v>3149</v>
      </c>
      <c r="E22" s="3199" t="s">
        <v>3116</v>
      </c>
      <c r="F22" s="3199">
        <v>41961.07</v>
      </c>
      <c r="G22" s="3199">
        <v>121687.1</v>
      </c>
      <c r="H22" s="3199" t="s">
        <v>3155</v>
      </c>
      <c r="I22" s="3199" t="s">
        <v>3152</v>
      </c>
      <c r="J22" s="3199" t="s">
        <v>3130</v>
      </c>
      <c r="K22" s="3199">
        <v>6697</v>
      </c>
      <c r="L22" s="3199">
        <v>6886</v>
      </c>
      <c r="M22" s="3199">
        <v>565.87</v>
      </c>
      <c r="N22" s="3199">
        <v>2.82</v>
      </c>
      <c r="O22" s="3199" t="s">
        <v>3120</v>
      </c>
      <c r="P22" s="3198">
        <f t="shared" si="0"/>
        <v>1641.0449018578411</v>
      </c>
    </row>
    <row r="23" spans="1:16">
      <c r="A23" s="3199" t="s">
        <v>3149</v>
      </c>
      <c r="B23" s="3199" t="s">
        <v>3113</v>
      </c>
      <c r="C23" s="3199" t="s">
        <v>3114</v>
      </c>
      <c r="D23" s="3199" t="s">
        <v>3149</v>
      </c>
      <c r="E23" s="3199" t="s">
        <v>3116</v>
      </c>
      <c r="F23" s="3199">
        <v>16260</v>
      </c>
      <c r="G23" s="3199">
        <v>48780</v>
      </c>
      <c r="H23" s="3199" t="s">
        <v>3153</v>
      </c>
      <c r="I23" s="3199" t="s">
        <v>3152</v>
      </c>
      <c r="J23" s="3199" t="s">
        <v>3130</v>
      </c>
      <c r="K23" s="3199">
        <v>2696</v>
      </c>
      <c r="L23" s="3199">
        <v>2771</v>
      </c>
      <c r="M23" s="3199">
        <v>568.04999999999995</v>
      </c>
      <c r="N23" s="3199">
        <v>2.78</v>
      </c>
      <c r="O23" s="3199" t="s">
        <v>3120</v>
      </c>
      <c r="P23" s="3198">
        <f t="shared" si="0"/>
        <v>1704.1820418204181</v>
      </c>
    </row>
    <row r="24" spans="1:16">
      <c r="A24" s="3199" t="s">
        <v>3149</v>
      </c>
      <c r="B24" s="3199" t="s">
        <v>3113</v>
      </c>
      <c r="C24" s="3199" t="s">
        <v>3114</v>
      </c>
      <c r="D24" s="3199" t="s">
        <v>3149</v>
      </c>
      <c r="E24" s="3199" t="s">
        <v>3116</v>
      </c>
      <c r="F24" s="3199">
        <v>44338.37</v>
      </c>
      <c r="G24" s="3199">
        <v>128581.3</v>
      </c>
      <c r="H24" s="3199" t="s">
        <v>3155</v>
      </c>
      <c r="I24" s="3199" t="s">
        <v>3152</v>
      </c>
      <c r="J24" s="3199" t="s">
        <v>3130</v>
      </c>
      <c r="K24" s="3199">
        <v>8425</v>
      </c>
      <c r="L24" s="3199">
        <v>8626</v>
      </c>
      <c r="M24" s="3199">
        <v>670.86</v>
      </c>
      <c r="N24" s="3199">
        <v>2.39</v>
      </c>
      <c r="O24" s="3199" t="s">
        <v>3120</v>
      </c>
      <c r="P24" s="3198">
        <f t="shared" si="0"/>
        <v>1945.4932601266125</v>
      </c>
    </row>
    <row r="25" spans="1:16">
      <c r="A25" s="3199" t="s">
        <v>3149</v>
      </c>
      <c r="B25" s="3199" t="s">
        <v>3113</v>
      </c>
      <c r="C25" s="3199" t="s">
        <v>3114</v>
      </c>
      <c r="D25" s="3199" t="s">
        <v>3149</v>
      </c>
      <c r="E25" s="3199" t="s">
        <v>3116</v>
      </c>
      <c r="F25" s="3199">
        <v>58849.919999999998</v>
      </c>
      <c r="G25" s="3199">
        <v>176549.8</v>
      </c>
      <c r="H25" s="3199" t="s">
        <v>3153</v>
      </c>
      <c r="I25" s="3199" t="s">
        <v>3152</v>
      </c>
      <c r="J25" s="3199" t="s">
        <v>3130</v>
      </c>
      <c r="K25" s="3199">
        <v>10093</v>
      </c>
      <c r="L25" s="3199">
        <v>10360</v>
      </c>
      <c r="M25" s="3199">
        <v>586.79</v>
      </c>
      <c r="N25" s="3199">
        <v>2.65</v>
      </c>
      <c r="O25" s="3199" t="s">
        <v>3120</v>
      </c>
      <c r="P25" s="3198">
        <f t="shared" si="0"/>
        <v>1760.4102095635815</v>
      </c>
    </row>
    <row r="26" spans="1:16">
      <c r="A26" s="3199" t="s">
        <v>3149</v>
      </c>
      <c r="B26" s="3199" t="s">
        <v>3113</v>
      </c>
      <c r="C26" s="3199" t="s">
        <v>3114</v>
      </c>
      <c r="D26" s="3199" t="s">
        <v>3149</v>
      </c>
      <c r="E26" s="3199" t="s">
        <v>3116</v>
      </c>
      <c r="F26" s="3199">
        <v>22491</v>
      </c>
      <c r="G26" s="3199">
        <v>78718.5</v>
      </c>
      <c r="H26" s="3199" t="s">
        <v>3156</v>
      </c>
      <c r="I26" s="3199" t="s">
        <v>3152</v>
      </c>
      <c r="J26" s="3199" t="s">
        <v>3130</v>
      </c>
      <c r="K26" s="3199">
        <v>4276</v>
      </c>
      <c r="L26" s="3199">
        <v>4378</v>
      </c>
      <c r="M26" s="3199">
        <v>556.15</v>
      </c>
      <c r="N26" s="3199">
        <v>2.39</v>
      </c>
      <c r="O26" s="3199" t="s">
        <v>3120</v>
      </c>
      <c r="P26" s="3198">
        <f t="shared" si="0"/>
        <v>1946.5564003379129</v>
      </c>
    </row>
    <row r="27" spans="1:16">
      <c r="A27" s="3199" t="s">
        <v>3149</v>
      </c>
      <c r="B27" s="3199" t="s">
        <v>3113</v>
      </c>
      <c r="C27" s="3199" t="s">
        <v>3114</v>
      </c>
      <c r="D27" s="3199" t="s">
        <v>3149</v>
      </c>
      <c r="E27" s="3199" t="s">
        <v>3116</v>
      </c>
      <c r="F27" s="3199">
        <v>40860.379999999997</v>
      </c>
      <c r="G27" s="3199">
        <v>122581.1</v>
      </c>
      <c r="H27" s="3199" t="s">
        <v>3153</v>
      </c>
      <c r="I27" s="3199" t="s">
        <v>3152</v>
      </c>
      <c r="J27" s="3199" t="s">
        <v>3130</v>
      </c>
      <c r="K27" s="3199">
        <v>6747</v>
      </c>
      <c r="L27" s="3199">
        <v>6933</v>
      </c>
      <c r="M27" s="3199">
        <v>565.58000000000004</v>
      </c>
      <c r="N27" s="3199">
        <v>2.76</v>
      </c>
      <c r="O27" s="3199" t="s">
        <v>3120</v>
      </c>
      <c r="P27" s="3198">
        <f t="shared" si="0"/>
        <v>1696.7536767891047</v>
      </c>
    </row>
    <row r="28" spans="1:16">
      <c r="A28" s="3199" t="s">
        <v>3157</v>
      </c>
      <c r="B28" s="3199" t="s">
        <v>3113</v>
      </c>
      <c r="C28" s="3199" t="s">
        <v>3114</v>
      </c>
      <c r="D28" s="3199" t="s">
        <v>3157</v>
      </c>
      <c r="E28" s="3199" t="s">
        <v>3116</v>
      </c>
      <c r="F28" s="3199">
        <v>32788.199999999997</v>
      </c>
      <c r="G28" s="3199">
        <v>65576.399999999994</v>
      </c>
      <c r="H28" s="3199" t="s">
        <v>3158</v>
      </c>
      <c r="I28" s="3199" t="s">
        <v>3159</v>
      </c>
      <c r="J28" s="3199" t="s">
        <v>3160</v>
      </c>
      <c r="K28" s="3199">
        <v>4755</v>
      </c>
      <c r="L28" s="3199">
        <v>5655</v>
      </c>
      <c r="M28" s="3199">
        <v>862.35</v>
      </c>
      <c r="N28" s="3199">
        <v>18.93</v>
      </c>
      <c r="O28" s="3199" t="s">
        <v>3161</v>
      </c>
      <c r="P28" s="3198">
        <f t="shared" si="0"/>
        <v>1724.7058392958445</v>
      </c>
    </row>
    <row r="29" spans="1:16">
      <c r="A29" s="3199" t="s">
        <v>3157</v>
      </c>
      <c r="B29" s="3199" t="s">
        <v>3113</v>
      </c>
      <c r="C29" s="3199" t="s">
        <v>3114</v>
      </c>
      <c r="D29" s="3199" t="s">
        <v>3157</v>
      </c>
      <c r="E29" s="3199" t="s">
        <v>3116</v>
      </c>
      <c r="F29" s="3199">
        <v>43778.9</v>
      </c>
      <c r="G29" s="3199">
        <v>87557.8</v>
      </c>
      <c r="H29" s="3199" t="s">
        <v>3158</v>
      </c>
      <c r="I29" s="3199" t="s">
        <v>3159</v>
      </c>
      <c r="J29" s="3199" t="s">
        <v>3160</v>
      </c>
      <c r="K29" s="3199">
        <v>6348</v>
      </c>
      <c r="L29" s="3199">
        <v>7248</v>
      </c>
      <c r="M29" s="3199">
        <v>827.79</v>
      </c>
      <c r="N29" s="3199">
        <v>14.18</v>
      </c>
      <c r="O29" s="3199" t="s">
        <v>3161</v>
      </c>
      <c r="P29" s="3198">
        <f t="shared" si="0"/>
        <v>1655.5920774619738</v>
      </c>
    </row>
    <row r="30" spans="1:16">
      <c r="A30" s="3199" t="s">
        <v>3141</v>
      </c>
      <c r="B30" s="3199" t="s">
        <v>3113</v>
      </c>
      <c r="C30" s="3199" t="s">
        <v>3114</v>
      </c>
      <c r="D30" s="3199" t="s">
        <v>3141</v>
      </c>
      <c r="E30" s="3199" t="s">
        <v>3116</v>
      </c>
      <c r="F30" s="3199">
        <v>20772.8</v>
      </c>
      <c r="G30" s="3199">
        <v>41545.599999999999</v>
      </c>
      <c r="H30" s="3199" t="s">
        <v>3158</v>
      </c>
      <c r="I30" s="3199" t="s">
        <v>3159</v>
      </c>
      <c r="J30" s="3199" t="s">
        <v>3160</v>
      </c>
      <c r="K30" s="3199">
        <v>3013</v>
      </c>
      <c r="L30" s="3199">
        <v>3913</v>
      </c>
      <c r="M30" s="3199">
        <v>941.86</v>
      </c>
      <c r="N30" s="3199">
        <v>29.87</v>
      </c>
      <c r="O30" s="3199" t="s">
        <v>3161</v>
      </c>
      <c r="P30" s="3198">
        <f t="shared" si="0"/>
        <v>1883.7133174150813</v>
      </c>
    </row>
    <row r="31" spans="1:16">
      <c r="A31" s="3199" t="s">
        <v>3162</v>
      </c>
      <c r="B31" s="3199" t="s">
        <v>3113</v>
      </c>
      <c r="C31" s="3199" t="s">
        <v>3114</v>
      </c>
      <c r="D31" s="3199" t="s">
        <v>3162</v>
      </c>
      <c r="E31" s="3199" t="s">
        <v>3150</v>
      </c>
      <c r="F31" s="3199">
        <v>23038.59</v>
      </c>
      <c r="G31" s="3199">
        <v>46077.18</v>
      </c>
      <c r="H31" s="3199" t="s">
        <v>3117</v>
      </c>
      <c r="I31" s="3199" t="s">
        <v>3163</v>
      </c>
      <c r="J31" s="3199" t="s">
        <v>3164</v>
      </c>
      <c r="K31" s="3199">
        <v>2074</v>
      </c>
      <c r="L31" s="3199">
        <v>2074</v>
      </c>
      <c r="M31" s="3199">
        <v>450.11</v>
      </c>
      <c r="N31" s="3199">
        <v>0</v>
      </c>
      <c r="O31" s="3199" t="s">
        <v>3120</v>
      </c>
      <c r="P31" s="3198">
        <f t="shared" si="0"/>
        <v>900.22870323227244</v>
      </c>
    </row>
    <row r="32" spans="1:16">
      <c r="A32" s="3199" t="s">
        <v>3165</v>
      </c>
      <c r="B32" s="3199" t="s">
        <v>3113</v>
      </c>
      <c r="C32" s="3199" t="s">
        <v>3114</v>
      </c>
      <c r="D32" s="3199" t="s">
        <v>3165</v>
      </c>
      <c r="E32" s="3199" t="s">
        <v>3150</v>
      </c>
      <c r="F32" s="3199">
        <v>13231.16</v>
      </c>
      <c r="G32" s="3199">
        <v>26462.32</v>
      </c>
      <c r="H32" s="3199" t="s">
        <v>3117</v>
      </c>
      <c r="I32" s="3199" t="s">
        <v>3163</v>
      </c>
      <c r="J32" s="3199" t="s">
        <v>3164</v>
      </c>
      <c r="K32" s="3199">
        <v>1191</v>
      </c>
      <c r="L32" s="3199">
        <v>1191</v>
      </c>
      <c r="M32" s="3199">
        <v>450.06</v>
      </c>
      <c r="N32" s="3199">
        <v>0</v>
      </c>
      <c r="O32" s="3199" t="s">
        <v>3120</v>
      </c>
      <c r="P32" s="3198">
        <f t="shared" si="0"/>
        <v>900.14783284307646</v>
      </c>
    </row>
    <row r="33" spans="1:15" hidden="1">
      <c r="A33" s="3199" t="s">
        <v>3132</v>
      </c>
      <c r="B33" s="3199" t="s">
        <v>3113</v>
      </c>
      <c r="C33" s="3199" t="s">
        <v>3114</v>
      </c>
      <c r="D33" s="3199" t="s">
        <v>3132</v>
      </c>
      <c r="E33" s="3199" t="s">
        <v>3116</v>
      </c>
      <c r="F33" s="3199">
        <v>64933.49</v>
      </c>
      <c r="G33" s="3199">
        <v>142853.68</v>
      </c>
      <c r="H33" s="3199" t="s">
        <v>3133</v>
      </c>
      <c r="I33" s="3199" t="s">
        <v>3166</v>
      </c>
      <c r="J33" s="3199" t="s">
        <v>3167</v>
      </c>
      <c r="K33" s="3199">
        <v>7792</v>
      </c>
      <c r="L33" s="3199">
        <v>14152</v>
      </c>
      <c r="M33" s="3199">
        <v>990.65</v>
      </c>
      <c r="N33" s="3199">
        <v>81.62</v>
      </c>
      <c r="O33" s="3199" t="s">
        <v>3120</v>
      </c>
    </row>
    <row r="34" spans="1:15" hidden="1">
      <c r="A34" s="3199" t="s">
        <v>3168</v>
      </c>
      <c r="B34" s="3199" t="s">
        <v>3113</v>
      </c>
      <c r="C34" s="3199" t="s">
        <v>3114</v>
      </c>
      <c r="D34" s="3199" t="s">
        <v>3168</v>
      </c>
      <c r="E34" s="3199" t="s">
        <v>3143</v>
      </c>
      <c r="F34" s="3199">
        <v>6551.48</v>
      </c>
      <c r="G34" s="3199">
        <v>9172.07</v>
      </c>
      <c r="H34" s="3199" t="s">
        <v>3169</v>
      </c>
      <c r="I34" s="3199" t="s">
        <v>3170</v>
      </c>
      <c r="J34" s="3199" t="s">
        <v>3171</v>
      </c>
      <c r="K34" s="3199" t="s">
        <v>2816</v>
      </c>
      <c r="L34" s="3199">
        <v>352</v>
      </c>
      <c r="M34" s="3199">
        <v>383.76</v>
      </c>
      <c r="N34" s="3199" t="s">
        <v>2816</v>
      </c>
      <c r="O34" s="3199" t="s">
        <v>3120</v>
      </c>
    </row>
    <row r="35" spans="1:15" hidden="1">
      <c r="A35" s="3199" t="s">
        <v>3172</v>
      </c>
      <c r="B35" s="3199" t="s">
        <v>3113</v>
      </c>
      <c r="C35" s="3199" t="s">
        <v>3114</v>
      </c>
      <c r="D35" s="3199" t="s">
        <v>3172</v>
      </c>
      <c r="E35" s="3199" t="s">
        <v>3150</v>
      </c>
      <c r="F35" s="3199">
        <v>61663.11</v>
      </c>
      <c r="G35" s="3199">
        <v>123326.2</v>
      </c>
      <c r="H35" s="3199" t="s">
        <v>3117</v>
      </c>
      <c r="I35" s="3199" t="s">
        <v>3173</v>
      </c>
      <c r="J35" s="3199" t="s">
        <v>3174</v>
      </c>
      <c r="K35" s="3199">
        <v>9249</v>
      </c>
      <c r="L35" s="3199">
        <v>9249</v>
      </c>
      <c r="M35" s="3199">
        <v>749.96</v>
      </c>
      <c r="N35" s="3199">
        <v>0</v>
      </c>
      <c r="O35" s="3199" t="s">
        <v>3120</v>
      </c>
    </row>
    <row r="36" spans="1:15" hidden="1">
      <c r="A36" s="3199" t="s">
        <v>3175</v>
      </c>
      <c r="B36" s="3199" t="s">
        <v>3113</v>
      </c>
      <c r="C36" s="3199" t="s">
        <v>3114</v>
      </c>
      <c r="D36" s="3199" t="s">
        <v>3175</v>
      </c>
      <c r="E36" s="3199" t="s">
        <v>3150</v>
      </c>
      <c r="F36" s="3199">
        <v>22164.23</v>
      </c>
      <c r="G36" s="3199">
        <v>44328.46</v>
      </c>
      <c r="H36" s="3199" t="s">
        <v>3117</v>
      </c>
      <c r="I36" s="3199" t="s">
        <v>3173</v>
      </c>
      <c r="J36" s="3199" t="s">
        <v>3125</v>
      </c>
      <c r="K36" s="3199">
        <v>3325</v>
      </c>
      <c r="L36" s="3199">
        <v>3325</v>
      </c>
      <c r="M36" s="3199">
        <v>750.08</v>
      </c>
      <c r="N36" s="3199">
        <v>0</v>
      </c>
      <c r="O36" s="3199" t="s">
        <v>3120</v>
      </c>
    </row>
    <row r="37" spans="1:15" hidden="1">
      <c r="A37" s="3199" t="s">
        <v>3176</v>
      </c>
      <c r="B37" s="3199" t="s">
        <v>3113</v>
      </c>
      <c r="C37" s="3199" t="s">
        <v>3114</v>
      </c>
      <c r="D37" s="3199" t="s">
        <v>3176</v>
      </c>
      <c r="E37" s="3199" t="s">
        <v>3116</v>
      </c>
      <c r="F37" s="3199">
        <v>58984.72</v>
      </c>
      <c r="G37" s="3199">
        <v>147461.79999999999</v>
      </c>
      <c r="H37" s="3199" t="s">
        <v>3177</v>
      </c>
      <c r="I37" s="3199" t="s">
        <v>3178</v>
      </c>
      <c r="J37" s="3199" t="s">
        <v>3179</v>
      </c>
      <c r="K37" s="3199">
        <v>5310</v>
      </c>
      <c r="L37" s="3199">
        <v>9490</v>
      </c>
      <c r="M37" s="3199">
        <v>643.54999999999995</v>
      </c>
      <c r="N37" s="3199">
        <v>78.72</v>
      </c>
      <c r="O37" s="3199" t="s">
        <v>3120</v>
      </c>
    </row>
    <row r="38" spans="1:15" hidden="1">
      <c r="A38" s="3199" t="s">
        <v>3180</v>
      </c>
      <c r="B38" s="3199" t="s">
        <v>3113</v>
      </c>
      <c r="C38" s="3199" t="s">
        <v>3114</v>
      </c>
      <c r="D38" s="3199" t="s">
        <v>3180</v>
      </c>
      <c r="E38" s="3199" t="s">
        <v>3150</v>
      </c>
      <c r="F38" s="3199">
        <v>68073.84</v>
      </c>
      <c r="G38" s="3199">
        <v>136147.70000000001</v>
      </c>
      <c r="H38" s="3199" t="s">
        <v>3117</v>
      </c>
      <c r="I38" s="3199" t="s">
        <v>3181</v>
      </c>
      <c r="J38" s="3199" t="s">
        <v>3164</v>
      </c>
      <c r="K38" s="3199">
        <v>7146</v>
      </c>
      <c r="L38" s="3199">
        <v>7146</v>
      </c>
      <c r="M38" s="3199">
        <v>524.87</v>
      </c>
      <c r="N38" s="3199">
        <v>0</v>
      </c>
      <c r="O38" s="3199" t="s">
        <v>3120</v>
      </c>
    </row>
    <row r="39" spans="1:15" hidden="1">
      <c r="A39" s="3199" t="s">
        <v>3182</v>
      </c>
      <c r="B39" s="3199" t="s">
        <v>3113</v>
      </c>
      <c r="C39" s="3199" t="s">
        <v>3114</v>
      </c>
      <c r="D39" s="3199" t="s">
        <v>3182</v>
      </c>
      <c r="E39" s="3199" t="s">
        <v>3150</v>
      </c>
      <c r="F39" s="3199">
        <v>24667.88</v>
      </c>
      <c r="G39" s="3199">
        <v>49335.76</v>
      </c>
      <c r="H39" s="3199" t="s">
        <v>3117</v>
      </c>
      <c r="I39" s="3199" t="s">
        <v>3181</v>
      </c>
      <c r="J39" s="3199" t="s">
        <v>3164</v>
      </c>
      <c r="K39" s="3199">
        <v>2590</v>
      </c>
      <c r="L39" s="3199">
        <v>2590</v>
      </c>
      <c r="M39" s="3199">
        <v>524.97</v>
      </c>
      <c r="N39" s="3199">
        <v>0</v>
      </c>
      <c r="O39" s="3199" t="s">
        <v>3120</v>
      </c>
    </row>
    <row r="40" spans="1:15" hidden="1">
      <c r="A40" s="3199" t="s">
        <v>3149</v>
      </c>
      <c r="B40" s="3199" t="s">
        <v>3113</v>
      </c>
      <c r="C40" s="3199" t="s">
        <v>3114</v>
      </c>
      <c r="D40" s="3199" t="s">
        <v>3149</v>
      </c>
      <c r="E40" s="3199" t="s">
        <v>3143</v>
      </c>
      <c r="F40" s="3199">
        <v>63364</v>
      </c>
      <c r="G40" s="3199">
        <v>158410</v>
      </c>
      <c r="H40" s="3199" t="s">
        <v>3151</v>
      </c>
      <c r="I40" s="3199" t="s">
        <v>3183</v>
      </c>
      <c r="J40" s="3199" t="s">
        <v>3184</v>
      </c>
      <c r="K40" s="3199" t="s">
        <v>2816</v>
      </c>
      <c r="L40" s="3199">
        <v>3302</v>
      </c>
      <c r="M40" s="3199">
        <v>208.44</v>
      </c>
      <c r="N40" s="3199" t="s">
        <v>2816</v>
      </c>
      <c r="O40" s="3199" t="s">
        <v>3120</v>
      </c>
    </row>
    <row r="41" spans="1:15" hidden="1">
      <c r="A41" s="3199" t="s">
        <v>3149</v>
      </c>
      <c r="B41" s="3199" t="s">
        <v>3113</v>
      </c>
      <c r="C41" s="3199" t="s">
        <v>3114</v>
      </c>
      <c r="D41" s="3199" t="s">
        <v>3149</v>
      </c>
      <c r="E41" s="3199" t="s">
        <v>3143</v>
      </c>
      <c r="F41" s="3199">
        <v>50787</v>
      </c>
      <c r="G41" s="3199">
        <v>152361</v>
      </c>
      <c r="H41" s="3199" t="s">
        <v>3153</v>
      </c>
      <c r="I41" s="3199" t="s">
        <v>3183</v>
      </c>
      <c r="J41" s="3199" t="s">
        <v>3184</v>
      </c>
      <c r="K41" s="3199" t="s">
        <v>2816</v>
      </c>
      <c r="L41" s="3199">
        <v>2692</v>
      </c>
      <c r="M41" s="3199">
        <v>176.68</v>
      </c>
      <c r="N41" s="3199" t="s">
        <v>2816</v>
      </c>
      <c r="O41" s="3199" t="s">
        <v>3120</v>
      </c>
    </row>
    <row r="42" spans="1:15" hidden="1">
      <c r="A42" s="3199" t="s">
        <v>3149</v>
      </c>
      <c r="B42" s="3199" t="s">
        <v>3113</v>
      </c>
      <c r="C42" s="3199" t="s">
        <v>3114</v>
      </c>
      <c r="D42" s="3199" t="s">
        <v>3149</v>
      </c>
      <c r="E42" s="3199" t="s">
        <v>3143</v>
      </c>
      <c r="F42" s="3199">
        <v>35710</v>
      </c>
      <c r="G42" s="3199">
        <v>107130</v>
      </c>
      <c r="H42" s="3199" t="s">
        <v>3153</v>
      </c>
      <c r="I42" s="3199" t="s">
        <v>3183</v>
      </c>
      <c r="J42" s="3199" t="s">
        <v>3184</v>
      </c>
      <c r="K42" s="3199" t="s">
        <v>2816</v>
      </c>
      <c r="L42" s="3199">
        <v>1879</v>
      </c>
      <c r="M42" s="3199">
        <v>175.38</v>
      </c>
      <c r="N42" s="3199" t="s">
        <v>2816</v>
      </c>
      <c r="O42" s="3199" t="s">
        <v>3120</v>
      </c>
    </row>
    <row r="43" spans="1:15" hidden="1">
      <c r="A43" s="3199" t="s">
        <v>3149</v>
      </c>
      <c r="B43" s="3199" t="s">
        <v>3113</v>
      </c>
      <c r="C43" s="3199" t="s">
        <v>3114</v>
      </c>
      <c r="D43" s="3199" t="s">
        <v>3149</v>
      </c>
      <c r="E43" s="3199" t="s">
        <v>3143</v>
      </c>
      <c r="F43" s="3199">
        <v>55349</v>
      </c>
      <c r="G43" s="3199">
        <v>138372.5</v>
      </c>
      <c r="H43" s="3199" t="s">
        <v>3151</v>
      </c>
      <c r="I43" s="3199" t="s">
        <v>3183</v>
      </c>
      <c r="J43" s="3199" t="s">
        <v>3184</v>
      </c>
      <c r="K43" s="3199" t="s">
        <v>2816</v>
      </c>
      <c r="L43" s="3199">
        <v>2895</v>
      </c>
      <c r="M43" s="3199">
        <v>209.21</v>
      </c>
      <c r="N43" s="3199" t="s">
        <v>2816</v>
      </c>
      <c r="O43" s="3199" t="s">
        <v>3120</v>
      </c>
    </row>
    <row r="44" spans="1:15" hidden="1">
      <c r="A44" s="3199" t="s">
        <v>3149</v>
      </c>
      <c r="B44" s="3199" t="s">
        <v>3113</v>
      </c>
      <c r="C44" s="3199" t="s">
        <v>3114</v>
      </c>
      <c r="D44" s="3199" t="s">
        <v>3149</v>
      </c>
      <c r="E44" s="3199" t="s">
        <v>3143</v>
      </c>
      <c r="F44" s="3199">
        <v>10534</v>
      </c>
      <c r="G44" s="3199">
        <v>31602</v>
      </c>
      <c r="H44" s="3199" t="s">
        <v>3153</v>
      </c>
      <c r="I44" s="3199" t="s">
        <v>3183</v>
      </c>
      <c r="J44" s="3199" t="s">
        <v>3184</v>
      </c>
      <c r="K44" s="3199" t="s">
        <v>2816</v>
      </c>
      <c r="L44" s="3199">
        <v>540</v>
      </c>
      <c r="M44" s="3199">
        <v>170.87</v>
      </c>
      <c r="N44" s="3199" t="s">
        <v>2816</v>
      </c>
      <c r="O44" s="3199" t="s">
        <v>3120</v>
      </c>
    </row>
    <row r="45" spans="1:15" hidden="1">
      <c r="A45" s="3199" t="s">
        <v>3149</v>
      </c>
      <c r="B45" s="3199" t="s">
        <v>3113</v>
      </c>
      <c r="C45" s="3199" t="s">
        <v>3114</v>
      </c>
      <c r="D45" s="3199" t="s">
        <v>3149</v>
      </c>
      <c r="E45" s="3199" t="s">
        <v>3143</v>
      </c>
      <c r="F45" s="3199">
        <v>64915</v>
      </c>
      <c r="G45" s="3199">
        <v>194745</v>
      </c>
      <c r="H45" s="3199" t="s">
        <v>3153</v>
      </c>
      <c r="I45" s="3199" t="s">
        <v>3183</v>
      </c>
      <c r="J45" s="3199" t="s">
        <v>3184</v>
      </c>
      <c r="K45" s="3199" t="s">
        <v>2816</v>
      </c>
      <c r="L45" s="3199">
        <v>3415</v>
      </c>
      <c r="M45" s="3199">
        <v>175.36</v>
      </c>
      <c r="N45" s="3199" t="s">
        <v>2816</v>
      </c>
      <c r="O45" s="3199" t="s">
        <v>3120</v>
      </c>
    </row>
    <row r="46" spans="1:15" hidden="1">
      <c r="A46" s="3199" t="s">
        <v>3149</v>
      </c>
      <c r="B46" s="3199" t="s">
        <v>3113</v>
      </c>
      <c r="C46" s="3199" t="s">
        <v>3114</v>
      </c>
      <c r="D46" s="3199" t="s">
        <v>3149</v>
      </c>
      <c r="E46" s="3199" t="s">
        <v>3143</v>
      </c>
      <c r="F46" s="3199">
        <v>38618</v>
      </c>
      <c r="G46" s="3199">
        <v>115854</v>
      </c>
      <c r="H46" s="3199" t="s">
        <v>3153</v>
      </c>
      <c r="I46" s="3199" t="s">
        <v>3183</v>
      </c>
      <c r="J46" s="3199" t="s">
        <v>3184</v>
      </c>
      <c r="K46" s="3199" t="s">
        <v>2816</v>
      </c>
      <c r="L46" s="3199">
        <v>2032</v>
      </c>
      <c r="M46" s="3199">
        <v>175.38</v>
      </c>
      <c r="N46" s="3199" t="s">
        <v>2816</v>
      </c>
      <c r="O46" s="3199" t="s">
        <v>3120</v>
      </c>
    </row>
    <row r="47" spans="1:15" hidden="1">
      <c r="A47" s="3199" t="s">
        <v>3149</v>
      </c>
      <c r="B47" s="3199" t="s">
        <v>3113</v>
      </c>
      <c r="C47" s="3199" t="s">
        <v>3114</v>
      </c>
      <c r="D47" s="3199" t="s">
        <v>3149</v>
      </c>
      <c r="E47" s="3199" t="s">
        <v>3143</v>
      </c>
      <c r="F47" s="3199">
        <v>66513</v>
      </c>
      <c r="G47" s="3199">
        <v>166282.5</v>
      </c>
      <c r="H47" s="3199" t="s">
        <v>3151</v>
      </c>
      <c r="I47" s="3199" t="s">
        <v>3183</v>
      </c>
      <c r="J47" s="3199" t="s">
        <v>3184</v>
      </c>
      <c r="K47" s="3199" t="s">
        <v>2816</v>
      </c>
      <c r="L47" s="3199">
        <v>3512</v>
      </c>
      <c r="M47" s="3199">
        <v>211.21</v>
      </c>
      <c r="N47" s="3199" t="s">
        <v>2816</v>
      </c>
      <c r="O47" s="3199" t="s">
        <v>3120</v>
      </c>
    </row>
    <row r="48" spans="1:15" hidden="1">
      <c r="A48" s="3199" t="s">
        <v>3149</v>
      </c>
      <c r="B48" s="3199" t="s">
        <v>3113</v>
      </c>
      <c r="C48" s="3199" t="s">
        <v>3114</v>
      </c>
      <c r="D48" s="3199" t="s">
        <v>3149</v>
      </c>
      <c r="E48" s="3199" t="s">
        <v>3143</v>
      </c>
      <c r="F48" s="3199">
        <v>44753</v>
      </c>
      <c r="G48" s="3199">
        <v>134259</v>
      </c>
      <c r="H48" s="3199" t="s">
        <v>3153</v>
      </c>
      <c r="I48" s="3199" t="s">
        <v>3183</v>
      </c>
      <c r="J48" s="3199" t="s">
        <v>3184</v>
      </c>
      <c r="K48" s="3199" t="s">
        <v>2816</v>
      </c>
      <c r="L48" s="3199">
        <v>2355</v>
      </c>
      <c r="M48" s="3199">
        <v>175.4</v>
      </c>
      <c r="N48" s="3199" t="s">
        <v>2816</v>
      </c>
      <c r="O48" s="3199" t="s">
        <v>3120</v>
      </c>
    </row>
    <row r="49" spans="1:15" hidden="1">
      <c r="A49" s="3199" t="s">
        <v>3149</v>
      </c>
      <c r="B49" s="3199" t="s">
        <v>3113</v>
      </c>
      <c r="C49" s="3199" t="s">
        <v>3114</v>
      </c>
      <c r="D49" s="3199" t="s">
        <v>3149</v>
      </c>
      <c r="E49" s="3199" t="s">
        <v>3143</v>
      </c>
      <c r="F49" s="3199">
        <v>41834</v>
      </c>
      <c r="G49" s="3199">
        <v>125502</v>
      </c>
      <c r="H49" s="3199" t="s">
        <v>3153</v>
      </c>
      <c r="I49" s="3199" t="s">
        <v>3183</v>
      </c>
      <c r="J49" s="3199" t="s">
        <v>3184</v>
      </c>
      <c r="K49" s="3199" t="s">
        <v>2816</v>
      </c>
      <c r="L49" s="3199">
        <v>2201</v>
      </c>
      <c r="M49" s="3199">
        <v>175.37</v>
      </c>
      <c r="N49" s="3199" t="s">
        <v>2816</v>
      </c>
      <c r="O49" s="3199" t="s">
        <v>3120</v>
      </c>
    </row>
    <row r="50" spans="1:15" hidden="1">
      <c r="A50" s="3199" t="s">
        <v>3149</v>
      </c>
      <c r="B50" s="3199" t="s">
        <v>3113</v>
      </c>
      <c r="C50" s="3199" t="s">
        <v>3114</v>
      </c>
      <c r="D50" s="3199" t="s">
        <v>3149</v>
      </c>
      <c r="E50" s="3199" t="s">
        <v>3143</v>
      </c>
      <c r="F50" s="3199">
        <v>49882</v>
      </c>
      <c r="G50" s="3199">
        <v>124705</v>
      </c>
      <c r="H50" s="3199" t="s">
        <v>3151</v>
      </c>
      <c r="I50" s="3199" t="s">
        <v>3183</v>
      </c>
      <c r="J50" s="3199" t="s">
        <v>3184</v>
      </c>
      <c r="K50" s="3199" t="s">
        <v>2816</v>
      </c>
      <c r="L50" s="3199">
        <v>2609</v>
      </c>
      <c r="M50" s="3199">
        <v>209.21</v>
      </c>
      <c r="N50" s="3199" t="s">
        <v>2816</v>
      </c>
      <c r="O50" s="3199" t="s">
        <v>3120</v>
      </c>
    </row>
    <row r="51" spans="1:15" hidden="1">
      <c r="A51" s="3199" t="s">
        <v>3149</v>
      </c>
      <c r="B51" s="3199" t="s">
        <v>3113</v>
      </c>
      <c r="C51" s="3199" t="s">
        <v>3114</v>
      </c>
      <c r="D51" s="3199" t="s">
        <v>3149</v>
      </c>
      <c r="E51" s="3199" t="s">
        <v>3143</v>
      </c>
      <c r="F51" s="3199">
        <v>47511</v>
      </c>
      <c r="G51" s="3199">
        <v>118777.5</v>
      </c>
      <c r="H51" s="3199" t="s">
        <v>3151</v>
      </c>
      <c r="I51" s="3199" t="s">
        <v>3183</v>
      </c>
      <c r="J51" s="3199" t="s">
        <v>3184</v>
      </c>
      <c r="K51" s="3199" t="s">
        <v>2816</v>
      </c>
      <c r="L51" s="3199">
        <v>2462</v>
      </c>
      <c r="M51" s="3199">
        <v>207.28</v>
      </c>
      <c r="N51" s="3199" t="s">
        <v>2816</v>
      </c>
      <c r="O51" s="3199" t="s">
        <v>3120</v>
      </c>
    </row>
    <row r="52" spans="1:15" hidden="1">
      <c r="A52" s="3199" t="s">
        <v>3149</v>
      </c>
      <c r="B52" s="3199" t="s">
        <v>3113</v>
      </c>
      <c r="C52" s="3199" t="s">
        <v>3114</v>
      </c>
      <c r="D52" s="3199" t="s">
        <v>3149</v>
      </c>
      <c r="E52" s="3199" t="s">
        <v>3143</v>
      </c>
      <c r="F52" s="3199">
        <v>66220</v>
      </c>
      <c r="G52" s="3199">
        <v>165550</v>
      </c>
      <c r="H52" s="3199" t="s">
        <v>3151</v>
      </c>
      <c r="I52" s="3199" t="s">
        <v>3183</v>
      </c>
      <c r="J52" s="3199" t="s">
        <v>3184</v>
      </c>
      <c r="K52" s="3199" t="s">
        <v>2816</v>
      </c>
      <c r="L52" s="3199">
        <v>3451</v>
      </c>
      <c r="M52" s="3199">
        <v>208.46</v>
      </c>
      <c r="N52" s="3199" t="s">
        <v>2816</v>
      </c>
      <c r="O52" s="3199" t="s">
        <v>3120</v>
      </c>
    </row>
    <row r="53" spans="1:15" hidden="1">
      <c r="A53" s="3199" t="s">
        <v>3149</v>
      </c>
      <c r="B53" s="3199" t="s">
        <v>3113</v>
      </c>
      <c r="C53" s="3199" t="s">
        <v>3114</v>
      </c>
      <c r="D53" s="3199" t="s">
        <v>3149</v>
      </c>
      <c r="E53" s="3199" t="s">
        <v>3143</v>
      </c>
      <c r="F53" s="3199">
        <v>22872</v>
      </c>
      <c r="G53" s="3199">
        <v>68616</v>
      </c>
      <c r="H53" s="3199" t="s">
        <v>3153</v>
      </c>
      <c r="I53" s="3199" t="s">
        <v>3183</v>
      </c>
      <c r="J53" s="3199" t="s">
        <v>3184</v>
      </c>
      <c r="K53" s="3199" t="s">
        <v>2816</v>
      </c>
      <c r="L53" s="3199">
        <v>1190</v>
      </c>
      <c r="M53" s="3199">
        <v>173.43</v>
      </c>
      <c r="N53" s="3199" t="s">
        <v>2816</v>
      </c>
      <c r="O53" s="3199" t="s">
        <v>3120</v>
      </c>
    </row>
    <row r="54" spans="1:15" hidden="1">
      <c r="A54" s="3199" t="s">
        <v>3182</v>
      </c>
      <c r="B54" s="3199" t="s">
        <v>3113</v>
      </c>
      <c r="C54" s="3199" t="s">
        <v>3114</v>
      </c>
      <c r="D54" s="3199" t="s">
        <v>3182</v>
      </c>
      <c r="E54" s="3199" t="s">
        <v>3116</v>
      </c>
      <c r="F54" s="3199">
        <v>53226.239999999998</v>
      </c>
      <c r="G54" s="3199">
        <v>106452.5</v>
      </c>
      <c r="H54" s="3199" t="s">
        <v>3117</v>
      </c>
      <c r="I54" s="3199" t="s">
        <v>3185</v>
      </c>
      <c r="J54" s="3199" t="s">
        <v>3164</v>
      </c>
      <c r="K54" s="3199">
        <v>5588</v>
      </c>
      <c r="L54" s="3199">
        <v>5588</v>
      </c>
      <c r="M54" s="3199">
        <v>524.91999999999996</v>
      </c>
      <c r="N54" s="3199">
        <v>0</v>
      </c>
      <c r="O54" s="3199" t="s">
        <v>3120</v>
      </c>
    </row>
    <row r="55" spans="1:15" hidden="1">
      <c r="A55" s="3199" t="s">
        <v>3186</v>
      </c>
      <c r="B55" s="3199" t="s">
        <v>3113</v>
      </c>
      <c r="C55" s="3199" t="s">
        <v>3114</v>
      </c>
      <c r="D55" s="3199" t="s">
        <v>3186</v>
      </c>
      <c r="E55" s="3199" t="s">
        <v>3143</v>
      </c>
      <c r="F55" s="3199">
        <v>337.1</v>
      </c>
      <c r="G55" s="3199">
        <v>505.65</v>
      </c>
      <c r="H55" s="3199" t="s">
        <v>3187</v>
      </c>
      <c r="I55" s="3199" t="s">
        <v>3188</v>
      </c>
      <c r="J55" s="3199" t="s">
        <v>3189</v>
      </c>
      <c r="K55" s="3199" t="s">
        <v>2816</v>
      </c>
      <c r="L55" s="3199">
        <v>17</v>
      </c>
      <c r="M55" s="3199">
        <v>336.19</v>
      </c>
      <c r="N55" s="3199" t="s">
        <v>2816</v>
      </c>
      <c r="O55" s="3199" t="s">
        <v>3120</v>
      </c>
    </row>
    <row r="56" spans="1:15" hidden="1">
      <c r="A56" s="3199" t="s">
        <v>3186</v>
      </c>
      <c r="B56" s="3199" t="s">
        <v>3113</v>
      </c>
      <c r="C56" s="3199" t="s">
        <v>3114</v>
      </c>
      <c r="D56" s="3199" t="s">
        <v>3186</v>
      </c>
      <c r="E56" s="3199" t="s">
        <v>3143</v>
      </c>
      <c r="F56" s="3199">
        <v>55.4</v>
      </c>
      <c r="G56" s="3199">
        <v>83.1</v>
      </c>
      <c r="H56" s="3199" t="s">
        <v>3187</v>
      </c>
      <c r="I56" s="3199" t="s">
        <v>3188</v>
      </c>
      <c r="J56" s="3199" t="s">
        <v>3189</v>
      </c>
      <c r="K56" s="3199" t="s">
        <v>2816</v>
      </c>
      <c r="L56" s="3199">
        <v>3</v>
      </c>
      <c r="M56" s="3199">
        <v>361</v>
      </c>
      <c r="N56" s="3199" t="s">
        <v>2816</v>
      </c>
      <c r="O56" s="3199" t="s">
        <v>3120</v>
      </c>
    </row>
    <row r="57" spans="1:15" hidden="1">
      <c r="A57" s="3199" t="s">
        <v>3186</v>
      </c>
      <c r="B57" s="3199" t="s">
        <v>3113</v>
      </c>
      <c r="C57" s="3199" t="s">
        <v>3114</v>
      </c>
      <c r="D57" s="3199" t="s">
        <v>3186</v>
      </c>
      <c r="E57" s="3199" t="s">
        <v>3143</v>
      </c>
      <c r="F57" s="3199">
        <v>228.5</v>
      </c>
      <c r="G57" s="3199">
        <v>342.75</v>
      </c>
      <c r="H57" s="3199" t="s">
        <v>3187</v>
      </c>
      <c r="I57" s="3199" t="s">
        <v>3188</v>
      </c>
      <c r="J57" s="3199" t="s">
        <v>3189</v>
      </c>
      <c r="K57" s="3199" t="s">
        <v>2816</v>
      </c>
      <c r="L57" s="3199">
        <v>12</v>
      </c>
      <c r="M57" s="3199">
        <v>350.11</v>
      </c>
      <c r="N57" s="3199" t="s">
        <v>2816</v>
      </c>
      <c r="O57" s="3199" t="s">
        <v>3120</v>
      </c>
    </row>
    <row r="58" spans="1:15" hidden="1">
      <c r="A58" s="3199" t="s">
        <v>3190</v>
      </c>
      <c r="B58" s="3199" t="s">
        <v>3113</v>
      </c>
      <c r="C58" s="3199" t="s">
        <v>3114</v>
      </c>
      <c r="D58" s="3199" t="s">
        <v>3190</v>
      </c>
      <c r="E58" s="3199" t="s">
        <v>3116</v>
      </c>
      <c r="F58" s="3199">
        <v>10097.4</v>
      </c>
      <c r="G58" s="3199">
        <v>20194.8</v>
      </c>
      <c r="H58" s="3199" t="s">
        <v>3117</v>
      </c>
      <c r="I58" s="3199" t="s">
        <v>3191</v>
      </c>
      <c r="J58" s="3199" t="s">
        <v>3164</v>
      </c>
      <c r="K58" s="3199">
        <v>1818</v>
      </c>
      <c r="L58" s="3199">
        <v>1818</v>
      </c>
      <c r="M58" s="3199">
        <v>900.23</v>
      </c>
      <c r="N58" s="3199">
        <v>0</v>
      </c>
      <c r="O58" s="3199" t="s">
        <v>3120</v>
      </c>
    </row>
    <row r="59" spans="1:15" hidden="1">
      <c r="A59" s="3199" t="s">
        <v>3149</v>
      </c>
      <c r="B59" s="3199" t="s">
        <v>3113</v>
      </c>
      <c r="C59" s="3199" t="s">
        <v>3114</v>
      </c>
      <c r="D59" s="3199" t="s">
        <v>3149</v>
      </c>
      <c r="E59" s="3199" t="s">
        <v>3143</v>
      </c>
      <c r="F59" s="3199">
        <v>8431</v>
      </c>
      <c r="G59" s="3199">
        <v>25293</v>
      </c>
      <c r="H59" s="3199" t="s">
        <v>3192</v>
      </c>
      <c r="I59" s="3199" t="s">
        <v>3193</v>
      </c>
      <c r="J59" s="3199" t="s">
        <v>3184</v>
      </c>
      <c r="K59" s="3199" t="s">
        <v>2816</v>
      </c>
      <c r="L59" s="3199">
        <v>444</v>
      </c>
      <c r="M59" s="3199">
        <v>175.53</v>
      </c>
      <c r="N59" s="3199" t="s">
        <v>2816</v>
      </c>
      <c r="O59" s="3199" t="s">
        <v>3120</v>
      </c>
    </row>
    <row r="60" spans="1:15" hidden="1">
      <c r="A60" s="3199" t="s">
        <v>3149</v>
      </c>
      <c r="B60" s="3199" t="s">
        <v>3113</v>
      </c>
      <c r="C60" s="3199" t="s">
        <v>3114</v>
      </c>
      <c r="D60" s="3199" t="s">
        <v>3149</v>
      </c>
      <c r="E60" s="3199" t="s">
        <v>3143</v>
      </c>
      <c r="F60" s="3199">
        <v>13607</v>
      </c>
      <c r="G60" s="3199">
        <v>40821</v>
      </c>
      <c r="H60" s="3199" t="s">
        <v>3192</v>
      </c>
      <c r="I60" s="3199" t="s">
        <v>3193</v>
      </c>
      <c r="J60" s="3199" t="s">
        <v>3184</v>
      </c>
      <c r="K60" s="3199" t="s">
        <v>2816</v>
      </c>
      <c r="L60" s="3199">
        <v>714</v>
      </c>
      <c r="M60" s="3199">
        <v>174.9</v>
      </c>
      <c r="N60" s="3199" t="s">
        <v>2816</v>
      </c>
      <c r="O60" s="3199" t="s">
        <v>3120</v>
      </c>
    </row>
    <row r="61" spans="1:15" hidden="1">
      <c r="A61" s="3199" t="s">
        <v>3149</v>
      </c>
      <c r="B61" s="3199" t="s">
        <v>3113</v>
      </c>
      <c r="C61" s="3199" t="s">
        <v>3114</v>
      </c>
      <c r="D61" s="3199" t="s">
        <v>3149</v>
      </c>
      <c r="E61" s="3199" t="s">
        <v>3143</v>
      </c>
      <c r="F61" s="3199">
        <v>3892</v>
      </c>
      <c r="G61" s="3199">
        <v>11676</v>
      </c>
      <c r="H61" s="3199" t="s">
        <v>3192</v>
      </c>
      <c r="I61" s="3199" t="s">
        <v>3193</v>
      </c>
      <c r="J61" s="3199" t="s">
        <v>3184</v>
      </c>
      <c r="K61" s="3199" t="s">
        <v>2816</v>
      </c>
      <c r="L61" s="3199">
        <v>202</v>
      </c>
      <c r="M61" s="3199">
        <v>173</v>
      </c>
      <c r="N61" s="3199" t="s">
        <v>2816</v>
      </c>
      <c r="O61" s="3199" t="s">
        <v>3120</v>
      </c>
    </row>
    <row r="91" spans="1:10" ht="14.25">
      <c r="A91" s="3200" t="s">
        <v>3194</v>
      </c>
      <c r="J91" s="3200" t="s">
        <v>3284</v>
      </c>
    </row>
    <row r="93" spans="1:10" ht="14.25">
      <c r="A93" s="3200" t="s">
        <v>3295</v>
      </c>
    </row>
    <row r="102" spans="1:1" ht="14.25">
      <c r="A102" s="3200" t="s">
        <v>3289</v>
      </c>
    </row>
  </sheetData>
  <phoneticPr fontId="228" type="noConversion"/>
  <hyperlinks>
    <hyperlink ref="J91" r:id="rId1"/>
    <hyperlink ref="A102" r:id="rId2"/>
    <hyperlink ref="A91" r:id="rId3"/>
  </hyperlinks>
  <pageMargins left="0.75" right="0.75" top="1" bottom="1" header="0.5" footer="0.5"/>
  <pageSetup orientation="portrait" horizontalDpi="300" verticalDpi="300"/>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46"/>
  <sheetViews>
    <sheetView workbookViewId="0">
      <pane ySplit="1" topLeftCell="A5" activePane="bottomLeft" state="frozen"/>
      <selection pane="bottomLeft" activeCell="L8" sqref="L8:L9"/>
    </sheetView>
  </sheetViews>
  <sheetFormatPr defaultRowHeight="12.75"/>
  <cols>
    <col min="1" max="1" width="24.5" style="3191" customWidth="1"/>
    <col min="2" max="2" width="7.875" style="3191" customWidth="1"/>
    <col min="3" max="3" width="4.875" style="3191" customWidth="1"/>
    <col min="4" max="4" width="4.5" style="3191" customWidth="1"/>
    <col min="5" max="5" width="13.875" style="3191" customWidth="1"/>
    <col min="6" max="6" width="8.375" style="3191" customWidth="1"/>
    <col min="7" max="7" width="24" style="3191" customWidth="1"/>
    <col min="8" max="8" width="9" style="3191" customWidth="1"/>
    <col min="9" max="9" width="19.625" style="3191" customWidth="1"/>
    <col min="10" max="10" width="7.75" style="3191" customWidth="1"/>
    <col min="11" max="12" width="10.625" style="3191" customWidth="1"/>
    <col min="13" max="13" width="6.25" style="3191" customWidth="1"/>
    <col min="14" max="14" width="7.875" style="3191" customWidth="1"/>
    <col min="15" max="256" width="9" style="3191"/>
    <col min="257" max="257" width="24.5" style="3191" customWidth="1"/>
    <col min="258" max="258" width="7.875" style="3191" customWidth="1"/>
    <col min="259" max="259" width="4.875" style="3191" customWidth="1"/>
    <col min="260" max="260" width="4.5" style="3191" customWidth="1"/>
    <col min="261" max="261" width="13.875" style="3191" customWidth="1"/>
    <col min="262" max="262" width="8.375" style="3191" customWidth="1"/>
    <col min="263" max="263" width="24" style="3191" customWidth="1"/>
    <col min="264" max="264" width="9" style="3191" customWidth="1"/>
    <col min="265" max="265" width="19.625" style="3191" customWidth="1"/>
    <col min="266" max="266" width="7.75" style="3191" customWidth="1"/>
    <col min="267" max="268" width="10.625" style="3191" customWidth="1"/>
    <col min="269" max="269" width="6.25" style="3191" customWidth="1"/>
    <col min="270" max="270" width="7.875" style="3191" customWidth="1"/>
    <col min="271" max="512" width="9" style="3191"/>
    <col min="513" max="513" width="24.5" style="3191" customWidth="1"/>
    <col min="514" max="514" width="7.875" style="3191" customWidth="1"/>
    <col min="515" max="515" width="4.875" style="3191" customWidth="1"/>
    <col min="516" max="516" width="4.5" style="3191" customWidth="1"/>
    <col min="517" max="517" width="13.875" style="3191" customWidth="1"/>
    <col min="518" max="518" width="8.375" style="3191" customWidth="1"/>
    <col min="519" max="519" width="24" style="3191" customWidth="1"/>
    <col min="520" max="520" width="9" style="3191" customWidth="1"/>
    <col min="521" max="521" width="19.625" style="3191" customWidth="1"/>
    <col min="522" max="522" width="7.75" style="3191" customWidth="1"/>
    <col min="523" max="524" width="10.625" style="3191" customWidth="1"/>
    <col min="525" max="525" width="6.25" style="3191" customWidth="1"/>
    <col min="526" max="526" width="7.875" style="3191" customWidth="1"/>
    <col min="527" max="768" width="9" style="3191"/>
    <col min="769" max="769" width="24.5" style="3191" customWidth="1"/>
    <col min="770" max="770" width="7.875" style="3191" customWidth="1"/>
    <col min="771" max="771" width="4.875" style="3191" customWidth="1"/>
    <col min="772" max="772" width="4.5" style="3191" customWidth="1"/>
    <col min="773" max="773" width="13.875" style="3191" customWidth="1"/>
    <col min="774" max="774" width="8.375" style="3191" customWidth="1"/>
    <col min="775" max="775" width="24" style="3191" customWidth="1"/>
    <col min="776" max="776" width="9" style="3191" customWidth="1"/>
    <col min="777" max="777" width="19.625" style="3191" customWidth="1"/>
    <col min="778" max="778" width="7.75" style="3191" customWidth="1"/>
    <col min="779" max="780" width="10.625" style="3191" customWidth="1"/>
    <col min="781" max="781" width="6.25" style="3191" customWidth="1"/>
    <col min="782" max="782" width="7.875" style="3191" customWidth="1"/>
    <col min="783" max="1024" width="9" style="3191"/>
    <col min="1025" max="1025" width="24.5" style="3191" customWidth="1"/>
    <col min="1026" max="1026" width="7.875" style="3191" customWidth="1"/>
    <col min="1027" max="1027" width="4.875" style="3191" customWidth="1"/>
    <col min="1028" max="1028" width="4.5" style="3191" customWidth="1"/>
    <col min="1029" max="1029" width="13.875" style="3191" customWidth="1"/>
    <col min="1030" max="1030" width="8.375" style="3191" customWidth="1"/>
    <col min="1031" max="1031" width="24" style="3191" customWidth="1"/>
    <col min="1032" max="1032" width="9" style="3191" customWidth="1"/>
    <col min="1033" max="1033" width="19.625" style="3191" customWidth="1"/>
    <col min="1034" max="1034" width="7.75" style="3191" customWidth="1"/>
    <col min="1035" max="1036" width="10.625" style="3191" customWidth="1"/>
    <col min="1037" max="1037" width="6.25" style="3191" customWidth="1"/>
    <col min="1038" max="1038" width="7.875" style="3191" customWidth="1"/>
    <col min="1039" max="1280" width="9" style="3191"/>
    <col min="1281" max="1281" width="24.5" style="3191" customWidth="1"/>
    <col min="1282" max="1282" width="7.875" style="3191" customWidth="1"/>
    <col min="1283" max="1283" width="4.875" style="3191" customWidth="1"/>
    <col min="1284" max="1284" width="4.5" style="3191" customWidth="1"/>
    <col min="1285" max="1285" width="13.875" style="3191" customWidth="1"/>
    <col min="1286" max="1286" width="8.375" style="3191" customWidth="1"/>
    <col min="1287" max="1287" width="24" style="3191" customWidth="1"/>
    <col min="1288" max="1288" width="9" style="3191" customWidth="1"/>
    <col min="1289" max="1289" width="19.625" style="3191" customWidth="1"/>
    <col min="1290" max="1290" width="7.75" style="3191" customWidth="1"/>
    <col min="1291" max="1292" width="10.625" style="3191" customWidth="1"/>
    <col min="1293" max="1293" width="6.25" style="3191" customWidth="1"/>
    <col min="1294" max="1294" width="7.875" style="3191" customWidth="1"/>
    <col min="1295" max="1536" width="9" style="3191"/>
    <col min="1537" max="1537" width="24.5" style="3191" customWidth="1"/>
    <col min="1538" max="1538" width="7.875" style="3191" customWidth="1"/>
    <col min="1539" max="1539" width="4.875" style="3191" customWidth="1"/>
    <col min="1540" max="1540" width="4.5" style="3191" customWidth="1"/>
    <col min="1541" max="1541" width="13.875" style="3191" customWidth="1"/>
    <col min="1542" max="1542" width="8.375" style="3191" customWidth="1"/>
    <col min="1543" max="1543" width="24" style="3191" customWidth="1"/>
    <col min="1544" max="1544" width="9" style="3191" customWidth="1"/>
    <col min="1545" max="1545" width="19.625" style="3191" customWidth="1"/>
    <col min="1546" max="1546" width="7.75" style="3191" customWidth="1"/>
    <col min="1547" max="1548" width="10.625" style="3191" customWidth="1"/>
    <col min="1549" max="1549" width="6.25" style="3191" customWidth="1"/>
    <col min="1550" max="1550" width="7.875" style="3191" customWidth="1"/>
    <col min="1551" max="1792" width="9" style="3191"/>
    <col min="1793" max="1793" width="24.5" style="3191" customWidth="1"/>
    <col min="1794" max="1794" width="7.875" style="3191" customWidth="1"/>
    <col min="1795" max="1795" width="4.875" style="3191" customWidth="1"/>
    <col min="1796" max="1796" width="4.5" style="3191" customWidth="1"/>
    <col min="1797" max="1797" width="13.875" style="3191" customWidth="1"/>
    <col min="1798" max="1798" width="8.375" style="3191" customWidth="1"/>
    <col min="1799" max="1799" width="24" style="3191" customWidth="1"/>
    <col min="1800" max="1800" width="9" style="3191" customWidth="1"/>
    <col min="1801" max="1801" width="19.625" style="3191" customWidth="1"/>
    <col min="1802" max="1802" width="7.75" style="3191" customWidth="1"/>
    <col min="1803" max="1804" width="10.625" style="3191" customWidth="1"/>
    <col min="1805" max="1805" width="6.25" style="3191" customWidth="1"/>
    <col min="1806" max="1806" width="7.875" style="3191" customWidth="1"/>
    <col min="1807" max="2048" width="9" style="3191"/>
    <col min="2049" max="2049" width="24.5" style="3191" customWidth="1"/>
    <col min="2050" max="2050" width="7.875" style="3191" customWidth="1"/>
    <col min="2051" max="2051" width="4.875" style="3191" customWidth="1"/>
    <col min="2052" max="2052" width="4.5" style="3191" customWidth="1"/>
    <col min="2053" max="2053" width="13.875" style="3191" customWidth="1"/>
    <col min="2054" max="2054" width="8.375" style="3191" customWidth="1"/>
    <col min="2055" max="2055" width="24" style="3191" customWidth="1"/>
    <col min="2056" max="2056" width="9" style="3191" customWidth="1"/>
    <col min="2057" max="2057" width="19.625" style="3191" customWidth="1"/>
    <col min="2058" max="2058" width="7.75" style="3191" customWidth="1"/>
    <col min="2059" max="2060" width="10.625" style="3191" customWidth="1"/>
    <col min="2061" max="2061" width="6.25" style="3191" customWidth="1"/>
    <col min="2062" max="2062" width="7.875" style="3191" customWidth="1"/>
    <col min="2063" max="2304" width="9" style="3191"/>
    <col min="2305" max="2305" width="24.5" style="3191" customWidth="1"/>
    <col min="2306" max="2306" width="7.875" style="3191" customWidth="1"/>
    <col min="2307" max="2307" width="4.875" style="3191" customWidth="1"/>
    <col min="2308" max="2308" width="4.5" style="3191" customWidth="1"/>
    <col min="2309" max="2309" width="13.875" style="3191" customWidth="1"/>
    <col min="2310" max="2310" width="8.375" style="3191" customWidth="1"/>
    <col min="2311" max="2311" width="24" style="3191" customWidth="1"/>
    <col min="2312" max="2312" width="9" style="3191" customWidth="1"/>
    <col min="2313" max="2313" width="19.625" style="3191" customWidth="1"/>
    <col min="2314" max="2314" width="7.75" style="3191" customWidth="1"/>
    <col min="2315" max="2316" width="10.625" style="3191" customWidth="1"/>
    <col min="2317" max="2317" width="6.25" style="3191" customWidth="1"/>
    <col min="2318" max="2318" width="7.875" style="3191" customWidth="1"/>
    <col min="2319" max="2560" width="9" style="3191"/>
    <col min="2561" max="2561" width="24.5" style="3191" customWidth="1"/>
    <col min="2562" max="2562" width="7.875" style="3191" customWidth="1"/>
    <col min="2563" max="2563" width="4.875" style="3191" customWidth="1"/>
    <col min="2564" max="2564" width="4.5" style="3191" customWidth="1"/>
    <col min="2565" max="2565" width="13.875" style="3191" customWidth="1"/>
    <col min="2566" max="2566" width="8.375" style="3191" customWidth="1"/>
    <col min="2567" max="2567" width="24" style="3191" customWidth="1"/>
    <col min="2568" max="2568" width="9" style="3191" customWidth="1"/>
    <col min="2569" max="2569" width="19.625" style="3191" customWidth="1"/>
    <col min="2570" max="2570" width="7.75" style="3191" customWidth="1"/>
    <col min="2571" max="2572" width="10.625" style="3191" customWidth="1"/>
    <col min="2573" max="2573" width="6.25" style="3191" customWidth="1"/>
    <col min="2574" max="2574" width="7.875" style="3191" customWidth="1"/>
    <col min="2575" max="2816" width="9" style="3191"/>
    <col min="2817" max="2817" width="24.5" style="3191" customWidth="1"/>
    <col min="2818" max="2818" width="7.875" style="3191" customWidth="1"/>
    <col min="2819" max="2819" width="4.875" style="3191" customWidth="1"/>
    <col min="2820" max="2820" width="4.5" style="3191" customWidth="1"/>
    <col min="2821" max="2821" width="13.875" style="3191" customWidth="1"/>
    <col min="2822" max="2822" width="8.375" style="3191" customWidth="1"/>
    <col min="2823" max="2823" width="24" style="3191" customWidth="1"/>
    <col min="2824" max="2824" width="9" style="3191" customWidth="1"/>
    <col min="2825" max="2825" width="19.625" style="3191" customWidth="1"/>
    <col min="2826" max="2826" width="7.75" style="3191" customWidth="1"/>
    <col min="2827" max="2828" width="10.625" style="3191" customWidth="1"/>
    <col min="2829" max="2829" width="6.25" style="3191" customWidth="1"/>
    <col min="2830" max="2830" width="7.875" style="3191" customWidth="1"/>
    <col min="2831" max="3072" width="9" style="3191"/>
    <col min="3073" max="3073" width="24.5" style="3191" customWidth="1"/>
    <col min="3074" max="3074" width="7.875" style="3191" customWidth="1"/>
    <col min="3075" max="3075" width="4.875" style="3191" customWidth="1"/>
    <col min="3076" max="3076" width="4.5" style="3191" customWidth="1"/>
    <col min="3077" max="3077" width="13.875" style="3191" customWidth="1"/>
    <col min="3078" max="3078" width="8.375" style="3191" customWidth="1"/>
    <col min="3079" max="3079" width="24" style="3191" customWidth="1"/>
    <col min="3080" max="3080" width="9" style="3191" customWidth="1"/>
    <col min="3081" max="3081" width="19.625" style="3191" customWidth="1"/>
    <col min="3082" max="3082" width="7.75" style="3191" customWidth="1"/>
    <col min="3083" max="3084" width="10.625" style="3191" customWidth="1"/>
    <col min="3085" max="3085" width="6.25" style="3191" customWidth="1"/>
    <col min="3086" max="3086" width="7.875" style="3191" customWidth="1"/>
    <col min="3087" max="3328" width="9" style="3191"/>
    <col min="3329" max="3329" width="24.5" style="3191" customWidth="1"/>
    <col min="3330" max="3330" width="7.875" style="3191" customWidth="1"/>
    <col min="3331" max="3331" width="4.875" style="3191" customWidth="1"/>
    <col min="3332" max="3332" width="4.5" style="3191" customWidth="1"/>
    <col min="3333" max="3333" width="13.875" style="3191" customWidth="1"/>
    <col min="3334" max="3334" width="8.375" style="3191" customWidth="1"/>
    <col min="3335" max="3335" width="24" style="3191" customWidth="1"/>
    <col min="3336" max="3336" width="9" style="3191" customWidth="1"/>
    <col min="3337" max="3337" width="19.625" style="3191" customWidth="1"/>
    <col min="3338" max="3338" width="7.75" style="3191" customWidth="1"/>
    <col min="3339" max="3340" width="10.625" style="3191" customWidth="1"/>
    <col min="3341" max="3341" width="6.25" style="3191" customWidth="1"/>
    <col min="3342" max="3342" width="7.875" style="3191" customWidth="1"/>
    <col min="3343" max="3584" width="9" style="3191"/>
    <col min="3585" max="3585" width="24.5" style="3191" customWidth="1"/>
    <col min="3586" max="3586" width="7.875" style="3191" customWidth="1"/>
    <col min="3587" max="3587" width="4.875" style="3191" customWidth="1"/>
    <col min="3588" max="3588" width="4.5" style="3191" customWidth="1"/>
    <col min="3589" max="3589" width="13.875" style="3191" customWidth="1"/>
    <col min="3590" max="3590" width="8.375" style="3191" customWidth="1"/>
    <col min="3591" max="3591" width="24" style="3191" customWidth="1"/>
    <col min="3592" max="3592" width="9" style="3191" customWidth="1"/>
    <col min="3593" max="3593" width="19.625" style="3191" customWidth="1"/>
    <col min="3594" max="3594" width="7.75" style="3191" customWidth="1"/>
    <col min="3595" max="3596" width="10.625" style="3191" customWidth="1"/>
    <col min="3597" max="3597" width="6.25" style="3191" customWidth="1"/>
    <col min="3598" max="3598" width="7.875" style="3191" customWidth="1"/>
    <col min="3599" max="3840" width="9" style="3191"/>
    <col min="3841" max="3841" width="24.5" style="3191" customWidth="1"/>
    <col min="3842" max="3842" width="7.875" style="3191" customWidth="1"/>
    <col min="3843" max="3843" width="4.875" style="3191" customWidth="1"/>
    <col min="3844" max="3844" width="4.5" style="3191" customWidth="1"/>
    <col min="3845" max="3845" width="13.875" style="3191" customWidth="1"/>
    <col min="3846" max="3846" width="8.375" style="3191" customWidth="1"/>
    <col min="3847" max="3847" width="24" style="3191" customWidth="1"/>
    <col min="3848" max="3848" width="9" style="3191" customWidth="1"/>
    <col min="3849" max="3849" width="19.625" style="3191" customWidth="1"/>
    <col min="3850" max="3850" width="7.75" style="3191" customWidth="1"/>
    <col min="3851" max="3852" width="10.625" style="3191" customWidth="1"/>
    <col min="3853" max="3853" width="6.25" style="3191" customWidth="1"/>
    <col min="3854" max="3854" width="7.875" style="3191" customWidth="1"/>
    <col min="3855" max="4096" width="9" style="3191"/>
    <col min="4097" max="4097" width="24.5" style="3191" customWidth="1"/>
    <col min="4098" max="4098" width="7.875" style="3191" customWidth="1"/>
    <col min="4099" max="4099" width="4.875" style="3191" customWidth="1"/>
    <col min="4100" max="4100" width="4.5" style="3191" customWidth="1"/>
    <col min="4101" max="4101" width="13.875" style="3191" customWidth="1"/>
    <col min="4102" max="4102" width="8.375" style="3191" customWidth="1"/>
    <col min="4103" max="4103" width="24" style="3191" customWidth="1"/>
    <col min="4104" max="4104" width="9" style="3191" customWidth="1"/>
    <col min="4105" max="4105" width="19.625" style="3191" customWidth="1"/>
    <col min="4106" max="4106" width="7.75" style="3191" customWidth="1"/>
    <col min="4107" max="4108" width="10.625" style="3191" customWidth="1"/>
    <col min="4109" max="4109" width="6.25" style="3191" customWidth="1"/>
    <col min="4110" max="4110" width="7.875" style="3191" customWidth="1"/>
    <col min="4111" max="4352" width="9" style="3191"/>
    <col min="4353" max="4353" width="24.5" style="3191" customWidth="1"/>
    <col min="4354" max="4354" width="7.875" style="3191" customWidth="1"/>
    <col min="4355" max="4355" width="4.875" style="3191" customWidth="1"/>
    <col min="4356" max="4356" width="4.5" style="3191" customWidth="1"/>
    <col min="4357" max="4357" width="13.875" style="3191" customWidth="1"/>
    <col min="4358" max="4358" width="8.375" style="3191" customWidth="1"/>
    <col min="4359" max="4359" width="24" style="3191" customWidth="1"/>
    <col min="4360" max="4360" width="9" style="3191" customWidth="1"/>
    <col min="4361" max="4361" width="19.625" style="3191" customWidth="1"/>
    <col min="4362" max="4362" width="7.75" style="3191" customWidth="1"/>
    <col min="4363" max="4364" width="10.625" style="3191" customWidth="1"/>
    <col min="4365" max="4365" width="6.25" style="3191" customWidth="1"/>
    <col min="4366" max="4366" width="7.875" style="3191" customWidth="1"/>
    <col min="4367" max="4608" width="9" style="3191"/>
    <col min="4609" max="4609" width="24.5" style="3191" customWidth="1"/>
    <col min="4610" max="4610" width="7.875" style="3191" customWidth="1"/>
    <col min="4611" max="4611" width="4.875" style="3191" customWidth="1"/>
    <col min="4612" max="4612" width="4.5" style="3191" customWidth="1"/>
    <col min="4613" max="4613" width="13.875" style="3191" customWidth="1"/>
    <col min="4614" max="4614" width="8.375" style="3191" customWidth="1"/>
    <col min="4615" max="4615" width="24" style="3191" customWidth="1"/>
    <col min="4616" max="4616" width="9" style="3191" customWidth="1"/>
    <col min="4617" max="4617" width="19.625" style="3191" customWidth="1"/>
    <col min="4618" max="4618" width="7.75" style="3191" customWidth="1"/>
    <col min="4619" max="4620" width="10.625" style="3191" customWidth="1"/>
    <col min="4621" max="4621" width="6.25" style="3191" customWidth="1"/>
    <col min="4622" max="4622" width="7.875" style="3191" customWidth="1"/>
    <col min="4623" max="4864" width="9" style="3191"/>
    <col min="4865" max="4865" width="24.5" style="3191" customWidth="1"/>
    <col min="4866" max="4866" width="7.875" style="3191" customWidth="1"/>
    <col min="4867" max="4867" width="4.875" style="3191" customWidth="1"/>
    <col min="4868" max="4868" width="4.5" style="3191" customWidth="1"/>
    <col min="4869" max="4869" width="13.875" style="3191" customWidth="1"/>
    <col min="4870" max="4870" width="8.375" style="3191" customWidth="1"/>
    <col min="4871" max="4871" width="24" style="3191" customWidth="1"/>
    <col min="4872" max="4872" width="9" style="3191" customWidth="1"/>
    <col min="4873" max="4873" width="19.625" style="3191" customWidth="1"/>
    <col min="4874" max="4874" width="7.75" style="3191" customWidth="1"/>
    <col min="4875" max="4876" width="10.625" style="3191" customWidth="1"/>
    <col min="4877" max="4877" width="6.25" style="3191" customWidth="1"/>
    <col min="4878" max="4878" width="7.875" style="3191" customWidth="1"/>
    <col min="4879" max="5120" width="9" style="3191"/>
    <col min="5121" max="5121" width="24.5" style="3191" customWidth="1"/>
    <col min="5122" max="5122" width="7.875" style="3191" customWidth="1"/>
    <col min="5123" max="5123" width="4.875" style="3191" customWidth="1"/>
    <col min="5124" max="5124" width="4.5" style="3191" customWidth="1"/>
    <col min="5125" max="5125" width="13.875" style="3191" customWidth="1"/>
    <col min="5126" max="5126" width="8.375" style="3191" customWidth="1"/>
    <col min="5127" max="5127" width="24" style="3191" customWidth="1"/>
    <col min="5128" max="5128" width="9" style="3191" customWidth="1"/>
    <col min="5129" max="5129" width="19.625" style="3191" customWidth="1"/>
    <col min="5130" max="5130" width="7.75" style="3191" customWidth="1"/>
    <col min="5131" max="5132" width="10.625" style="3191" customWidth="1"/>
    <col min="5133" max="5133" width="6.25" style="3191" customWidth="1"/>
    <col min="5134" max="5134" width="7.875" style="3191" customWidth="1"/>
    <col min="5135" max="5376" width="9" style="3191"/>
    <col min="5377" max="5377" width="24.5" style="3191" customWidth="1"/>
    <col min="5378" max="5378" width="7.875" style="3191" customWidth="1"/>
    <col min="5379" max="5379" width="4.875" style="3191" customWidth="1"/>
    <col min="5380" max="5380" width="4.5" style="3191" customWidth="1"/>
    <col min="5381" max="5381" width="13.875" style="3191" customWidth="1"/>
    <col min="5382" max="5382" width="8.375" style="3191" customWidth="1"/>
    <col min="5383" max="5383" width="24" style="3191" customWidth="1"/>
    <col min="5384" max="5384" width="9" style="3191" customWidth="1"/>
    <col min="5385" max="5385" width="19.625" style="3191" customWidth="1"/>
    <col min="5386" max="5386" width="7.75" style="3191" customWidth="1"/>
    <col min="5387" max="5388" width="10.625" style="3191" customWidth="1"/>
    <col min="5389" max="5389" width="6.25" style="3191" customWidth="1"/>
    <col min="5390" max="5390" width="7.875" style="3191" customWidth="1"/>
    <col min="5391" max="5632" width="9" style="3191"/>
    <col min="5633" max="5633" width="24.5" style="3191" customWidth="1"/>
    <col min="5634" max="5634" width="7.875" style="3191" customWidth="1"/>
    <col min="5635" max="5635" width="4.875" style="3191" customWidth="1"/>
    <col min="5636" max="5636" width="4.5" style="3191" customWidth="1"/>
    <col min="5637" max="5637" width="13.875" style="3191" customWidth="1"/>
    <col min="5638" max="5638" width="8.375" style="3191" customWidth="1"/>
    <col min="5639" max="5639" width="24" style="3191" customWidth="1"/>
    <col min="5640" max="5640" width="9" style="3191" customWidth="1"/>
    <col min="5641" max="5641" width="19.625" style="3191" customWidth="1"/>
    <col min="5642" max="5642" width="7.75" style="3191" customWidth="1"/>
    <col min="5643" max="5644" width="10.625" style="3191" customWidth="1"/>
    <col min="5645" max="5645" width="6.25" style="3191" customWidth="1"/>
    <col min="5646" max="5646" width="7.875" style="3191" customWidth="1"/>
    <col min="5647" max="5888" width="9" style="3191"/>
    <col min="5889" max="5889" width="24.5" style="3191" customWidth="1"/>
    <col min="5890" max="5890" width="7.875" style="3191" customWidth="1"/>
    <col min="5891" max="5891" width="4.875" style="3191" customWidth="1"/>
    <col min="5892" max="5892" width="4.5" style="3191" customWidth="1"/>
    <col min="5893" max="5893" width="13.875" style="3191" customWidth="1"/>
    <col min="5894" max="5894" width="8.375" style="3191" customWidth="1"/>
    <col min="5895" max="5895" width="24" style="3191" customWidth="1"/>
    <col min="5896" max="5896" width="9" style="3191" customWidth="1"/>
    <col min="5897" max="5897" width="19.625" style="3191" customWidth="1"/>
    <col min="5898" max="5898" width="7.75" style="3191" customWidth="1"/>
    <col min="5899" max="5900" width="10.625" style="3191" customWidth="1"/>
    <col min="5901" max="5901" width="6.25" style="3191" customWidth="1"/>
    <col min="5902" max="5902" width="7.875" style="3191" customWidth="1"/>
    <col min="5903" max="6144" width="9" style="3191"/>
    <col min="6145" max="6145" width="24.5" style="3191" customWidth="1"/>
    <col min="6146" max="6146" width="7.875" style="3191" customWidth="1"/>
    <col min="6147" max="6147" width="4.875" style="3191" customWidth="1"/>
    <col min="6148" max="6148" width="4.5" style="3191" customWidth="1"/>
    <col min="6149" max="6149" width="13.875" style="3191" customWidth="1"/>
    <col min="6150" max="6150" width="8.375" style="3191" customWidth="1"/>
    <col min="6151" max="6151" width="24" style="3191" customWidth="1"/>
    <col min="6152" max="6152" width="9" style="3191" customWidth="1"/>
    <col min="6153" max="6153" width="19.625" style="3191" customWidth="1"/>
    <col min="6154" max="6154" width="7.75" style="3191" customWidth="1"/>
    <col min="6155" max="6156" width="10.625" style="3191" customWidth="1"/>
    <col min="6157" max="6157" width="6.25" style="3191" customWidth="1"/>
    <col min="6158" max="6158" width="7.875" style="3191" customWidth="1"/>
    <col min="6159" max="6400" width="9" style="3191"/>
    <col min="6401" max="6401" width="24.5" style="3191" customWidth="1"/>
    <col min="6402" max="6402" width="7.875" style="3191" customWidth="1"/>
    <col min="6403" max="6403" width="4.875" style="3191" customWidth="1"/>
    <col min="6404" max="6404" width="4.5" style="3191" customWidth="1"/>
    <col min="6405" max="6405" width="13.875" style="3191" customWidth="1"/>
    <col min="6406" max="6406" width="8.375" style="3191" customWidth="1"/>
    <col min="6407" max="6407" width="24" style="3191" customWidth="1"/>
    <col min="6408" max="6408" width="9" style="3191" customWidth="1"/>
    <col min="6409" max="6409" width="19.625" style="3191" customWidth="1"/>
    <col min="6410" max="6410" width="7.75" style="3191" customWidth="1"/>
    <col min="6411" max="6412" width="10.625" style="3191" customWidth="1"/>
    <col min="6413" max="6413" width="6.25" style="3191" customWidth="1"/>
    <col min="6414" max="6414" width="7.875" style="3191" customWidth="1"/>
    <col min="6415" max="6656" width="9" style="3191"/>
    <col min="6657" max="6657" width="24.5" style="3191" customWidth="1"/>
    <col min="6658" max="6658" width="7.875" style="3191" customWidth="1"/>
    <col min="6659" max="6659" width="4.875" style="3191" customWidth="1"/>
    <col min="6660" max="6660" width="4.5" style="3191" customWidth="1"/>
    <col min="6661" max="6661" width="13.875" style="3191" customWidth="1"/>
    <col min="6662" max="6662" width="8.375" style="3191" customWidth="1"/>
    <col min="6663" max="6663" width="24" style="3191" customWidth="1"/>
    <col min="6664" max="6664" width="9" style="3191" customWidth="1"/>
    <col min="6665" max="6665" width="19.625" style="3191" customWidth="1"/>
    <col min="6666" max="6666" width="7.75" style="3191" customWidth="1"/>
    <col min="6667" max="6668" width="10.625" style="3191" customWidth="1"/>
    <col min="6669" max="6669" width="6.25" style="3191" customWidth="1"/>
    <col min="6670" max="6670" width="7.875" style="3191" customWidth="1"/>
    <col min="6671" max="6912" width="9" style="3191"/>
    <col min="6913" max="6913" width="24.5" style="3191" customWidth="1"/>
    <col min="6914" max="6914" width="7.875" style="3191" customWidth="1"/>
    <col min="6915" max="6915" width="4.875" style="3191" customWidth="1"/>
    <col min="6916" max="6916" width="4.5" style="3191" customWidth="1"/>
    <col min="6917" max="6917" width="13.875" style="3191" customWidth="1"/>
    <col min="6918" max="6918" width="8.375" style="3191" customWidth="1"/>
    <col min="6919" max="6919" width="24" style="3191" customWidth="1"/>
    <col min="6920" max="6920" width="9" style="3191" customWidth="1"/>
    <col min="6921" max="6921" width="19.625" style="3191" customWidth="1"/>
    <col min="6922" max="6922" width="7.75" style="3191" customWidth="1"/>
    <col min="6923" max="6924" width="10.625" style="3191" customWidth="1"/>
    <col min="6925" max="6925" width="6.25" style="3191" customWidth="1"/>
    <col min="6926" max="6926" width="7.875" style="3191" customWidth="1"/>
    <col min="6927" max="7168" width="9" style="3191"/>
    <col min="7169" max="7169" width="24.5" style="3191" customWidth="1"/>
    <col min="7170" max="7170" width="7.875" style="3191" customWidth="1"/>
    <col min="7171" max="7171" width="4.875" style="3191" customWidth="1"/>
    <col min="7172" max="7172" width="4.5" style="3191" customWidth="1"/>
    <col min="7173" max="7173" width="13.875" style="3191" customWidth="1"/>
    <col min="7174" max="7174" width="8.375" style="3191" customWidth="1"/>
    <col min="7175" max="7175" width="24" style="3191" customWidth="1"/>
    <col min="7176" max="7176" width="9" style="3191" customWidth="1"/>
    <col min="7177" max="7177" width="19.625" style="3191" customWidth="1"/>
    <col min="7178" max="7178" width="7.75" style="3191" customWidth="1"/>
    <col min="7179" max="7180" width="10.625" style="3191" customWidth="1"/>
    <col min="7181" max="7181" width="6.25" style="3191" customWidth="1"/>
    <col min="7182" max="7182" width="7.875" style="3191" customWidth="1"/>
    <col min="7183" max="7424" width="9" style="3191"/>
    <col min="7425" max="7425" width="24.5" style="3191" customWidth="1"/>
    <col min="7426" max="7426" width="7.875" style="3191" customWidth="1"/>
    <col min="7427" max="7427" width="4.875" style="3191" customWidth="1"/>
    <col min="7428" max="7428" width="4.5" style="3191" customWidth="1"/>
    <col min="7429" max="7429" width="13.875" style="3191" customWidth="1"/>
    <col min="7430" max="7430" width="8.375" style="3191" customWidth="1"/>
    <col min="7431" max="7431" width="24" style="3191" customWidth="1"/>
    <col min="7432" max="7432" width="9" style="3191" customWidth="1"/>
    <col min="7433" max="7433" width="19.625" style="3191" customWidth="1"/>
    <col min="7434" max="7434" width="7.75" style="3191" customWidth="1"/>
    <col min="7435" max="7436" width="10.625" style="3191" customWidth="1"/>
    <col min="7437" max="7437" width="6.25" style="3191" customWidth="1"/>
    <col min="7438" max="7438" width="7.875" style="3191" customWidth="1"/>
    <col min="7439" max="7680" width="9" style="3191"/>
    <col min="7681" max="7681" width="24.5" style="3191" customWidth="1"/>
    <col min="7682" max="7682" width="7.875" style="3191" customWidth="1"/>
    <col min="7683" max="7683" width="4.875" style="3191" customWidth="1"/>
    <col min="7684" max="7684" width="4.5" style="3191" customWidth="1"/>
    <col min="7685" max="7685" width="13.875" style="3191" customWidth="1"/>
    <col min="7686" max="7686" width="8.375" style="3191" customWidth="1"/>
    <col min="7687" max="7687" width="24" style="3191" customWidth="1"/>
    <col min="7688" max="7688" width="9" style="3191" customWidth="1"/>
    <col min="7689" max="7689" width="19.625" style="3191" customWidth="1"/>
    <col min="7690" max="7690" width="7.75" style="3191" customWidth="1"/>
    <col min="7691" max="7692" width="10.625" style="3191" customWidth="1"/>
    <col min="7693" max="7693" width="6.25" style="3191" customWidth="1"/>
    <col min="7694" max="7694" width="7.875" style="3191" customWidth="1"/>
    <col min="7695" max="7936" width="9" style="3191"/>
    <col min="7937" max="7937" width="24.5" style="3191" customWidth="1"/>
    <col min="7938" max="7938" width="7.875" style="3191" customWidth="1"/>
    <col min="7939" max="7939" width="4.875" style="3191" customWidth="1"/>
    <col min="7940" max="7940" width="4.5" style="3191" customWidth="1"/>
    <col min="7941" max="7941" width="13.875" style="3191" customWidth="1"/>
    <col min="7942" max="7942" width="8.375" style="3191" customWidth="1"/>
    <col min="7943" max="7943" width="24" style="3191" customWidth="1"/>
    <col min="7944" max="7944" width="9" style="3191" customWidth="1"/>
    <col min="7945" max="7945" width="19.625" style="3191" customWidth="1"/>
    <col min="7946" max="7946" width="7.75" style="3191" customWidth="1"/>
    <col min="7947" max="7948" width="10.625" style="3191" customWidth="1"/>
    <col min="7949" max="7949" width="6.25" style="3191" customWidth="1"/>
    <col min="7950" max="7950" width="7.875" style="3191" customWidth="1"/>
    <col min="7951" max="8192" width="9" style="3191"/>
    <col min="8193" max="8193" width="24.5" style="3191" customWidth="1"/>
    <col min="8194" max="8194" width="7.875" style="3191" customWidth="1"/>
    <col min="8195" max="8195" width="4.875" style="3191" customWidth="1"/>
    <col min="8196" max="8196" width="4.5" style="3191" customWidth="1"/>
    <col min="8197" max="8197" width="13.875" style="3191" customWidth="1"/>
    <col min="8198" max="8198" width="8.375" style="3191" customWidth="1"/>
    <col min="8199" max="8199" width="24" style="3191" customWidth="1"/>
    <col min="8200" max="8200" width="9" style="3191" customWidth="1"/>
    <col min="8201" max="8201" width="19.625" style="3191" customWidth="1"/>
    <col min="8202" max="8202" width="7.75" style="3191" customWidth="1"/>
    <col min="8203" max="8204" width="10.625" style="3191" customWidth="1"/>
    <col min="8205" max="8205" width="6.25" style="3191" customWidth="1"/>
    <col min="8206" max="8206" width="7.875" style="3191" customWidth="1"/>
    <col min="8207" max="8448" width="9" style="3191"/>
    <col min="8449" max="8449" width="24.5" style="3191" customWidth="1"/>
    <col min="8450" max="8450" width="7.875" style="3191" customWidth="1"/>
    <col min="8451" max="8451" width="4.875" style="3191" customWidth="1"/>
    <col min="8452" max="8452" width="4.5" style="3191" customWidth="1"/>
    <col min="8453" max="8453" width="13.875" style="3191" customWidth="1"/>
    <col min="8454" max="8454" width="8.375" style="3191" customWidth="1"/>
    <col min="8455" max="8455" width="24" style="3191" customWidth="1"/>
    <col min="8456" max="8456" width="9" style="3191" customWidth="1"/>
    <col min="8457" max="8457" width="19.625" style="3191" customWidth="1"/>
    <col min="8458" max="8458" width="7.75" style="3191" customWidth="1"/>
    <col min="8459" max="8460" width="10.625" style="3191" customWidth="1"/>
    <col min="8461" max="8461" width="6.25" style="3191" customWidth="1"/>
    <col min="8462" max="8462" width="7.875" style="3191" customWidth="1"/>
    <col min="8463" max="8704" width="9" style="3191"/>
    <col min="8705" max="8705" width="24.5" style="3191" customWidth="1"/>
    <col min="8706" max="8706" width="7.875" style="3191" customWidth="1"/>
    <col min="8707" max="8707" width="4.875" style="3191" customWidth="1"/>
    <col min="8708" max="8708" width="4.5" style="3191" customWidth="1"/>
    <col min="8709" max="8709" width="13.875" style="3191" customWidth="1"/>
    <col min="8710" max="8710" width="8.375" style="3191" customWidth="1"/>
    <col min="8711" max="8711" width="24" style="3191" customWidth="1"/>
    <col min="8712" max="8712" width="9" style="3191" customWidth="1"/>
    <col min="8713" max="8713" width="19.625" style="3191" customWidth="1"/>
    <col min="8714" max="8714" width="7.75" style="3191" customWidth="1"/>
    <col min="8715" max="8716" width="10.625" style="3191" customWidth="1"/>
    <col min="8717" max="8717" width="6.25" style="3191" customWidth="1"/>
    <col min="8718" max="8718" width="7.875" style="3191" customWidth="1"/>
    <col min="8719" max="8960" width="9" style="3191"/>
    <col min="8961" max="8961" width="24.5" style="3191" customWidth="1"/>
    <col min="8962" max="8962" width="7.875" style="3191" customWidth="1"/>
    <col min="8963" max="8963" width="4.875" style="3191" customWidth="1"/>
    <col min="8964" max="8964" width="4.5" style="3191" customWidth="1"/>
    <col min="8965" max="8965" width="13.875" style="3191" customWidth="1"/>
    <col min="8966" max="8966" width="8.375" style="3191" customWidth="1"/>
    <col min="8967" max="8967" width="24" style="3191" customWidth="1"/>
    <col min="8968" max="8968" width="9" style="3191" customWidth="1"/>
    <col min="8969" max="8969" width="19.625" style="3191" customWidth="1"/>
    <col min="8970" max="8970" width="7.75" style="3191" customWidth="1"/>
    <col min="8971" max="8972" width="10.625" style="3191" customWidth="1"/>
    <col min="8973" max="8973" width="6.25" style="3191" customWidth="1"/>
    <col min="8974" max="8974" width="7.875" style="3191" customWidth="1"/>
    <col min="8975" max="9216" width="9" style="3191"/>
    <col min="9217" max="9217" width="24.5" style="3191" customWidth="1"/>
    <col min="9218" max="9218" width="7.875" style="3191" customWidth="1"/>
    <col min="9219" max="9219" width="4.875" style="3191" customWidth="1"/>
    <col min="9220" max="9220" width="4.5" style="3191" customWidth="1"/>
    <col min="9221" max="9221" width="13.875" style="3191" customWidth="1"/>
    <col min="9222" max="9222" width="8.375" style="3191" customWidth="1"/>
    <col min="9223" max="9223" width="24" style="3191" customWidth="1"/>
    <col min="9224" max="9224" width="9" style="3191" customWidth="1"/>
    <col min="9225" max="9225" width="19.625" style="3191" customWidth="1"/>
    <col min="9226" max="9226" width="7.75" style="3191" customWidth="1"/>
    <col min="9227" max="9228" width="10.625" style="3191" customWidth="1"/>
    <col min="9229" max="9229" width="6.25" style="3191" customWidth="1"/>
    <col min="9230" max="9230" width="7.875" style="3191" customWidth="1"/>
    <col min="9231" max="9472" width="9" style="3191"/>
    <col min="9473" max="9473" width="24.5" style="3191" customWidth="1"/>
    <col min="9474" max="9474" width="7.875" style="3191" customWidth="1"/>
    <col min="9475" max="9475" width="4.875" style="3191" customWidth="1"/>
    <col min="9476" max="9476" width="4.5" style="3191" customWidth="1"/>
    <col min="9477" max="9477" width="13.875" style="3191" customWidth="1"/>
    <col min="9478" max="9478" width="8.375" style="3191" customWidth="1"/>
    <col min="9479" max="9479" width="24" style="3191" customWidth="1"/>
    <col min="9480" max="9480" width="9" style="3191" customWidth="1"/>
    <col min="9481" max="9481" width="19.625" style="3191" customWidth="1"/>
    <col min="9482" max="9482" width="7.75" style="3191" customWidth="1"/>
    <col min="9483" max="9484" width="10.625" style="3191" customWidth="1"/>
    <col min="9485" max="9485" width="6.25" style="3191" customWidth="1"/>
    <col min="9486" max="9486" width="7.875" style="3191" customWidth="1"/>
    <col min="9487" max="9728" width="9" style="3191"/>
    <col min="9729" max="9729" width="24.5" style="3191" customWidth="1"/>
    <col min="9730" max="9730" width="7.875" style="3191" customWidth="1"/>
    <col min="9731" max="9731" width="4.875" style="3191" customWidth="1"/>
    <col min="9732" max="9732" width="4.5" style="3191" customWidth="1"/>
    <col min="9733" max="9733" width="13.875" style="3191" customWidth="1"/>
    <col min="9734" max="9734" width="8.375" style="3191" customWidth="1"/>
    <col min="9735" max="9735" width="24" style="3191" customWidth="1"/>
    <col min="9736" max="9736" width="9" style="3191" customWidth="1"/>
    <col min="9737" max="9737" width="19.625" style="3191" customWidth="1"/>
    <col min="9738" max="9738" width="7.75" style="3191" customWidth="1"/>
    <col min="9739" max="9740" width="10.625" style="3191" customWidth="1"/>
    <col min="9741" max="9741" width="6.25" style="3191" customWidth="1"/>
    <col min="9742" max="9742" width="7.875" style="3191" customWidth="1"/>
    <col min="9743" max="9984" width="9" style="3191"/>
    <col min="9985" max="9985" width="24.5" style="3191" customWidth="1"/>
    <col min="9986" max="9986" width="7.875" style="3191" customWidth="1"/>
    <col min="9987" max="9987" width="4.875" style="3191" customWidth="1"/>
    <col min="9988" max="9988" width="4.5" style="3191" customWidth="1"/>
    <col min="9989" max="9989" width="13.875" style="3191" customWidth="1"/>
    <col min="9990" max="9990" width="8.375" style="3191" customWidth="1"/>
    <col min="9991" max="9991" width="24" style="3191" customWidth="1"/>
    <col min="9992" max="9992" width="9" style="3191" customWidth="1"/>
    <col min="9993" max="9993" width="19.625" style="3191" customWidth="1"/>
    <col min="9994" max="9994" width="7.75" style="3191" customWidth="1"/>
    <col min="9995" max="9996" width="10.625" style="3191" customWidth="1"/>
    <col min="9997" max="9997" width="6.25" style="3191" customWidth="1"/>
    <col min="9998" max="9998" width="7.875" style="3191" customWidth="1"/>
    <col min="9999" max="10240" width="9" style="3191"/>
    <col min="10241" max="10241" width="24.5" style="3191" customWidth="1"/>
    <col min="10242" max="10242" width="7.875" style="3191" customWidth="1"/>
    <col min="10243" max="10243" width="4.875" style="3191" customWidth="1"/>
    <col min="10244" max="10244" width="4.5" style="3191" customWidth="1"/>
    <col min="10245" max="10245" width="13.875" style="3191" customWidth="1"/>
    <col min="10246" max="10246" width="8.375" style="3191" customWidth="1"/>
    <col min="10247" max="10247" width="24" style="3191" customWidth="1"/>
    <col min="10248" max="10248" width="9" style="3191" customWidth="1"/>
    <col min="10249" max="10249" width="19.625" style="3191" customWidth="1"/>
    <col min="10250" max="10250" width="7.75" style="3191" customWidth="1"/>
    <col min="10251" max="10252" width="10.625" style="3191" customWidth="1"/>
    <col min="10253" max="10253" width="6.25" style="3191" customWidth="1"/>
    <col min="10254" max="10254" width="7.875" style="3191" customWidth="1"/>
    <col min="10255" max="10496" width="9" style="3191"/>
    <col min="10497" max="10497" width="24.5" style="3191" customWidth="1"/>
    <col min="10498" max="10498" width="7.875" style="3191" customWidth="1"/>
    <col min="10499" max="10499" width="4.875" style="3191" customWidth="1"/>
    <col min="10500" max="10500" width="4.5" style="3191" customWidth="1"/>
    <col min="10501" max="10501" width="13.875" style="3191" customWidth="1"/>
    <col min="10502" max="10502" width="8.375" style="3191" customWidth="1"/>
    <col min="10503" max="10503" width="24" style="3191" customWidth="1"/>
    <col min="10504" max="10504" width="9" style="3191" customWidth="1"/>
    <col min="10505" max="10505" width="19.625" style="3191" customWidth="1"/>
    <col min="10506" max="10506" width="7.75" style="3191" customWidth="1"/>
    <col min="10507" max="10508" width="10.625" style="3191" customWidth="1"/>
    <col min="10509" max="10509" width="6.25" style="3191" customWidth="1"/>
    <col min="10510" max="10510" width="7.875" style="3191" customWidth="1"/>
    <col min="10511" max="10752" width="9" style="3191"/>
    <col min="10753" max="10753" width="24.5" style="3191" customWidth="1"/>
    <col min="10754" max="10754" width="7.875" style="3191" customWidth="1"/>
    <col min="10755" max="10755" width="4.875" style="3191" customWidth="1"/>
    <col min="10756" max="10756" width="4.5" style="3191" customWidth="1"/>
    <col min="10757" max="10757" width="13.875" style="3191" customWidth="1"/>
    <col min="10758" max="10758" width="8.375" style="3191" customWidth="1"/>
    <col min="10759" max="10759" width="24" style="3191" customWidth="1"/>
    <col min="10760" max="10760" width="9" style="3191" customWidth="1"/>
    <col min="10761" max="10761" width="19.625" style="3191" customWidth="1"/>
    <col min="10762" max="10762" width="7.75" style="3191" customWidth="1"/>
    <col min="10763" max="10764" width="10.625" style="3191" customWidth="1"/>
    <col min="10765" max="10765" width="6.25" style="3191" customWidth="1"/>
    <col min="10766" max="10766" width="7.875" style="3191" customWidth="1"/>
    <col min="10767" max="11008" width="9" style="3191"/>
    <col min="11009" max="11009" width="24.5" style="3191" customWidth="1"/>
    <col min="11010" max="11010" width="7.875" style="3191" customWidth="1"/>
    <col min="11011" max="11011" width="4.875" style="3191" customWidth="1"/>
    <col min="11012" max="11012" width="4.5" style="3191" customWidth="1"/>
    <col min="11013" max="11013" width="13.875" style="3191" customWidth="1"/>
    <col min="11014" max="11014" width="8.375" style="3191" customWidth="1"/>
    <col min="11015" max="11015" width="24" style="3191" customWidth="1"/>
    <col min="11016" max="11016" width="9" style="3191" customWidth="1"/>
    <col min="11017" max="11017" width="19.625" style="3191" customWidth="1"/>
    <col min="11018" max="11018" width="7.75" style="3191" customWidth="1"/>
    <col min="11019" max="11020" width="10.625" style="3191" customWidth="1"/>
    <col min="11021" max="11021" width="6.25" style="3191" customWidth="1"/>
    <col min="11022" max="11022" width="7.875" style="3191" customWidth="1"/>
    <col min="11023" max="11264" width="9" style="3191"/>
    <col min="11265" max="11265" width="24.5" style="3191" customWidth="1"/>
    <col min="11266" max="11266" width="7.875" style="3191" customWidth="1"/>
    <col min="11267" max="11267" width="4.875" style="3191" customWidth="1"/>
    <col min="11268" max="11268" width="4.5" style="3191" customWidth="1"/>
    <col min="11269" max="11269" width="13.875" style="3191" customWidth="1"/>
    <col min="11270" max="11270" width="8.375" style="3191" customWidth="1"/>
    <col min="11271" max="11271" width="24" style="3191" customWidth="1"/>
    <col min="11272" max="11272" width="9" style="3191" customWidth="1"/>
    <col min="11273" max="11273" width="19.625" style="3191" customWidth="1"/>
    <col min="11274" max="11274" width="7.75" style="3191" customWidth="1"/>
    <col min="11275" max="11276" width="10.625" style="3191" customWidth="1"/>
    <col min="11277" max="11277" width="6.25" style="3191" customWidth="1"/>
    <col min="11278" max="11278" width="7.875" style="3191" customWidth="1"/>
    <col min="11279" max="11520" width="9" style="3191"/>
    <col min="11521" max="11521" width="24.5" style="3191" customWidth="1"/>
    <col min="11522" max="11522" width="7.875" style="3191" customWidth="1"/>
    <col min="11523" max="11523" width="4.875" style="3191" customWidth="1"/>
    <col min="11524" max="11524" width="4.5" style="3191" customWidth="1"/>
    <col min="11525" max="11525" width="13.875" style="3191" customWidth="1"/>
    <col min="11526" max="11526" width="8.375" style="3191" customWidth="1"/>
    <col min="11527" max="11527" width="24" style="3191" customWidth="1"/>
    <col min="11528" max="11528" width="9" style="3191" customWidth="1"/>
    <col min="11529" max="11529" width="19.625" style="3191" customWidth="1"/>
    <col min="11530" max="11530" width="7.75" style="3191" customWidth="1"/>
    <col min="11531" max="11532" width="10.625" style="3191" customWidth="1"/>
    <col min="11533" max="11533" width="6.25" style="3191" customWidth="1"/>
    <col min="11534" max="11534" width="7.875" style="3191" customWidth="1"/>
    <col min="11535" max="11776" width="9" style="3191"/>
    <col min="11777" max="11777" width="24.5" style="3191" customWidth="1"/>
    <col min="11778" max="11778" width="7.875" style="3191" customWidth="1"/>
    <col min="11779" max="11779" width="4.875" style="3191" customWidth="1"/>
    <col min="11780" max="11780" width="4.5" style="3191" customWidth="1"/>
    <col min="11781" max="11781" width="13.875" style="3191" customWidth="1"/>
    <col min="11782" max="11782" width="8.375" style="3191" customWidth="1"/>
    <col min="11783" max="11783" width="24" style="3191" customWidth="1"/>
    <col min="11784" max="11784" width="9" style="3191" customWidth="1"/>
    <col min="11785" max="11785" width="19.625" style="3191" customWidth="1"/>
    <col min="11786" max="11786" width="7.75" style="3191" customWidth="1"/>
    <col min="11787" max="11788" width="10.625" style="3191" customWidth="1"/>
    <col min="11789" max="11789" width="6.25" style="3191" customWidth="1"/>
    <col min="11790" max="11790" width="7.875" style="3191" customWidth="1"/>
    <col min="11791" max="12032" width="9" style="3191"/>
    <col min="12033" max="12033" width="24.5" style="3191" customWidth="1"/>
    <col min="12034" max="12034" width="7.875" style="3191" customWidth="1"/>
    <col min="12035" max="12035" width="4.875" style="3191" customWidth="1"/>
    <col min="12036" max="12036" width="4.5" style="3191" customWidth="1"/>
    <col min="12037" max="12037" width="13.875" style="3191" customWidth="1"/>
    <col min="12038" max="12038" width="8.375" style="3191" customWidth="1"/>
    <col min="12039" max="12039" width="24" style="3191" customWidth="1"/>
    <col min="12040" max="12040" width="9" style="3191" customWidth="1"/>
    <col min="12041" max="12041" width="19.625" style="3191" customWidth="1"/>
    <col min="12042" max="12042" width="7.75" style="3191" customWidth="1"/>
    <col min="12043" max="12044" width="10.625" style="3191" customWidth="1"/>
    <col min="12045" max="12045" width="6.25" style="3191" customWidth="1"/>
    <col min="12046" max="12046" width="7.875" style="3191" customWidth="1"/>
    <col min="12047" max="12288" width="9" style="3191"/>
    <col min="12289" max="12289" width="24.5" style="3191" customWidth="1"/>
    <col min="12290" max="12290" width="7.875" style="3191" customWidth="1"/>
    <col min="12291" max="12291" width="4.875" style="3191" customWidth="1"/>
    <col min="12292" max="12292" width="4.5" style="3191" customWidth="1"/>
    <col min="12293" max="12293" width="13.875" style="3191" customWidth="1"/>
    <col min="12294" max="12294" width="8.375" style="3191" customWidth="1"/>
    <col min="12295" max="12295" width="24" style="3191" customWidth="1"/>
    <col min="12296" max="12296" width="9" style="3191" customWidth="1"/>
    <col min="12297" max="12297" width="19.625" style="3191" customWidth="1"/>
    <col min="12298" max="12298" width="7.75" style="3191" customWidth="1"/>
    <col min="12299" max="12300" width="10.625" style="3191" customWidth="1"/>
    <col min="12301" max="12301" width="6.25" style="3191" customWidth="1"/>
    <col min="12302" max="12302" width="7.875" style="3191" customWidth="1"/>
    <col min="12303" max="12544" width="9" style="3191"/>
    <col min="12545" max="12545" width="24.5" style="3191" customWidth="1"/>
    <col min="12546" max="12546" width="7.875" style="3191" customWidth="1"/>
    <col min="12547" max="12547" width="4.875" style="3191" customWidth="1"/>
    <col min="12548" max="12548" width="4.5" style="3191" customWidth="1"/>
    <col min="12549" max="12549" width="13.875" style="3191" customWidth="1"/>
    <col min="12550" max="12550" width="8.375" style="3191" customWidth="1"/>
    <col min="12551" max="12551" width="24" style="3191" customWidth="1"/>
    <col min="12552" max="12552" width="9" style="3191" customWidth="1"/>
    <col min="12553" max="12553" width="19.625" style="3191" customWidth="1"/>
    <col min="12554" max="12554" width="7.75" style="3191" customWidth="1"/>
    <col min="12555" max="12556" width="10.625" style="3191" customWidth="1"/>
    <col min="12557" max="12557" width="6.25" style="3191" customWidth="1"/>
    <col min="12558" max="12558" width="7.875" style="3191" customWidth="1"/>
    <col min="12559" max="12800" width="9" style="3191"/>
    <col min="12801" max="12801" width="24.5" style="3191" customWidth="1"/>
    <col min="12802" max="12802" width="7.875" style="3191" customWidth="1"/>
    <col min="12803" max="12803" width="4.875" style="3191" customWidth="1"/>
    <col min="12804" max="12804" width="4.5" style="3191" customWidth="1"/>
    <col min="12805" max="12805" width="13.875" style="3191" customWidth="1"/>
    <col min="12806" max="12806" width="8.375" style="3191" customWidth="1"/>
    <col min="12807" max="12807" width="24" style="3191" customWidth="1"/>
    <col min="12808" max="12808" width="9" style="3191" customWidth="1"/>
    <col min="12809" max="12809" width="19.625" style="3191" customWidth="1"/>
    <col min="12810" max="12810" width="7.75" style="3191" customWidth="1"/>
    <col min="12811" max="12812" width="10.625" style="3191" customWidth="1"/>
    <col min="12813" max="12813" width="6.25" style="3191" customWidth="1"/>
    <col min="12814" max="12814" width="7.875" style="3191" customWidth="1"/>
    <col min="12815" max="13056" width="9" style="3191"/>
    <col min="13057" max="13057" width="24.5" style="3191" customWidth="1"/>
    <col min="13058" max="13058" width="7.875" style="3191" customWidth="1"/>
    <col min="13059" max="13059" width="4.875" style="3191" customWidth="1"/>
    <col min="13060" max="13060" width="4.5" style="3191" customWidth="1"/>
    <col min="13061" max="13061" width="13.875" style="3191" customWidth="1"/>
    <col min="13062" max="13062" width="8.375" style="3191" customWidth="1"/>
    <col min="13063" max="13063" width="24" style="3191" customWidth="1"/>
    <col min="13064" max="13064" width="9" style="3191" customWidth="1"/>
    <col min="13065" max="13065" width="19.625" style="3191" customWidth="1"/>
    <col min="13066" max="13066" width="7.75" style="3191" customWidth="1"/>
    <col min="13067" max="13068" width="10.625" style="3191" customWidth="1"/>
    <col min="13069" max="13069" width="6.25" style="3191" customWidth="1"/>
    <col min="13070" max="13070" width="7.875" style="3191" customWidth="1"/>
    <col min="13071" max="13312" width="9" style="3191"/>
    <col min="13313" max="13313" width="24.5" style="3191" customWidth="1"/>
    <col min="13314" max="13314" width="7.875" style="3191" customWidth="1"/>
    <col min="13315" max="13315" width="4.875" style="3191" customWidth="1"/>
    <col min="13316" max="13316" width="4.5" style="3191" customWidth="1"/>
    <col min="13317" max="13317" width="13.875" style="3191" customWidth="1"/>
    <col min="13318" max="13318" width="8.375" style="3191" customWidth="1"/>
    <col min="13319" max="13319" width="24" style="3191" customWidth="1"/>
    <col min="13320" max="13320" width="9" style="3191" customWidth="1"/>
    <col min="13321" max="13321" width="19.625" style="3191" customWidth="1"/>
    <col min="13322" max="13322" width="7.75" style="3191" customWidth="1"/>
    <col min="13323" max="13324" width="10.625" style="3191" customWidth="1"/>
    <col min="13325" max="13325" width="6.25" style="3191" customWidth="1"/>
    <col min="13326" max="13326" width="7.875" style="3191" customWidth="1"/>
    <col min="13327" max="13568" width="9" style="3191"/>
    <col min="13569" max="13569" width="24.5" style="3191" customWidth="1"/>
    <col min="13570" max="13570" width="7.875" style="3191" customWidth="1"/>
    <col min="13571" max="13571" width="4.875" style="3191" customWidth="1"/>
    <col min="13572" max="13572" width="4.5" style="3191" customWidth="1"/>
    <col min="13573" max="13573" width="13.875" style="3191" customWidth="1"/>
    <col min="13574" max="13574" width="8.375" style="3191" customWidth="1"/>
    <col min="13575" max="13575" width="24" style="3191" customWidth="1"/>
    <col min="13576" max="13576" width="9" style="3191" customWidth="1"/>
    <col min="13577" max="13577" width="19.625" style="3191" customWidth="1"/>
    <col min="13578" max="13578" width="7.75" style="3191" customWidth="1"/>
    <col min="13579" max="13580" width="10.625" style="3191" customWidth="1"/>
    <col min="13581" max="13581" width="6.25" style="3191" customWidth="1"/>
    <col min="13582" max="13582" width="7.875" style="3191" customWidth="1"/>
    <col min="13583" max="13824" width="9" style="3191"/>
    <col min="13825" max="13825" width="24.5" style="3191" customWidth="1"/>
    <col min="13826" max="13826" width="7.875" style="3191" customWidth="1"/>
    <col min="13827" max="13827" width="4.875" style="3191" customWidth="1"/>
    <col min="13828" max="13828" width="4.5" style="3191" customWidth="1"/>
    <col min="13829" max="13829" width="13.875" style="3191" customWidth="1"/>
    <col min="13830" max="13830" width="8.375" style="3191" customWidth="1"/>
    <col min="13831" max="13831" width="24" style="3191" customWidth="1"/>
    <col min="13832" max="13832" width="9" style="3191" customWidth="1"/>
    <col min="13833" max="13833" width="19.625" style="3191" customWidth="1"/>
    <col min="13834" max="13834" width="7.75" style="3191" customWidth="1"/>
    <col min="13835" max="13836" width="10.625" style="3191" customWidth="1"/>
    <col min="13837" max="13837" width="6.25" style="3191" customWidth="1"/>
    <col min="13838" max="13838" width="7.875" style="3191" customWidth="1"/>
    <col min="13839" max="14080" width="9" style="3191"/>
    <col min="14081" max="14081" width="24.5" style="3191" customWidth="1"/>
    <col min="14082" max="14082" width="7.875" style="3191" customWidth="1"/>
    <col min="14083" max="14083" width="4.875" style="3191" customWidth="1"/>
    <col min="14084" max="14084" width="4.5" style="3191" customWidth="1"/>
    <col min="14085" max="14085" width="13.875" style="3191" customWidth="1"/>
    <col min="14086" max="14086" width="8.375" style="3191" customWidth="1"/>
    <col min="14087" max="14087" width="24" style="3191" customWidth="1"/>
    <col min="14088" max="14088" width="9" style="3191" customWidth="1"/>
    <col min="14089" max="14089" width="19.625" style="3191" customWidth="1"/>
    <col min="14090" max="14090" width="7.75" style="3191" customWidth="1"/>
    <col min="14091" max="14092" width="10.625" style="3191" customWidth="1"/>
    <col min="14093" max="14093" width="6.25" style="3191" customWidth="1"/>
    <col min="14094" max="14094" width="7.875" style="3191" customWidth="1"/>
    <col min="14095" max="14336" width="9" style="3191"/>
    <col min="14337" max="14337" width="24.5" style="3191" customWidth="1"/>
    <col min="14338" max="14338" width="7.875" style="3191" customWidth="1"/>
    <col min="14339" max="14339" width="4.875" style="3191" customWidth="1"/>
    <col min="14340" max="14340" width="4.5" style="3191" customWidth="1"/>
    <col min="14341" max="14341" width="13.875" style="3191" customWidth="1"/>
    <col min="14342" max="14342" width="8.375" style="3191" customWidth="1"/>
    <col min="14343" max="14343" width="24" style="3191" customWidth="1"/>
    <col min="14344" max="14344" width="9" style="3191" customWidth="1"/>
    <col min="14345" max="14345" width="19.625" style="3191" customWidth="1"/>
    <col min="14346" max="14346" width="7.75" style="3191" customWidth="1"/>
    <col min="14347" max="14348" width="10.625" style="3191" customWidth="1"/>
    <col min="14349" max="14349" width="6.25" style="3191" customWidth="1"/>
    <col min="14350" max="14350" width="7.875" style="3191" customWidth="1"/>
    <col min="14351" max="14592" width="9" style="3191"/>
    <col min="14593" max="14593" width="24.5" style="3191" customWidth="1"/>
    <col min="14594" max="14594" width="7.875" style="3191" customWidth="1"/>
    <col min="14595" max="14595" width="4.875" style="3191" customWidth="1"/>
    <col min="14596" max="14596" width="4.5" style="3191" customWidth="1"/>
    <col min="14597" max="14597" width="13.875" style="3191" customWidth="1"/>
    <col min="14598" max="14598" width="8.375" style="3191" customWidth="1"/>
    <col min="14599" max="14599" width="24" style="3191" customWidth="1"/>
    <col min="14600" max="14600" width="9" style="3191" customWidth="1"/>
    <col min="14601" max="14601" width="19.625" style="3191" customWidth="1"/>
    <col min="14602" max="14602" width="7.75" style="3191" customWidth="1"/>
    <col min="14603" max="14604" width="10.625" style="3191" customWidth="1"/>
    <col min="14605" max="14605" width="6.25" style="3191" customWidth="1"/>
    <col min="14606" max="14606" width="7.875" style="3191" customWidth="1"/>
    <col min="14607" max="14848" width="9" style="3191"/>
    <col min="14849" max="14849" width="24.5" style="3191" customWidth="1"/>
    <col min="14850" max="14850" width="7.875" style="3191" customWidth="1"/>
    <col min="14851" max="14851" width="4.875" style="3191" customWidth="1"/>
    <col min="14852" max="14852" width="4.5" style="3191" customWidth="1"/>
    <col min="14853" max="14853" width="13.875" style="3191" customWidth="1"/>
    <col min="14854" max="14854" width="8.375" style="3191" customWidth="1"/>
    <col min="14855" max="14855" width="24" style="3191" customWidth="1"/>
    <col min="14856" max="14856" width="9" style="3191" customWidth="1"/>
    <col min="14857" max="14857" width="19.625" style="3191" customWidth="1"/>
    <col min="14858" max="14858" width="7.75" style="3191" customWidth="1"/>
    <col min="14859" max="14860" width="10.625" style="3191" customWidth="1"/>
    <col min="14861" max="14861" width="6.25" style="3191" customWidth="1"/>
    <col min="14862" max="14862" width="7.875" style="3191" customWidth="1"/>
    <col min="14863" max="15104" width="9" style="3191"/>
    <col min="15105" max="15105" width="24.5" style="3191" customWidth="1"/>
    <col min="15106" max="15106" width="7.875" style="3191" customWidth="1"/>
    <col min="15107" max="15107" width="4.875" style="3191" customWidth="1"/>
    <col min="15108" max="15108" width="4.5" style="3191" customWidth="1"/>
    <col min="15109" max="15109" width="13.875" style="3191" customWidth="1"/>
    <col min="15110" max="15110" width="8.375" style="3191" customWidth="1"/>
    <col min="15111" max="15111" width="24" style="3191" customWidth="1"/>
    <col min="15112" max="15112" width="9" style="3191" customWidth="1"/>
    <col min="15113" max="15113" width="19.625" style="3191" customWidth="1"/>
    <col min="15114" max="15114" width="7.75" style="3191" customWidth="1"/>
    <col min="15115" max="15116" width="10.625" style="3191" customWidth="1"/>
    <col min="15117" max="15117" width="6.25" style="3191" customWidth="1"/>
    <col min="15118" max="15118" width="7.875" style="3191" customWidth="1"/>
    <col min="15119" max="15360" width="9" style="3191"/>
    <col min="15361" max="15361" width="24.5" style="3191" customWidth="1"/>
    <col min="15362" max="15362" width="7.875" style="3191" customWidth="1"/>
    <col min="15363" max="15363" width="4.875" style="3191" customWidth="1"/>
    <col min="15364" max="15364" width="4.5" style="3191" customWidth="1"/>
    <col min="15365" max="15365" width="13.875" style="3191" customWidth="1"/>
    <col min="15366" max="15366" width="8.375" style="3191" customWidth="1"/>
    <col min="15367" max="15367" width="24" style="3191" customWidth="1"/>
    <col min="15368" max="15368" width="9" style="3191" customWidth="1"/>
    <col min="15369" max="15369" width="19.625" style="3191" customWidth="1"/>
    <col min="15370" max="15370" width="7.75" style="3191" customWidth="1"/>
    <col min="15371" max="15372" width="10.625" style="3191" customWidth="1"/>
    <col min="15373" max="15373" width="6.25" style="3191" customWidth="1"/>
    <col min="15374" max="15374" width="7.875" style="3191" customWidth="1"/>
    <col min="15375" max="15616" width="9" style="3191"/>
    <col min="15617" max="15617" width="24.5" style="3191" customWidth="1"/>
    <col min="15618" max="15618" width="7.875" style="3191" customWidth="1"/>
    <col min="15619" max="15619" width="4.875" style="3191" customWidth="1"/>
    <col min="15620" max="15620" width="4.5" style="3191" customWidth="1"/>
    <col min="15621" max="15621" width="13.875" style="3191" customWidth="1"/>
    <col min="15622" max="15622" width="8.375" style="3191" customWidth="1"/>
    <col min="15623" max="15623" width="24" style="3191" customWidth="1"/>
    <col min="15624" max="15624" width="9" style="3191" customWidth="1"/>
    <col min="15625" max="15625" width="19.625" style="3191" customWidth="1"/>
    <col min="15626" max="15626" width="7.75" style="3191" customWidth="1"/>
    <col min="15627" max="15628" width="10.625" style="3191" customWidth="1"/>
    <col min="15629" max="15629" width="6.25" style="3191" customWidth="1"/>
    <col min="15630" max="15630" width="7.875" style="3191" customWidth="1"/>
    <col min="15631" max="15872" width="9" style="3191"/>
    <col min="15873" max="15873" width="24.5" style="3191" customWidth="1"/>
    <col min="15874" max="15874" width="7.875" style="3191" customWidth="1"/>
    <col min="15875" max="15875" width="4.875" style="3191" customWidth="1"/>
    <col min="15876" max="15876" width="4.5" style="3191" customWidth="1"/>
    <col min="15877" max="15877" width="13.875" style="3191" customWidth="1"/>
    <col min="15878" max="15878" width="8.375" style="3191" customWidth="1"/>
    <col min="15879" max="15879" width="24" style="3191" customWidth="1"/>
    <col min="15880" max="15880" width="9" style="3191" customWidth="1"/>
    <col min="15881" max="15881" width="19.625" style="3191" customWidth="1"/>
    <col min="15882" max="15882" width="7.75" style="3191" customWidth="1"/>
    <col min="15883" max="15884" width="10.625" style="3191" customWidth="1"/>
    <col min="15885" max="15885" width="6.25" style="3191" customWidth="1"/>
    <col min="15886" max="15886" width="7.875" style="3191" customWidth="1"/>
    <col min="15887" max="16128" width="9" style="3191"/>
    <col min="16129" max="16129" width="24.5" style="3191" customWidth="1"/>
    <col min="16130" max="16130" width="7.875" style="3191" customWidth="1"/>
    <col min="16131" max="16131" width="4.875" style="3191" customWidth="1"/>
    <col min="16132" max="16132" width="4.5" style="3191" customWidth="1"/>
    <col min="16133" max="16133" width="13.875" style="3191" customWidth="1"/>
    <col min="16134" max="16134" width="8.375" style="3191" customWidth="1"/>
    <col min="16135" max="16135" width="24" style="3191" customWidth="1"/>
    <col min="16136" max="16136" width="9" style="3191" customWidth="1"/>
    <col min="16137" max="16137" width="19.625" style="3191" customWidth="1"/>
    <col min="16138" max="16138" width="7.75" style="3191" customWidth="1"/>
    <col min="16139" max="16140" width="10.625" style="3191" customWidth="1"/>
    <col min="16141" max="16141" width="6.25" style="3191" customWidth="1"/>
    <col min="16142" max="16142" width="7.875" style="3191" customWidth="1"/>
    <col min="16143" max="16384" width="9" style="3191"/>
  </cols>
  <sheetData>
    <row r="1" spans="1:14">
      <c r="A1" s="3191" t="s">
        <v>3098</v>
      </c>
      <c r="B1" s="3191" t="s">
        <v>3099</v>
      </c>
      <c r="C1" s="3191" t="s">
        <v>3100</v>
      </c>
      <c r="D1" s="3191" t="s">
        <v>3102</v>
      </c>
      <c r="E1" s="3191" t="s">
        <v>3103</v>
      </c>
      <c r="F1" s="3191" t="s">
        <v>3104</v>
      </c>
      <c r="G1" s="3191" t="s">
        <v>2031</v>
      </c>
      <c r="H1" s="3191" t="s">
        <v>3105</v>
      </c>
      <c r="I1" s="3191" t="s">
        <v>3106</v>
      </c>
      <c r="J1" s="3191" t="s">
        <v>3107</v>
      </c>
      <c r="K1" s="3191" t="s">
        <v>3108</v>
      </c>
      <c r="L1" s="3191" t="s">
        <v>3109</v>
      </c>
      <c r="M1" s="3191" t="s">
        <v>3110</v>
      </c>
      <c r="N1" s="3191" t="s">
        <v>3111</v>
      </c>
    </row>
    <row r="2" spans="1:14">
      <c r="A2" s="3191" t="s">
        <v>3243</v>
      </c>
      <c r="B2" s="3191" t="s">
        <v>3113</v>
      </c>
      <c r="C2" s="3191" t="s">
        <v>3114</v>
      </c>
      <c r="D2" s="3191" t="s">
        <v>3150</v>
      </c>
      <c r="E2" s="3191">
        <v>9787.1200000000008</v>
      </c>
      <c r="F2" s="3191">
        <v>19574.240000000002</v>
      </c>
      <c r="G2" s="3191" t="s">
        <v>3117</v>
      </c>
      <c r="H2" s="3191" t="s">
        <v>3244</v>
      </c>
      <c r="I2" s="3191" t="s">
        <v>3245</v>
      </c>
      <c r="J2" s="3191">
        <v>2348.9</v>
      </c>
      <c r="K2" s="3191">
        <v>2613.15</v>
      </c>
      <c r="L2" s="3191">
        <v>1335</v>
      </c>
      <c r="M2" s="3191">
        <v>11.25</v>
      </c>
      <c r="N2" s="3191" t="s">
        <v>3120</v>
      </c>
    </row>
    <row r="3" spans="1:14" s="3193" customFormat="1">
      <c r="A3" s="3192" t="s">
        <v>3246</v>
      </c>
      <c r="B3" s="3193" t="s">
        <v>3113</v>
      </c>
      <c r="C3" s="3193" t="s">
        <v>3114</v>
      </c>
      <c r="D3" s="3193" t="s">
        <v>3150</v>
      </c>
      <c r="E3" s="3193">
        <v>49812</v>
      </c>
      <c r="F3" s="3193">
        <v>99624</v>
      </c>
      <c r="G3" s="3193" t="s">
        <v>3117</v>
      </c>
      <c r="H3" s="3193" t="s">
        <v>3247</v>
      </c>
      <c r="I3" s="3193" t="s">
        <v>3248</v>
      </c>
      <c r="J3" s="3193">
        <v>11954.87</v>
      </c>
      <c r="K3" s="3193">
        <v>24507.5</v>
      </c>
      <c r="L3" s="3193">
        <v>2460</v>
      </c>
      <c r="M3" s="3193">
        <v>105</v>
      </c>
      <c r="N3" s="3193" t="s">
        <v>3120</v>
      </c>
    </row>
    <row r="4" spans="1:14" s="3193" customFormat="1">
      <c r="A4" s="3193" t="s">
        <v>3249</v>
      </c>
      <c r="B4" s="3193" t="s">
        <v>3113</v>
      </c>
      <c r="C4" s="3193" t="s">
        <v>3114</v>
      </c>
      <c r="D4" s="3193" t="s">
        <v>3150</v>
      </c>
      <c r="E4" s="3193">
        <v>41060</v>
      </c>
      <c r="F4" s="3193">
        <v>69802</v>
      </c>
      <c r="G4" s="3193" t="s">
        <v>3250</v>
      </c>
      <c r="H4" s="3193" t="s">
        <v>3251</v>
      </c>
      <c r="I4" s="3193" t="s">
        <v>3252</v>
      </c>
      <c r="J4" s="3193">
        <v>9854.39</v>
      </c>
      <c r="K4" s="3193">
        <v>11825.28</v>
      </c>
      <c r="L4" s="3193">
        <v>1694.11</v>
      </c>
      <c r="M4" s="3193">
        <v>20</v>
      </c>
      <c r="N4" s="3193" t="s">
        <v>3120</v>
      </c>
    </row>
    <row r="5" spans="1:14" s="3193" customFormat="1">
      <c r="A5" s="3193" t="s">
        <v>3253</v>
      </c>
      <c r="B5" s="3193" t="s">
        <v>3113</v>
      </c>
      <c r="C5" s="3193" t="s">
        <v>3114</v>
      </c>
      <c r="D5" s="3193" t="s">
        <v>3150</v>
      </c>
      <c r="E5" s="3193">
        <v>3428</v>
      </c>
      <c r="F5" s="3193">
        <v>6856</v>
      </c>
      <c r="G5" s="3193" t="s">
        <v>3117</v>
      </c>
      <c r="H5" s="3193" t="s">
        <v>3254</v>
      </c>
      <c r="I5" s="3193" t="s">
        <v>3245</v>
      </c>
      <c r="J5" s="3193">
        <v>771.29</v>
      </c>
      <c r="K5" s="3193">
        <v>1851.11</v>
      </c>
      <c r="L5" s="3193">
        <v>2700</v>
      </c>
      <c r="M5" s="3193">
        <v>140</v>
      </c>
      <c r="N5" s="3193" t="s">
        <v>3120</v>
      </c>
    </row>
    <row r="6" spans="1:14" s="3193" customFormat="1">
      <c r="A6" s="3193" t="s">
        <v>3255</v>
      </c>
      <c r="B6" s="3193" t="s">
        <v>3113</v>
      </c>
      <c r="C6" s="3193" t="s">
        <v>3114</v>
      </c>
      <c r="D6" s="3193" t="s">
        <v>3150</v>
      </c>
      <c r="E6" s="3193">
        <v>4817</v>
      </c>
      <c r="F6" s="3193">
        <v>9634</v>
      </c>
      <c r="G6" s="3193" t="s">
        <v>3117</v>
      </c>
      <c r="H6" s="3193" t="s">
        <v>3254</v>
      </c>
      <c r="I6" s="3193" t="s">
        <v>3245</v>
      </c>
      <c r="J6" s="3193">
        <v>1112.73</v>
      </c>
      <c r="K6" s="3193">
        <v>2991.36</v>
      </c>
      <c r="L6" s="3193">
        <v>3105</v>
      </c>
      <c r="M6" s="3193">
        <v>168.83</v>
      </c>
      <c r="N6" s="3193" t="s">
        <v>3120</v>
      </c>
    </row>
    <row r="7" spans="1:14" s="3193" customFormat="1">
      <c r="A7" s="3193" t="s">
        <v>3256</v>
      </c>
      <c r="B7" s="3193" t="s">
        <v>3113</v>
      </c>
      <c r="C7" s="3193" t="s">
        <v>3114</v>
      </c>
      <c r="D7" s="3193" t="s">
        <v>3150</v>
      </c>
      <c r="E7" s="3193">
        <v>4820</v>
      </c>
      <c r="F7" s="3193">
        <v>9640</v>
      </c>
      <c r="G7" s="3193" t="s">
        <v>3117</v>
      </c>
      <c r="H7" s="3193" t="s">
        <v>3254</v>
      </c>
      <c r="I7" s="3193" t="s">
        <v>3245</v>
      </c>
      <c r="J7" s="3193">
        <v>1084.5</v>
      </c>
      <c r="K7" s="3193">
        <v>2602.8000000000002</v>
      </c>
      <c r="L7" s="3193">
        <v>2700</v>
      </c>
      <c r="M7" s="3193">
        <v>140</v>
      </c>
      <c r="N7" s="3193" t="s">
        <v>3120</v>
      </c>
    </row>
    <row r="8" spans="1:14" s="3193" customFormat="1">
      <c r="A8" s="3193" t="s">
        <v>3257</v>
      </c>
      <c r="B8" s="3193" t="s">
        <v>3113</v>
      </c>
      <c r="C8" s="3193" t="s">
        <v>3114</v>
      </c>
      <c r="D8" s="3193" t="s">
        <v>3150</v>
      </c>
      <c r="E8" s="3193">
        <v>2967</v>
      </c>
      <c r="F8" s="3193">
        <v>5934</v>
      </c>
      <c r="G8" s="3193" t="s">
        <v>3117</v>
      </c>
      <c r="H8" s="3193" t="s">
        <v>3254</v>
      </c>
      <c r="I8" s="3193" t="s">
        <v>3245</v>
      </c>
      <c r="J8" s="3193">
        <v>649.76</v>
      </c>
      <c r="K8" s="3193">
        <v>1557.68</v>
      </c>
      <c r="L8" s="3193">
        <v>2625.01</v>
      </c>
      <c r="M8" s="3193">
        <v>139.72999999999999</v>
      </c>
      <c r="N8" s="3193" t="s">
        <v>3120</v>
      </c>
    </row>
    <row r="9" spans="1:14" s="3193" customFormat="1">
      <c r="A9" s="3192" t="s">
        <v>3258</v>
      </c>
      <c r="B9" s="3193" t="s">
        <v>3113</v>
      </c>
      <c r="C9" s="3193" t="s">
        <v>3114</v>
      </c>
      <c r="D9" s="3193" t="s">
        <v>3150</v>
      </c>
      <c r="E9" s="3193">
        <v>2752</v>
      </c>
      <c r="F9" s="3193">
        <v>5504</v>
      </c>
      <c r="G9" s="3193" t="s">
        <v>3117</v>
      </c>
      <c r="H9" s="3193" t="s">
        <v>3254</v>
      </c>
      <c r="I9" s="3193" t="s">
        <v>3259</v>
      </c>
      <c r="J9" s="3193">
        <v>738.9</v>
      </c>
      <c r="K9" s="3193">
        <v>1391.14</v>
      </c>
      <c r="L9" s="3193">
        <v>2527.5100000000002</v>
      </c>
      <c r="M9" s="3193">
        <v>88.27</v>
      </c>
      <c r="N9" s="3193" t="s">
        <v>3120</v>
      </c>
    </row>
    <row r="10" spans="1:14" s="3193" customFormat="1">
      <c r="A10" s="3193" t="s">
        <v>3260</v>
      </c>
      <c r="B10" s="3193" t="s">
        <v>3113</v>
      </c>
      <c r="C10" s="3193" t="s">
        <v>3114</v>
      </c>
      <c r="D10" s="3193" t="s">
        <v>3150</v>
      </c>
      <c r="E10" s="3193">
        <v>31546</v>
      </c>
      <c r="F10" s="3193">
        <v>63092</v>
      </c>
      <c r="G10" s="3193" t="s">
        <v>3117</v>
      </c>
      <c r="H10" s="3193" t="s">
        <v>3254</v>
      </c>
      <c r="I10" s="3193" t="s">
        <v>3245</v>
      </c>
      <c r="J10" s="3193">
        <v>7287.13</v>
      </c>
      <c r="K10" s="3193">
        <v>19590.060000000001</v>
      </c>
      <c r="L10" s="3193">
        <v>3105</v>
      </c>
      <c r="M10" s="3193">
        <v>168.83</v>
      </c>
      <c r="N10" s="3193" t="s">
        <v>3120</v>
      </c>
    </row>
    <row r="11" spans="1:14">
      <c r="A11" s="3191" t="s">
        <v>3261</v>
      </c>
      <c r="B11" s="3191" t="s">
        <v>3113</v>
      </c>
      <c r="C11" s="3191" t="s">
        <v>3114</v>
      </c>
      <c r="D11" s="3191" t="s">
        <v>3150</v>
      </c>
      <c r="E11" s="3191">
        <v>9178</v>
      </c>
      <c r="F11" s="3191">
        <v>18356</v>
      </c>
      <c r="G11" s="3191" t="s">
        <v>3117</v>
      </c>
      <c r="H11" s="3191" t="s">
        <v>3254</v>
      </c>
      <c r="I11" s="3191" t="s">
        <v>3245</v>
      </c>
      <c r="J11" s="3191">
        <v>2106.34</v>
      </c>
      <c r="K11" s="3191">
        <v>5080.0200000000004</v>
      </c>
      <c r="L11" s="3191">
        <v>2767.5</v>
      </c>
      <c r="M11" s="3191">
        <v>141.18</v>
      </c>
      <c r="N11" s="3191" t="s">
        <v>3120</v>
      </c>
    </row>
    <row r="12" spans="1:14">
      <c r="A12" s="3191" t="s">
        <v>3262</v>
      </c>
      <c r="B12" s="3191" t="s">
        <v>3113</v>
      </c>
      <c r="C12" s="3191" t="s">
        <v>3114</v>
      </c>
      <c r="D12" s="3191" t="s">
        <v>3150</v>
      </c>
      <c r="E12" s="3191">
        <v>10017</v>
      </c>
      <c r="F12" s="3191">
        <v>20034</v>
      </c>
      <c r="G12" s="3191" t="s">
        <v>3117</v>
      </c>
      <c r="H12" s="3191" t="s">
        <v>3254</v>
      </c>
      <c r="I12" s="3191" t="s">
        <v>3245</v>
      </c>
      <c r="J12" s="3191">
        <v>2689.55</v>
      </c>
      <c r="K12" s="3191">
        <v>6385.84</v>
      </c>
      <c r="L12" s="3191">
        <v>3187.5</v>
      </c>
      <c r="M12" s="3191">
        <v>137.43</v>
      </c>
      <c r="N12" s="3191" t="s">
        <v>3120</v>
      </c>
    </row>
    <row r="13" spans="1:14">
      <c r="A13" s="3191" t="s">
        <v>3263</v>
      </c>
      <c r="B13" s="3191" t="s">
        <v>3113</v>
      </c>
      <c r="C13" s="3191" t="s">
        <v>3114</v>
      </c>
      <c r="D13" s="3191" t="s">
        <v>3150</v>
      </c>
      <c r="E13" s="3191">
        <v>2157</v>
      </c>
      <c r="F13" s="3191">
        <v>4314</v>
      </c>
      <c r="G13" s="3191" t="s">
        <v>3117</v>
      </c>
      <c r="H13" s="3191" t="s">
        <v>3254</v>
      </c>
      <c r="I13" s="3191" t="s">
        <v>3245</v>
      </c>
      <c r="J13" s="3191">
        <v>485.32</v>
      </c>
      <c r="K13" s="3191">
        <v>1164.77</v>
      </c>
      <c r="L13" s="3191">
        <v>2700</v>
      </c>
      <c r="M13" s="3191">
        <v>140</v>
      </c>
      <c r="N13" s="3191" t="s">
        <v>3120</v>
      </c>
    </row>
    <row r="14" spans="1:14">
      <c r="A14" s="3191" t="s">
        <v>3264</v>
      </c>
      <c r="B14" s="3191" t="s">
        <v>3113</v>
      </c>
      <c r="C14" s="3191" t="s">
        <v>3114</v>
      </c>
      <c r="D14" s="3191" t="s">
        <v>3150</v>
      </c>
      <c r="E14" s="3191">
        <v>66456</v>
      </c>
      <c r="F14" s="3191">
        <v>132912</v>
      </c>
      <c r="G14" s="3191" t="s">
        <v>3117</v>
      </c>
      <c r="H14" s="3191" t="s">
        <v>3254</v>
      </c>
      <c r="I14" s="3191" t="s">
        <v>3245</v>
      </c>
      <c r="J14" s="3191">
        <v>14952.6</v>
      </c>
      <c r="K14" s="3191">
        <v>35886.230000000003</v>
      </c>
      <c r="L14" s="3191">
        <v>2700</v>
      </c>
      <c r="M14" s="3191">
        <v>140</v>
      </c>
      <c r="N14" s="3191" t="s">
        <v>3120</v>
      </c>
    </row>
    <row r="15" spans="1:14">
      <c r="A15" s="3191" t="s">
        <v>3265</v>
      </c>
      <c r="B15" s="3191" t="s">
        <v>3113</v>
      </c>
      <c r="C15" s="3191" t="s">
        <v>3114</v>
      </c>
      <c r="D15" s="3191" t="s">
        <v>3150</v>
      </c>
      <c r="E15" s="3191">
        <v>35453</v>
      </c>
      <c r="F15" s="3191">
        <v>70906</v>
      </c>
      <c r="G15" s="3191" t="s">
        <v>3117</v>
      </c>
      <c r="H15" s="3191" t="s">
        <v>3266</v>
      </c>
      <c r="I15" s="3191" t="s">
        <v>3245</v>
      </c>
      <c r="J15" s="3191">
        <v>6753.8</v>
      </c>
      <c r="K15" s="3191">
        <v>11114.52</v>
      </c>
      <c r="L15" s="3191">
        <v>1567.5</v>
      </c>
      <c r="M15" s="3191">
        <v>64.569999999999993</v>
      </c>
      <c r="N15" s="3191" t="s">
        <v>3120</v>
      </c>
    </row>
    <row r="16" spans="1:14" s="3196" customFormat="1">
      <c r="A16" s="3196" t="s">
        <v>3267</v>
      </c>
      <c r="B16" s="3196" t="s">
        <v>3113</v>
      </c>
      <c r="C16" s="3196" t="s">
        <v>3114</v>
      </c>
      <c r="D16" s="3196" t="s">
        <v>3150</v>
      </c>
      <c r="E16" s="3196">
        <v>26477</v>
      </c>
      <c r="F16" s="3196">
        <v>52954</v>
      </c>
      <c r="G16" s="3196" t="s">
        <v>3117</v>
      </c>
      <c r="H16" s="3196" t="s">
        <v>3266</v>
      </c>
      <c r="I16" s="3196" t="s">
        <v>3245</v>
      </c>
      <c r="J16" s="3196">
        <v>5163.0200000000004</v>
      </c>
      <c r="K16" s="3196">
        <v>10326.030000000001</v>
      </c>
      <c r="L16" s="3196">
        <v>1950</v>
      </c>
      <c r="M16" s="3196">
        <v>100</v>
      </c>
      <c r="N16" s="3196" t="s">
        <v>3120</v>
      </c>
    </row>
    <row r="17" spans="1:14">
      <c r="A17" s="3199" t="s">
        <v>3268</v>
      </c>
      <c r="B17" s="3199" t="s">
        <v>3113</v>
      </c>
      <c r="C17" s="3199" t="s">
        <v>3114</v>
      </c>
      <c r="D17" s="3199" t="s">
        <v>3150</v>
      </c>
      <c r="E17" s="3199">
        <v>4056</v>
      </c>
      <c r="F17" s="3199">
        <v>8112</v>
      </c>
      <c r="G17" s="3199" t="s">
        <v>3117</v>
      </c>
      <c r="H17" s="3199" t="s">
        <v>3266</v>
      </c>
      <c r="I17" s="3199" t="s">
        <v>3245</v>
      </c>
      <c r="J17" s="3199">
        <v>772.66</v>
      </c>
      <c r="K17" s="3199">
        <v>1222.8800000000001</v>
      </c>
      <c r="L17" s="3199">
        <v>1507.5</v>
      </c>
      <c r="M17" s="3199">
        <v>58.27</v>
      </c>
      <c r="N17" s="3199" t="s">
        <v>3120</v>
      </c>
    </row>
    <row r="18" spans="1:14">
      <c r="A18" s="3199" t="s">
        <v>3269</v>
      </c>
      <c r="B18" s="3199" t="s">
        <v>3113</v>
      </c>
      <c r="C18" s="3199" t="s">
        <v>3114</v>
      </c>
      <c r="D18" s="3199" t="s">
        <v>3150</v>
      </c>
      <c r="E18" s="3199">
        <v>69936</v>
      </c>
      <c r="F18" s="3199">
        <v>160852.79999999999</v>
      </c>
      <c r="G18" s="3199" t="s">
        <v>3270</v>
      </c>
      <c r="H18" s="3199" t="s">
        <v>3271</v>
      </c>
      <c r="I18" s="3199" t="s">
        <v>3272</v>
      </c>
      <c r="J18" s="3199">
        <v>16784.63</v>
      </c>
      <c r="K18" s="3199">
        <v>28324.080000000002</v>
      </c>
      <c r="L18" s="3199">
        <v>1760.86</v>
      </c>
      <c r="M18" s="3199">
        <v>68.75</v>
      </c>
      <c r="N18" s="3199" t="s">
        <v>3120</v>
      </c>
    </row>
    <row r="46" spans="1:1">
      <c r="A46" s="3191" t="s">
        <v>3273</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6" sqref="C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8</v>
      </c>
    </row>
    <row r="2" spans="1:31" s="2023" customFormat="1" ht="18" customHeight="1">
      <c r="A2" s="2083" t="s">
        <v>467</v>
      </c>
      <c r="B2" s="2087">
        <f ca="1">C36</f>
        <v>26856</v>
      </c>
      <c r="C2" s="2086"/>
      <c r="D2" s="2086"/>
      <c r="E2" s="2086"/>
      <c r="F2" s="2086"/>
      <c r="G2" s="2086"/>
      <c r="H2" s="2086"/>
      <c r="I2" s="2086"/>
      <c r="J2" s="2086"/>
      <c r="K2" s="2086"/>
    </row>
    <row r="3" spans="1:31" s="2023" customFormat="1" ht="18" customHeight="1">
      <c r="A3" s="2088" t="s">
        <v>1683</v>
      </c>
      <c r="B3" s="2089">
        <f ca="1">ROUND(B2*10000/IF(B1="",'数据-汇总表'!E3,INDIRECT("'数据-取费表'!K"&amp;$K$1)),0)</f>
        <v>3977</v>
      </c>
      <c r="C3" s="2086"/>
      <c r="D3" s="2086"/>
      <c r="E3" s="2086"/>
      <c r="F3" s="2086"/>
      <c r="G3" s="2086"/>
      <c r="H3" s="2086"/>
      <c r="I3" s="2086"/>
      <c r="J3" s="2086"/>
      <c r="K3" s="2086"/>
    </row>
    <row r="4" spans="1:31" s="2023" customFormat="1" ht="18" customHeight="1">
      <c r="A4" s="425" t="s">
        <v>468</v>
      </c>
      <c r="B4" s="426">
        <f ca="1">ROUND(B2*10000/IF(B1="",'数据-汇总表'!D3,INDIRECT("'数据-取费表'!R"&amp;$K$1)),0)</f>
        <v>9942</v>
      </c>
      <c r="C4" s="427"/>
      <c r="D4" s="421"/>
      <c r="E4" s="421"/>
      <c r="F4" s="421"/>
      <c r="G4" s="421"/>
      <c r="H4" s="421"/>
      <c r="I4" s="421"/>
      <c r="J4" s="421"/>
      <c r="K4" s="421"/>
    </row>
    <row r="5" spans="1:31" s="2023" customFormat="1" ht="18" customHeight="1" thickBot="1">
      <c r="A5" s="428"/>
      <c r="B5" s="429">
        <f ca="1">ROUND(B2/(IF(B1="",'数据-汇总表'!D3,INDIRECT("'数据-取费表'!R"&amp;$K$1))/666.67),0)</f>
        <v>663</v>
      </c>
      <c r="C5" s="430" t="s">
        <v>469</v>
      </c>
      <c r="D5" s="421"/>
      <c r="E5" s="421"/>
      <c r="F5" s="421"/>
      <c r="G5" s="421"/>
      <c r="H5" s="421"/>
      <c r="I5" s="421"/>
      <c r="J5" s="421"/>
      <c r="K5" s="421"/>
    </row>
    <row r="6" spans="1:31" s="2093" customFormat="1" ht="16.5" customHeight="1">
      <c r="A6" s="2780" t="s">
        <v>1841</v>
      </c>
      <c r="B6" s="2781"/>
      <c r="C6" s="2782">
        <f ca="1">SUM(C10:K10)</f>
        <v>53454</v>
      </c>
      <c r="D6" s="2781"/>
      <c r="E6" s="2781"/>
      <c r="F6" s="2781"/>
      <c r="G6" s="2781"/>
      <c r="H6" s="2781"/>
      <c r="I6" s="2781"/>
      <c r="J6" s="2781"/>
      <c r="K6" s="2783"/>
    </row>
    <row r="7" spans="1:31" s="2095" customFormat="1" ht="15">
      <c r="A7" s="2784" t="s">
        <v>470</v>
      </c>
      <c r="B7" s="2785" t="s">
        <v>471</v>
      </c>
      <c r="C7" s="435" t="s">
        <v>922</v>
      </c>
      <c r="D7" s="435" t="s">
        <v>3004</v>
      </c>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1844</v>
      </c>
      <c r="B8" s="260" t="s">
        <v>472</v>
      </c>
      <c r="C8" s="2786">
        <f>'不动产比较法-住宅'!B3</f>
        <v>7729</v>
      </c>
      <c r="D8" s="2786">
        <f ca="1">不动产收益法!B3</f>
        <v>9596</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1845</v>
      </c>
      <c r="B9" s="260" t="s">
        <v>473</v>
      </c>
      <c r="C9" s="440">
        <f>SUMIF('数据-汇总表'!$C19:$C33,'剩余法-待开发'!C7,'数据-汇总表'!$E19:$E33)</f>
        <v>60776.07</v>
      </c>
      <c r="D9" s="440">
        <f>SUMIF('数据-汇总表'!$C19:$C33,'剩余法-待开发'!D7,'数据-汇总表'!$E19:$E33)</f>
        <v>6752.9</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7">
        <f>'不动产比较法-住宅'!B2</f>
        <v>46974</v>
      </c>
      <c r="D10" s="2977">
        <f ca="1">不动产收益法!B2</f>
        <v>6480</v>
      </c>
      <c r="E10" s="2977"/>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9">
        <f ca="1">IF(B1="",'数据-取费表'!P16,INDIRECT("'数据-取费表'!p"&amp;$K$1)+INDIRECT("'数据-取费表'!t"&amp;$K$1))</f>
        <v>12291</v>
      </c>
      <c r="D13" s="2796"/>
      <c r="E13" s="2797"/>
      <c r="F13" s="2798"/>
      <c r="G13" s="2764"/>
      <c r="H13" s="2765"/>
      <c r="I13" s="2765"/>
      <c r="J13" s="2765"/>
      <c r="K13" s="2766"/>
    </row>
    <row r="14" spans="1:31" s="2098" customFormat="1" ht="13.5" customHeight="1">
      <c r="A14" s="2794" t="s">
        <v>1848</v>
      </c>
      <c r="B14" s="2795" t="s">
        <v>480</v>
      </c>
      <c r="C14" s="53">
        <f ca="1">ROUND(C13*F14,0)</f>
        <v>369</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328</v>
      </c>
      <c r="D15" s="2796"/>
      <c r="E15" s="2797"/>
      <c r="F15" s="2799">
        <f>'数据-取费表'!B34</f>
        <v>0.03</v>
      </c>
      <c r="G15" s="2764" t="s">
        <v>483</v>
      </c>
      <c r="H15" s="2765"/>
      <c r="I15" s="2765"/>
      <c r="J15" s="2765"/>
      <c r="K15" s="2766"/>
    </row>
    <row r="16" spans="1:31" s="2099" customFormat="1" ht="13.5" customHeight="1">
      <c r="A16" s="2794" t="s">
        <v>1850</v>
      </c>
      <c r="B16" s="2795" t="s">
        <v>484</v>
      </c>
      <c r="C16" s="53">
        <f ca="1">ROUND(D16*E16/10000,0)</f>
        <v>1351</v>
      </c>
      <c r="D16" s="2796">
        <f ca="1">IF(B1="",'数据-汇总表'!E3,INDIRECT("'数据-取费表'!K"&amp;$K$1)+INDIRECT("'数据-取费表'!S"&amp;$K$1))</f>
        <v>67528.97</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184</v>
      </c>
      <c r="D17" s="474"/>
      <c r="E17" s="2800"/>
      <c r="F17" s="2801">
        <f>'数据-取费表'!B36</f>
        <v>1.4999999999999999E-2</v>
      </c>
      <c r="G17" s="260" t="s">
        <v>486</v>
      </c>
      <c r="H17" s="2767"/>
      <c r="I17" s="2767"/>
      <c r="J17" s="2767"/>
      <c r="K17" s="278"/>
    </row>
    <row r="18" spans="1:14" s="2098" customFormat="1" ht="13.5" customHeight="1">
      <c r="A18" s="2802" t="s">
        <v>1852</v>
      </c>
      <c r="B18" s="2803" t="s">
        <v>487</v>
      </c>
      <c r="C18" s="2804">
        <f ca="1">SUM(C13:C17)</f>
        <v>14523</v>
      </c>
      <c r="D18" s="2805"/>
      <c r="E18" s="467"/>
      <c r="F18" s="467"/>
      <c r="G18" s="2768" t="s">
        <v>2429</v>
      </c>
      <c r="H18" s="2769"/>
      <c r="I18" s="2769"/>
      <c r="J18" s="2769"/>
      <c r="K18" s="2770"/>
    </row>
    <row r="19" spans="1:14" s="2098" customFormat="1" ht="13.5" customHeight="1">
      <c r="A19" s="2802" t="s">
        <v>1853</v>
      </c>
      <c r="B19" s="2803" t="s">
        <v>488</v>
      </c>
      <c r="C19" s="2760">
        <f ca="1">ROUND(D19*E19/10000,0)</f>
        <v>0</v>
      </c>
      <c r="D19" s="2806">
        <f ca="1">D16</f>
        <v>67528.97</v>
      </c>
      <c r="E19" s="2760">
        <f>'数据-取费表'!B32</f>
        <v>0</v>
      </c>
      <c r="F19" s="467"/>
      <c r="G19" s="2764" t="s">
        <v>489</v>
      </c>
      <c r="H19" s="2765"/>
      <c r="I19" s="2769"/>
      <c r="J19" s="2769"/>
      <c r="K19" s="2770"/>
    </row>
    <row r="20" spans="1:14" s="2098" customFormat="1" ht="13.5" customHeight="1">
      <c r="A20" s="2802" t="s">
        <v>1854</v>
      </c>
      <c r="B20" s="2803" t="s">
        <v>490</v>
      </c>
      <c r="C20" s="2760">
        <f ca="1">C21+C22-IF(B1="",'数据-取费表'!B29,IF(G20="已全部缴纳",C21+C22,H20))</f>
        <v>270</v>
      </c>
      <c r="D20" s="2806"/>
      <c r="E20" s="2760"/>
      <c r="F20" s="2807"/>
      <c r="G20" s="3035"/>
      <c r="H20" s="2762"/>
      <c r="I20" s="2763" t="s">
        <v>2649</v>
      </c>
      <c r="J20" s="2769"/>
      <c r="K20" s="2770"/>
    </row>
    <row r="21" spans="1:14" s="2098" customFormat="1" ht="13.5" customHeight="1">
      <c r="A21" s="2794" t="s">
        <v>1855</v>
      </c>
      <c r="B21" s="2795" t="s">
        <v>491</v>
      </c>
      <c r="C21" s="53">
        <f ca="1">ROUND(D21*E21/10000,0)</f>
        <v>243</v>
      </c>
      <c r="D21" s="2796">
        <f ca="1">IF(B1="",'数据-汇总表'!E5,IF(INDIRECT("'数据-取费表'!c"&amp;$K$1)="住宅",INDIRECT("'数据-取费表'!k"&amp;$K$1),0))</f>
        <v>60776.07</v>
      </c>
      <c r="E21" s="53">
        <f>'数据-取费表'!B27</f>
        <v>40</v>
      </c>
      <c r="F21" s="2799"/>
      <c r="G21" s="26"/>
      <c r="H21" s="51"/>
      <c r="I21" s="51"/>
      <c r="J21" s="51"/>
      <c r="K21" s="2771"/>
    </row>
    <row r="22" spans="1:14" s="2098" customFormat="1" ht="13.5" customHeight="1">
      <c r="A22" s="2794" t="s">
        <v>1856</v>
      </c>
      <c r="B22" s="2795" t="s">
        <v>492</v>
      </c>
      <c r="C22" s="53">
        <f ca="1">ROUND(D22*E22/10000,0)</f>
        <v>27</v>
      </c>
      <c r="D22" s="2796">
        <f ca="1">IF(B1="",'数据-汇总表'!E6,IF(INDIRECT("'数据-取费表'!c"&amp;$K$1)="住宅",INDIRECT("'数据-取费表'!s"&amp;$K$1),INDIRECT("'数据-取费表'!k"&amp;$K$1)+INDIRECT("'数据-取费表'!s"&amp;$K$1)))</f>
        <v>6752.9000000000015</v>
      </c>
      <c r="E22" s="53">
        <f>'数据-取费表'!B28</f>
        <v>40</v>
      </c>
      <c r="F22" s="2799"/>
      <c r="G22" s="26"/>
      <c r="H22" s="51"/>
      <c r="I22" s="51"/>
      <c r="J22" s="51"/>
      <c r="K22" s="2771"/>
    </row>
    <row r="23" spans="1:14" s="2098" customFormat="1" ht="13.5" customHeight="1">
      <c r="A23" s="2802" t="s">
        <v>1857</v>
      </c>
      <c r="B23" s="2983" t="s">
        <v>2832</v>
      </c>
      <c r="C23" s="2804">
        <f ca="1">ROUND((C18+C19+C20)*F23,0)</f>
        <v>222</v>
      </c>
      <c r="D23" s="467"/>
      <c r="E23" s="467"/>
      <c r="F23" s="2808">
        <f>'数据-取费表'!B37</f>
        <v>1.4999999999999999E-2</v>
      </c>
      <c r="G23" s="2764" t="s">
        <v>2430</v>
      </c>
      <c r="H23" s="2765"/>
      <c r="I23" s="2765"/>
      <c r="J23" s="2765"/>
      <c r="K23" s="2766"/>
      <c r="L23" s="2100"/>
      <c r="M23" s="2100"/>
      <c r="N23" s="2100"/>
    </row>
    <row r="24" spans="1:14" s="2098" customFormat="1" ht="13.5" customHeight="1">
      <c r="A24" s="2802" t="s">
        <v>1858</v>
      </c>
      <c r="B24" s="2983" t="s">
        <v>2835</v>
      </c>
      <c r="C24" s="2804">
        <f ca="1">ROUND(C6*F24,0)</f>
        <v>802</v>
      </c>
      <c r="D24" s="474"/>
      <c r="E24" s="472"/>
      <c r="F24" s="2808">
        <f>'数据-取费表'!B38</f>
        <v>1.4999999999999999E-2</v>
      </c>
      <c r="G24" s="2773" t="s">
        <v>499</v>
      </c>
      <c r="H24" s="2767"/>
      <c r="I24" s="2767"/>
      <c r="J24" s="2767"/>
      <c r="K24" s="278"/>
      <c r="L24" s="2100"/>
      <c r="M24" s="2100"/>
      <c r="N24" s="2100"/>
    </row>
    <row r="25" spans="1:14" s="2101" customFormat="1" ht="13.5" customHeight="1">
      <c r="A25" s="2802" t="s">
        <v>1859</v>
      </c>
      <c r="B25" s="2983" t="s">
        <v>2833</v>
      </c>
      <c r="C25" s="466">
        <f>ROUND(F25/(1+'数据-取费表'!C42),4)</f>
        <v>3.8600000000000002E-2</v>
      </c>
      <c r="D25" s="461" t="s">
        <v>2827</v>
      </c>
      <c r="E25" s="468"/>
      <c r="F25" s="2808">
        <f>IF(项目基本情况!B8="出让",0,'数据-取费表'!B48+'数据-取费表'!B49)</f>
        <v>4.0500000000000001E-2</v>
      </c>
      <c r="G25" s="2772" t="s">
        <v>2288</v>
      </c>
      <c r="H25" s="2765"/>
      <c r="I25" s="2765"/>
      <c r="J25" s="2765"/>
      <c r="K25" s="2766"/>
    </row>
    <row r="26" spans="1:14" s="2100" customFormat="1" ht="13.5" customHeight="1">
      <c r="A26" s="2802" t="s">
        <v>1860</v>
      </c>
      <c r="B26" s="2984" t="s">
        <v>2834</v>
      </c>
      <c r="C26" s="2809">
        <f ca="1">C28</f>
        <v>560</v>
      </c>
      <c r="D26" s="466">
        <f ca="1">C27</f>
        <v>7.4899999999999994E-2</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1855</v>
      </c>
      <c r="B27" s="2810" t="s">
        <v>496</v>
      </c>
      <c r="C27" s="2811">
        <f ca="1">ROUND(IF('数据-取费表'!B22&lt;=1,(1+C25)*F26*'数据-取费表'!B24,(1+C25)*(POWER((1+F26),'数据-取费表'!B24)-1)),4)</f>
        <v>7.4899999999999994E-2</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1856</v>
      </c>
      <c r="B28" s="2810" t="s">
        <v>2836</v>
      </c>
      <c r="C28" s="2812">
        <f ca="1">ROUND(IF('数据-取费表'!B22&lt;=1,(C18+C19+C20+C23+C24)*F26*'数据-取费表'!B24/2,(C18+C19+C20+C23+C24)*(POWER((1+F26),'数据-取费表'!B24/2)-1)),0)</f>
        <v>560</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1861</v>
      </c>
      <c r="B29" s="2803" t="s">
        <v>497</v>
      </c>
      <c r="C29" s="2804">
        <f ca="1">ROUND(C6*F29/(1+'数据-取费表'!C42),0)</f>
        <v>2800</v>
      </c>
      <c r="D29" s="467"/>
      <c r="E29" s="467"/>
      <c r="F29" s="2985">
        <f>'数据-取费表'!B41</f>
        <v>5.5000000000000007E-2</v>
      </c>
      <c r="G29" s="2773" t="s">
        <v>498</v>
      </c>
      <c r="H29" s="2765"/>
      <c r="I29" s="2765"/>
      <c r="J29" s="2765"/>
      <c r="K29" s="2766"/>
    </row>
    <row r="30" spans="1:14" s="2103" customFormat="1" ht="13.5" customHeight="1">
      <c r="A30" s="1619" t="s">
        <v>1862</v>
      </c>
      <c r="B30" s="2814" t="s">
        <v>500</v>
      </c>
      <c r="C30" s="2809">
        <f ca="1">C31</f>
        <v>19177</v>
      </c>
      <c r="D30" s="476">
        <f ca="1">C32</f>
        <v>0.1135</v>
      </c>
      <c r="E30" s="468" t="s">
        <v>495</v>
      </c>
      <c r="F30" s="470"/>
      <c r="G30" s="2772" t="s">
        <v>2966</v>
      </c>
      <c r="H30" s="2765"/>
      <c r="I30" s="2765"/>
      <c r="J30" s="2765"/>
      <c r="K30" s="2766"/>
    </row>
    <row r="31" spans="1:14" s="2102" customFormat="1" ht="13.5" customHeight="1">
      <c r="A31" s="802" t="s">
        <v>1855</v>
      </c>
      <c r="B31" s="2810"/>
      <c r="C31" s="449">
        <f ca="1">C18+C19+C20+C23+C24+C26+C29</f>
        <v>19177</v>
      </c>
      <c r="D31" s="471"/>
      <c r="E31" s="472"/>
      <c r="F31" s="473"/>
      <c r="G31" s="260"/>
      <c r="H31" s="2767"/>
      <c r="I31" s="2767"/>
      <c r="J31" s="2767"/>
      <c r="K31" s="278"/>
    </row>
    <row r="32" spans="1:14" s="2102" customFormat="1" ht="13.5" customHeight="1">
      <c r="A32" s="802" t="s">
        <v>1856</v>
      </c>
      <c r="B32" s="2810"/>
      <c r="C32" s="53">
        <f ca="1">ROUND(C25+D26,4)</f>
        <v>0.1135</v>
      </c>
      <c r="D32" s="471"/>
      <c r="E32" s="472"/>
      <c r="F32" s="473"/>
      <c r="G32" s="260"/>
      <c r="H32" s="2767"/>
      <c r="I32" s="2767"/>
      <c r="J32" s="2767"/>
      <c r="K32" s="278"/>
    </row>
    <row r="33" spans="1:11" s="2104" customFormat="1" ht="13.5" customHeight="1">
      <c r="A33" s="2982" t="s">
        <v>2831</v>
      </c>
      <c r="B33" s="2980" t="s">
        <v>2829</v>
      </c>
      <c r="C33" s="477">
        <f ca="1">C35</f>
        <v>1582</v>
      </c>
      <c r="D33" s="466">
        <f ca="1">C34</f>
        <v>0.10390000000000001</v>
      </c>
      <c r="E33" s="468" t="s">
        <v>495</v>
      </c>
      <c r="F33" s="478">
        <f ca="1">IF(B1="",'数据-取费表'!Q16,INDIRECT("'数据-取费表'!q"&amp;$K$1))</f>
        <v>0.1</v>
      </c>
      <c r="G33" s="2768"/>
      <c r="H33" s="2769"/>
      <c r="I33" s="2769"/>
      <c r="J33" s="2769"/>
      <c r="K33" s="2770"/>
    </row>
    <row r="34" spans="1:11" s="2105" customFormat="1" ht="13.5" customHeight="1">
      <c r="A34" s="374" t="s">
        <v>1855</v>
      </c>
      <c r="B34" s="2815" t="s">
        <v>501</v>
      </c>
      <c r="C34" s="471">
        <f ca="1">ROUND((1+C25)*F33,4)</f>
        <v>0.10390000000000001</v>
      </c>
      <c r="D34" s="471"/>
      <c r="E34" s="472"/>
      <c r="F34" s="479"/>
      <c r="G34" s="260" t="s">
        <v>2289</v>
      </c>
      <c r="H34" s="2767"/>
      <c r="I34" s="2767"/>
      <c r="J34" s="2767"/>
      <c r="K34" s="278"/>
    </row>
    <row r="35" spans="1:11" s="2105" customFormat="1" ht="13.5" customHeight="1" thickBot="1">
      <c r="A35" s="1620" t="s">
        <v>1856</v>
      </c>
      <c r="B35" s="2981" t="s">
        <v>2837</v>
      </c>
      <c r="C35" s="1612">
        <f ca="1">ROUND((C18+C19+C20+C23+C24)*F33,0)</f>
        <v>1582</v>
      </c>
      <c r="D35" s="1613"/>
      <c r="E35" s="2816"/>
      <c r="F35" s="1614"/>
      <c r="G35" s="2774"/>
      <c r="H35" s="2775"/>
      <c r="I35" s="2775"/>
      <c r="J35" s="2775"/>
      <c r="K35" s="2776"/>
    </row>
    <row r="36" spans="1:11" s="2067" customFormat="1" ht="13.5" customHeight="1" thickBot="1">
      <c r="A36" s="283" t="s">
        <v>1843</v>
      </c>
      <c r="B36" s="2778"/>
      <c r="C36" s="2817">
        <f ca="1">ROUND((C6-C30-C33)/(1+D30+D33),0)</f>
        <v>26856</v>
      </c>
      <c r="D36" s="2778"/>
      <c r="E36" s="2778"/>
      <c r="F36" s="2778"/>
      <c r="G36" s="2777" t="s">
        <v>2838</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F23" sqref="F2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1724</v>
      </c>
      <c r="B1" s="737"/>
      <c r="C1" s="772" t="s">
        <v>3004</v>
      </c>
      <c r="D1" s="3072" t="s">
        <v>3094</v>
      </c>
      <c r="E1" s="2348" t="s">
        <v>2373</v>
      </c>
      <c r="F1" s="2349">
        <f ca="1">J53</f>
        <v>36.869999999999997</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1725</v>
      </c>
      <c r="B2" s="774">
        <f ca="1">C40+J29+L46</f>
        <v>6480</v>
      </c>
      <c r="C2" s="2039"/>
      <c r="D2" s="2037"/>
      <c r="E2" s="2038"/>
      <c r="F2" s="2038"/>
      <c r="G2" s="1575"/>
      <c r="H2" s="2039"/>
      <c r="I2" s="2039"/>
      <c r="J2" s="2039"/>
      <c r="K2" s="2040"/>
      <c r="L2" s="2039"/>
      <c r="M2" s="2039"/>
    </row>
    <row r="3" spans="1:33" ht="18" customHeight="1" thickBot="1">
      <c r="A3" s="832" t="s">
        <v>1726</v>
      </c>
      <c r="B3" s="833">
        <f ca="1">IF(ISERROR(B2*10000/F43),0,ROUND(B2*10000/F43,0))</f>
        <v>9596</v>
      </c>
      <c r="C3" s="2039"/>
      <c r="D3" s="2037"/>
      <c r="E3" s="2038"/>
      <c r="F3" s="2038"/>
      <c r="G3" s="1575"/>
      <c r="H3" s="775" t="s">
        <v>695</v>
      </c>
      <c r="I3" s="1357"/>
      <c r="J3" s="1357"/>
      <c r="K3" s="1576"/>
      <c r="L3" s="1357"/>
      <c r="M3" s="1357"/>
    </row>
    <row r="4" spans="1:33" ht="18" customHeight="1">
      <c r="A4" s="776" t="s">
        <v>1727</v>
      </c>
      <c r="B4" s="777" t="s">
        <v>1728</v>
      </c>
      <c r="C4" s="777" t="s">
        <v>1729</v>
      </c>
      <c r="D4" s="777" t="s">
        <v>633</v>
      </c>
      <c r="E4" s="778" t="s">
        <v>1730</v>
      </c>
      <c r="F4" s="779"/>
      <c r="G4" s="1577"/>
      <c r="H4" s="776" t="s">
        <v>1731</v>
      </c>
      <c r="I4" s="777" t="s">
        <v>1732</v>
      </c>
      <c r="J4" s="777" t="s">
        <v>1733</v>
      </c>
      <c r="K4" s="777" t="s">
        <v>1734</v>
      </c>
      <c r="L4" s="778" t="s">
        <v>1735</v>
      </c>
      <c r="M4" s="779"/>
    </row>
    <row r="5" spans="1:33" ht="18" customHeight="1">
      <c r="A5" s="780">
        <v>1</v>
      </c>
      <c r="B5" s="781" t="s">
        <v>2457</v>
      </c>
      <c r="C5" s="55">
        <f ca="1">C6+C10+C12</f>
        <v>377</v>
      </c>
      <c r="D5" s="2457" t="s">
        <v>2460</v>
      </c>
      <c r="E5" s="2451"/>
      <c r="F5" s="2452"/>
      <c r="G5" s="1577"/>
      <c r="H5" s="780">
        <v>1</v>
      </c>
      <c r="I5" s="781" t="s">
        <v>2457</v>
      </c>
      <c r="J5" s="55">
        <f ca="1">J6+J10+J12</f>
        <v>0</v>
      </c>
      <c r="K5" s="2457" t="s">
        <v>2460</v>
      </c>
      <c r="L5" s="2451"/>
      <c r="M5" s="2452"/>
    </row>
    <row r="6" spans="1:33" ht="18" customHeight="1">
      <c r="A6" s="1812" t="s">
        <v>1823</v>
      </c>
      <c r="B6" s="3500" t="s">
        <v>2462</v>
      </c>
      <c r="C6" s="782">
        <f ca="1">ROUND(F6*F8*F7*(1-F9)/10000,0)</f>
        <v>377</v>
      </c>
      <c r="D6" s="2458" t="s">
        <v>2461</v>
      </c>
      <c r="E6" s="783" t="s">
        <v>1737</v>
      </c>
      <c r="F6" s="784">
        <f ca="1">INDIRECT("'数据-取费表'!u"&amp;$G$1)</f>
        <v>1.7</v>
      </c>
      <c r="G6" s="1577"/>
      <c r="H6" s="2465" t="s">
        <v>2467</v>
      </c>
      <c r="I6" s="3500" t="s">
        <v>2462</v>
      </c>
      <c r="J6" s="782">
        <f ca="1">ROUND(M6*M8*M7*(1-M9)/10000,0)</f>
        <v>0</v>
      </c>
      <c r="K6" s="340" t="s">
        <v>1736</v>
      </c>
      <c r="L6" s="783" t="s">
        <v>1737</v>
      </c>
      <c r="M6" s="784">
        <f ca="1">INDIRECT("'数据-取费表'!z"&amp;$G$1)</f>
        <v>0</v>
      </c>
    </row>
    <row r="7" spans="1:33" ht="18" customHeight="1">
      <c r="A7" s="2461"/>
      <c r="B7" s="3501"/>
      <c r="C7" s="787"/>
      <c r="D7" s="788"/>
      <c r="E7" s="783" t="s">
        <v>1738</v>
      </c>
      <c r="F7" s="784">
        <f ca="1">IF(INDIRECT("'数据-取费表'!ah"&amp;$G$1)="",INDIRECT("'数据-取费表'!k"&amp;$G$1),INDIRECT("'数据-取费表'!ah"&amp;$G$1))</f>
        <v>6752.9</v>
      </c>
      <c r="G7" s="1577"/>
      <c r="H7" s="2450"/>
      <c r="I7" s="3501"/>
      <c r="J7" s="787"/>
      <c r="K7" s="788"/>
      <c r="L7" s="783" t="s">
        <v>1738</v>
      </c>
      <c r="M7" s="784">
        <f ca="1">F7</f>
        <v>6752.9</v>
      </c>
    </row>
    <row r="8" spans="1:33" ht="18" customHeight="1">
      <c r="A8" s="2454"/>
      <c r="B8" s="3502"/>
      <c r="C8" s="787"/>
      <c r="D8" s="788"/>
      <c r="E8" s="783" t="s">
        <v>1739</v>
      </c>
      <c r="F8" s="784">
        <f ca="1">INDIRECT("'数据-取费表'!ai"&amp;$G$1)</f>
        <v>365</v>
      </c>
      <c r="G8" s="1577"/>
      <c r="H8" s="2450"/>
      <c r="I8" s="3502"/>
      <c r="J8" s="787"/>
      <c r="K8" s="788"/>
      <c r="L8" s="783" t="s">
        <v>1739</v>
      </c>
      <c r="M8" s="784">
        <f ca="1">INDIRECT("'数据-取费表'!ai"&amp;$G$1)</f>
        <v>365</v>
      </c>
    </row>
    <row r="9" spans="1:33" ht="18" customHeight="1">
      <c r="A9" s="785"/>
      <c r="B9" s="3503"/>
      <c r="C9" s="787"/>
      <c r="D9" s="788"/>
      <c r="E9" s="783" t="s">
        <v>1740</v>
      </c>
      <c r="F9" s="793">
        <f ca="1">INDIRECT("'数据-取费表'!w"&amp;$G$1)</f>
        <v>0.1</v>
      </c>
      <c r="G9" s="1577"/>
      <c r="H9" s="2466"/>
      <c r="I9" s="3502"/>
      <c r="J9" s="787"/>
      <c r="K9" s="788"/>
      <c r="L9" s="794" t="s">
        <v>1740</v>
      </c>
      <c r="M9" s="795">
        <f ca="1">INDIRECT("'数据-取费表'!ab"&amp;$G$1)</f>
        <v>0</v>
      </c>
    </row>
    <row r="10" spans="1:33" ht="18" customHeight="1">
      <c r="A10" s="1812" t="s">
        <v>2465</v>
      </c>
      <c r="B10" s="2455" t="s">
        <v>2458</v>
      </c>
      <c r="C10" s="798">
        <f ca="1">ROUND(IF(F10="押一",C6/12*F11,IF(F10="押二",C6/12*2*F11,IF(F10="押三",C6/12*3*F11,C11*F11))),0)</f>
        <v>0</v>
      </c>
      <c r="D10" s="2462" t="s">
        <v>2968</v>
      </c>
      <c r="E10" s="2459" t="s">
        <v>2463</v>
      </c>
      <c r="F10" s="2582" t="s">
        <v>3095</v>
      </c>
      <c r="G10" s="1577"/>
      <c r="H10" s="2522" t="s">
        <v>2468</v>
      </c>
      <c r="I10" s="2527" t="s">
        <v>2458</v>
      </c>
      <c r="J10" s="782">
        <f ca="1">ROUND(IF(M10="押一",J6/12*M11,IF(M10="押二",J6/12*2*M11,IF(M10="押三",J6/12*3*M11,J11*M11))),0)</f>
        <v>0</v>
      </c>
      <c r="K10" s="2462" t="s">
        <v>2968</v>
      </c>
      <c r="L10" s="2459" t="s">
        <v>2463</v>
      </c>
      <c r="M10" s="2582"/>
    </row>
    <row r="11" spans="1:33" ht="18" customHeight="1">
      <c r="A11" s="789"/>
      <c r="B11" s="2456" t="s">
        <v>2572</v>
      </c>
      <c r="C11" s="2460"/>
      <c r="D11" s="788"/>
      <c r="E11" s="2459" t="s">
        <v>2464</v>
      </c>
      <c r="F11" s="795">
        <f ca="1">'数据-取费表'!B39</f>
        <v>1.4999999999999999E-2</v>
      </c>
      <c r="G11" s="1577"/>
      <c r="H11" s="2523"/>
      <c r="I11" s="2456" t="s">
        <v>2572</v>
      </c>
      <c r="J11" s="2460"/>
      <c r="K11" s="2524"/>
      <c r="L11" s="2459" t="s">
        <v>2464</v>
      </c>
      <c r="M11" s="2453">
        <f ca="1">'数据-取费表'!B39</f>
        <v>1.4999999999999999E-2</v>
      </c>
    </row>
    <row r="12" spans="1:33" ht="18" customHeight="1" thickBot="1">
      <c r="A12" s="2498" t="s">
        <v>2466</v>
      </c>
      <c r="B12" s="2499" t="s">
        <v>2459</v>
      </c>
      <c r="C12" s="2500"/>
      <c r="D12" s="2501"/>
      <c r="E12" s="2502"/>
      <c r="F12" s="2503"/>
      <c r="G12" s="1577"/>
      <c r="H12" s="2512" t="s">
        <v>2469</v>
      </c>
      <c r="I12" s="2525" t="s">
        <v>2459</v>
      </c>
      <c r="J12" s="2526"/>
      <c r="K12" s="2501"/>
      <c r="L12" s="2502"/>
      <c r="M12" s="2515"/>
    </row>
    <row r="13" spans="1:33" ht="18" customHeight="1" thickTop="1">
      <c r="A13" s="1811">
        <v>2</v>
      </c>
      <c r="B13" s="1809" t="s">
        <v>1741</v>
      </c>
      <c r="C13" s="791">
        <f ca="1">ROUND(C29*F13,0)</f>
        <v>1916</v>
      </c>
      <c r="D13" s="1816" t="s">
        <v>2296</v>
      </c>
      <c r="E13" s="1816" t="s">
        <v>1743</v>
      </c>
      <c r="F13" s="2497">
        <f ca="1">INDIRECT("'数据-取费表'!y"&amp;$G$1)</f>
        <v>1</v>
      </c>
      <c r="G13" s="1577"/>
      <c r="H13" s="1811">
        <v>2</v>
      </c>
      <c r="I13" s="1809" t="s">
        <v>1741</v>
      </c>
      <c r="J13" s="1801">
        <f ca="1">ROUND(J14*J15,0)</f>
        <v>0</v>
      </c>
      <c r="K13" s="1803" t="s">
        <v>1742</v>
      </c>
      <c r="L13" s="2513"/>
      <c r="M13" s="2514"/>
    </row>
    <row r="14" spans="1:33" ht="18" customHeight="1">
      <c r="A14" s="1632" t="s">
        <v>1883</v>
      </c>
      <c r="B14" s="783" t="s">
        <v>645</v>
      </c>
      <c r="C14" s="803">
        <f ca="1">INDIRECT("'数据-取费表'!m"&amp;$G$1)+INDIRECT("'数据-取费表'!t"&amp;$G$1)</f>
        <v>1351</v>
      </c>
      <c r="D14" s="1961" t="s">
        <v>1744</v>
      </c>
      <c r="E14" s="1962"/>
      <c r="F14" s="804"/>
      <c r="G14" s="1577"/>
      <c r="H14" s="1633" t="s">
        <v>1829</v>
      </c>
      <c r="I14" s="2213" t="s">
        <v>2824</v>
      </c>
      <c r="J14" s="53">
        <f ca="1">C29</f>
        <v>1916</v>
      </c>
      <c r="K14" s="26"/>
      <c r="L14" s="800"/>
      <c r="M14" s="801"/>
    </row>
    <row r="15" spans="1:33" s="2046" customFormat="1" ht="18" customHeight="1" thickBot="1">
      <c r="A15" s="1632" t="s">
        <v>1884</v>
      </c>
      <c r="B15" s="783" t="s">
        <v>647</v>
      </c>
      <c r="C15" s="53">
        <f ca="1">ROUND(C14*F15,0)</f>
        <v>41</v>
      </c>
      <c r="D15" s="805" t="s">
        <v>1745</v>
      </c>
      <c r="E15" s="805" t="s">
        <v>1746</v>
      </c>
      <c r="F15" s="806">
        <f>'数据-取费表'!B33</f>
        <v>0.03</v>
      </c>
      <c r="G15" s="1578"/>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1885</v>
      </c>
      <c r="B16" s="783" t="s">
        <v>650</v>
      </c>
      <c r="C16" s="53">
        <f ca="1">ROUND(INDIRECT("'数据-取费表'!m"&amp;$G$1)*F16,0)</f>
        <v>0</v>
      </c>
      <c r="D16" s="783" t="s">
        <v>1745</v>
      </c>
      <c r="E16" s="783" t="s">
        <v>1746</v>
      </c>
      <c r="F16" s="808">
        <f ca="1">IF(INDIRECT("'数据-取费表'!c"&amp;$G$1)="住宅",'数据-取费表'!B34,0)</f>
        <v>0</v>
      </c>
      <c r="G16" s="1577"/>
      <c r="H16" s="1811" t="s">
        <v>1747</v>
      </c>
      <c r="I16" s="1809" t="s">
        <v>1748</v>
      </c>
      <c r="J16" s="791">
        <f ca="1">ROUND(J17+J22+J23+J24,0)</f>
        <v>191</v>
      </c>
      <c r="K16" s="1803" t="s">
        <v>1749</v>
      </c>
      <c r="L16" s="2447"/>
      <c r="M16" s="2452"/>
    </row>
    <row r="17" spans="1:33" s="2046" customFormat="1" ht="18" customHeight="1">
      <c r="A17" s="1632" t="s">
        <v>1886</v>
      </c>
      <c r="B17" s="783" t="s">
        <v>653</v>
      </c>
      <c r="C17" s="53">
        <f ca="1">ROUND(F17*(F43+INDIRECT("'数据-取费表'!S"&amp;$G$1))/10000,0)</f>
        <v>135</v>
      </c>
      <c r="D17" s="783" t="s">
        <v>1750</v>
      </c>
      <c r="E17" s="783" t="s">
        <v>1751</v>
      </c>
      <c r="F17" s="56">
        <f>'数据-取费表'!B35</f>
        <v>200</v>
      </c>
      <c r="G17" s="1578"/>
      <c r="H17" s="1633" t="s">
        <v>1829</v>
      </c>
      <c r="I17" s="783" t="s">
        <v>656</v>
      </c>
      <c r="J17" s="53">
        <f ca="1">ROUND(IF(项目基本情况!B11="自然人",J5*M17,J18+J19+J20),0)</f>
        <v>162</v>
      </c>
      <c r="K17" s="2446" t="s">
        <v>1752</v>
      </c>
      <c r="L17" s="2445" t="s">
        <v>1753</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3" t="s">
        <v>659</v>
      </c>
      <c r="C18" s="53">
        <f ca="1">ROUND(C14*F18,0)</f>
        <v>20</v>
      </c>
      <c r="D18" s="783" t="s">
        <v>1745</v>
      </c>
      <c r="E18" s="783" t="s">
        <v>1746</v>
      </c>
      <c r="F18" s="808">
        <f>'数据-取费表'!B36</f>
        <v>1.4999999999999999E-2</v>
      </c>
      <c r="G18" s="1578"/>
      <c r="H18" s="1632" t="s">
        <v>1883</v>
      </c>
      <c r="I18" s="783" t="s">
        <v>1754</v>
      </c>
      <c r="J18" s="53">
        <f ca="1">ROUND(J5*M18/1.05,1)</f>
        <v>0</v>
      </c>
      <c r="K18" s="2445" t="s">
        <v>1755</v>
      </c>
      <c r="L18" s="783" t="s">
        <v>1746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1829</v>
      </c>
      <c r="B19" s="783" t="s">
        <v>662</v>
      </c>
      <c r="C19" s="53">
        <f ca="1">SUM(C14:C18)</f>
        <v>1547</v>
      </c>
      <c r="D19" s="260" t="s">
        <v>1756</v>
      </c>
      <c r="E19" s="1964"/>
      <c r="F19" s="56"/>
      <c r="G19" s="1577"/>
      <c r="H19" s="1632" t="s">
        <v>1884</v>
      </c>
      <c r="I19" s="783" t="s">
        <v>1757</v>
      </c>
      <c r="J19" s="53">
        <f ca="1">IF(K19="按租金收入计税",ROUND(J5*M19,1),ROUND(C29*F33*0.7,1))</f>
        <v>160.9</v>
      </c>
      <c r="K19" s="810" t="s">
        <v>665</v>
      </c>
      <c r="L19" s="783" t="s">
        <v>1746</v>
      </c>
      <c r="M19" s="808">
        <f>IF(K19="按租金收入计税",'数据-取费表'!B51,'数据-取费表'!B50)</f>
        <v>1.2E-2</v>
      </c>
    </row>
    <row r="20" spans="1:33" s="2046" customFormat="1" ht="18" customHeight="1">
      <c r="A20" s="1633" t="s">
        <v>1888</v>
      </c>
      <c r="B20" s="783" t="s">
        <v>666</v>
      </c>
      <c r="C20" s="53">
        <f ca="1">ROUND(C19*F20,0)</f>
        <v>23</v>
      </c>
      <c r="D20" s="811" t="s">
        <v>1758</v>
      </c>
      <c r="E20" s="783" t="s">
        <v>1746</v>
      </c>
      <c r="F20" s="808">
        <f>'数据-取费表'!B37</f>
        <v>1.4999999999999999E-2</v>
      </c>
      <c r="G20" s="1578"/>
      <c r="H20" s="1635" t="s">
        <v>1879</v>
      </c>
      <c r="I20" s="340" t="s">
        <v>1759</v>
      </c>
      <c r="J20" s="54">
        <f ca="1">ROUND(M20*M21/10000,0)</f>
        <v>1</v>
      </c>
      <c r="K20" s="813" t="s">
        <v>1760</v>
      </c>
      <c r="L20" s="783" t="s">
        <v>1761</v>
      </c>
      <c r="M20" s="639">
        <f>'数据-取费表'!B52</f>
        <v>4</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3" t="s">
        <v>1762</v>
      </c>
      <c r="C21" s="53" t="s">
        <v>1763</v>
      </c>
      <c r="D21" s="811" t="s">
        <v>2297</v>
      </c>
      <c r="E21" s="783" t="s">
        <v>1764</v>
      </c>
      <c r="F21" s="808">
        <f>'数据-取费表'!B38</f>
        <v>1.4999999999999999E-2</v>
      </c>
      <c r="G21" s="1578"/>
      <c r="H21" s="2467"/>
      <c r="I21" s="792"/>
      <c r="J21" s="69"/>
      <c r="K21" s="815"/>
      <c r="L21" s="783" t="s">
        <v>1765</v>
      </c>
      <c r="M21" s="784">
        <f ca="1">INDIRECT("'数据-取费表'!r"&amp;$G$1)</f>
        <v>2701.16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3" t="s">
        <v>1766</v>
      </c>
      <c r="C22" s="53"/>
      <c r="D22" s="2533" t="str">
        <f>IF(F23&lt;=1,"单利计息。","复利计息。")&amp;"建造成本、管理费用、销售费用产生的利息。"</f>
        <v>复利计息。建造成本、管理费用、销售费用产生的利息。</v>
      </c>
      <c r="E22" s="1964"/>
      <c r="F22" s="56"/>
      <c r="G22" s="1577"/>
      <c r="H22" s="1633" t="s">
        <v>1888</v>
      </c>
      <c r="I22" s="783" t="s">
        <v>1767</v>
      </c>
      <c r="J22" s="53">
        <f ca="1">ROUND(J14*M22,0)</f>
        <v>29</v>
      </c>
      <c r="K22" s="2445" t="s">
        <v>1768</v>
      </c>
      <c r="L22" s="783" t="s">
        <v>1746</v>
      </c>
      <c r="M22" s="816">
        <f ca="1">INDIRECT("'数据-取费表'!Ak"&amp;$G$1)</f>
        <v>1.4999999999999999E-2</v>
      </c>
    </row>
    <row r="23" spans="1:33" s="2046" customFormat="1" ht="18" customHeight="1">
      <c r="A23" s="1632" t="s">
        <v>1830</v>
      </c>
      <c r="B23" s="783" t="s">
        <v>2534</v>
      </c>
      <c r="C23" s="53">
        <f ca="1">ROUND(IF('数据-取费表'!B22&lt;=1,(C19+C20)*F24*F23/2,(C19+C20)*(POWER((1+F24),F23/2)-1)),0)</f>
        <v>56</v>
      </c>
      <c r="D23" s="2532" t="str">
        <f>IF(F23&lt;=1,"(建造成本+管理费用)×利率×(建设周期÷2)","(建造成本+管理费用)×((1+利率)^(建设周期÷2)-1)")</f>
        <v>(建造成本+管理费用)×((1+利率)^(建设周期÷2)-1)</v>
      </c>
      <c r="E23" s="783" t="s">
        <v>1769</v>
      </c>
      <c r="F23" s="639">
        <f>'数据-取费表'!B20</f>
        <v>1.5</v>
      </c>
      <c r="G23" s="1578"/>
      <c r="H23" s="1633" t="s">
        <v>1889</v>
      </c>
      <c r="I23" s="783" t="s">
        <v>679</v>
      </c>
      <c r="J23" s="53">
        <f ca="1">ROUND(J13*M23,0)</f>
        <v>0</v>
      </c>
      <c r="K23" s="2445" t="s">
        <v>1770</v>
      </c>
      <c r="L23" s="783" t="s">
        <v>1746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3" t="s">
        <v>1771</v>
      </c>
      <c r="C24" s="53">
        <f ca="1">ROUND(IF('数据-取费表'!B22&lt;=1,F21*F24*F23/2,F21*(POWER((1+F24),F23/2)-1)),4)</f>
        <v>5.0000000000000001E-4</v>
      </c>
      <c r="D24" s="2532" t="str">
        <f>IF(F23&lt;=1,"销售费用×利率×(建设周期÷2)","销售费用×((1+利率)^(建设周期÷2)-1)")</f>
        <v>销售费用×((1+利率)^(建设周期÷2)-1)</v>
      </c>
      <c r="E24" s="783" t="s">
        <v>1772</v>
      </c>
      <c r="F24" s="818">
        <f ca="1">'数据-取费表'!B40</f>
        <v>4.7500000000000001E-2</v>
      </c>
      <c r="G24" s="1578"/>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3" t="s">
        <v>684</v>
      </c>
      <c r="C25" s="53"/>
      <c r="D25" s="260" t="s">
        <v>1774</v>
      </c>
      <c r="E25" s="1964"/>
      <c r="F25" s="56"/>
      <c r="G25" s="1577"/>
      <c r="H25" s="1811" t="s">
        <v>1775</v>
      </c>
      <c r="I25" s="2958" t="s">
        <v>2820</v>
      </c>
      <c r="J25" s="791">
        <f ca="1">J5-J16</f>
        <v>-191</v>
      </c>
      <c r="K25" s="2509" t="s">
        <v>1776</v>
      </c>
      <c r="L25" s="2510"/>
      <c r="M25" s="2511"/>
    </row>
    <row r="26" spans="1:33" ht="18" customHeight="1">
      <c r="A26" s="1632" t="s">
        <v>1830</v>
      </c>
      <c r="B26" s="783" t="s">
        <v>2437</v>
      </c>
      <c r="C26" s="53">
        <f ca="1">ROUND((C19+C20)*F26,0)</f>
        <v>157</v>
      </c>
      <c r="D26" s="811" t="s">
        <v>1777</v>
      </c>
      <c r="E26" s="794" t="s">
        <v>1778</v>
      </c>
      <c r="F26" s="793">
        <f ca="1">INDIRECT("'数据-取费表'!q"&amp;$G$1)</f>
        <v>0.1</v>
      </c>
      <c r="G26" s="1577"/>
      <c r="H26" s="2463" t="s">
        <v>1779</v>
      </c>
      <c r="I26" s="2214" t="s">
        <v>2825</v>
      </c>
      <c r="J26" s="782">
        <f ca="1">IF(J5&lt;&gt;0,ROUND(J25*(1-((1+M28)/(1+M26))^M27)/(M26-M28),0),0)</f>
        <v>0</v>
      </c>
      <c r="K26" s="813" t="s">
        <v>1780</v>
      </c>
      <c r="L26" s="783" t="s">
        <v>2418</v>
      </c>
      <c r="M26" s="793">
        <f ca="1">INDIRECT("'数据-取费表'!I"&amp;$G$1)</f>
        <v>5.5E-2</v>
      </c>
    </row>
    <row r="27" spans="1:33" ht="18" customHeight="1">
      <c r="A27" s="1632" t="s">
        <v>1831</v>
      </c>
      <c r="B27" s="783" t="s">
        <v>686</v>
      </c>
      <c r="C27" s="53">
        <f ca="1">ROUND(F21*F26,4)</f>
        <v>1.5E-3</v>
      </c>
      <c r="D27" s="811" t="s">
        <v>1781</v>
      </c>
      <c r="E27" s="805"/>
      <c r="F27" s="806"/>
      <c r="G27" s="1577"/>
      <c r="H27" s="2464"/>
      <c r="I27" s="786"/>
      <c r="J27" s="787"/>
      <c r="K27" s="820" t="s">
        <v>1782</v>
      </c>
      <c r="L27" s="783" t="s">
        <v>1783</v>
      </c>
      <c r="M27" s="821">
        <f ca="1">INDIRECT("'数据-取费表'!ag"&amp;$G$1)</f>
        <v>0</v>
      </c>
    </row>
    <row r="28" spans="1:33" s="2046" customFormat="1" ht="18" customHeight="1">
      <c r="A28" s="1634" t="s">
        <v>1840</v>
      </c>
      <c r="B28" s="783" t="s">
        <v>687</v>
      </c>
      <c r="C28" s="53">
        <f>ROUND(F28/(1+'数据-取费表'!C42),4)</f>
        <v>5.2400000000000002E-2</v>
      </c>
      <c r="D28" s="811" t="s">
        <v>2298</v>
      </c>
      <c r="E28" s="783" t="s">
        <v>1784</v>
      </c>
      <c r="F28" s="808">
        <f>'数据-取费表'!B41</f>
        <v>5.5000000000000007E-2</v>
      </c>
      <c r="G28" s="1578"/>
      <c r="H28" s="1811"/>
      <c r="I28" s="790"/>
      <c r="J28" s="791"/>
      <c r="K28" s="815"/>
      <c r="L28" s="783" t="s">
        <v>1785</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2299</v>
      </c>
      <c r="C29" s="2505">
        <f ca="1">ROUND((C19+C20+C23+C26)/(1-F21-C24-C27-C28),0)</f>
        <v>1916</v>
      </c>
      <c r="D29" s="2506"/>
      <c r="E29" s="2507"/>
      <c r="F29" s="2508"/>
      <c r="G29" s="1578"/>
      <c r="H29" s="822" t="s">
        <v>1786</v>
      </c>
      <c r="I29" s="823" t="s">
        <v>1787</v>
      </c>
      <c r="J29" s="824">
        <f ca="1">ROUND(J26/(1+F40)^F41,0)</f>
        <v>0</v>
      </c>
      <c r="K29" s="825" t="s">
        <v>1788</v>
      </c>
      <c r="L29" s="826"/>
      <c r="M29" s="827">
        <f ca="1">INDIRECT("'数据-取费表'!k"&amp;$G$1)</f>
        <v>6752.9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1">
        <f ca="1">ROUND(C31+C36+C37+C38,0)</f>
        <v>101</v>
      </c>
      <c r="D30" s="1803" t="s">
        <v>1790</v>
      </c>
      <c r="E30" s="2447"/>
      <c r="F30" s="2452"/>
      <c r="G30" s="2044"/>
      <c r="H30" s="2047"/>
      <c r="I30" s="2048"/>
      <c r="J30" s="2049"/>
      <c r="K30" s="2050"/>
      <c r="L30" s="2051"/>
      <c r="M30" s="2052"/>
    </row>
    <row r="31" spans="1:33" ht="18" customHeight="1">
      <c r="A31" s="1633" t="s">
        <v>1829</v>
      </c>
      <c r="B31" s="783" t="s">
        <v>656</v>
      </c>
      <c r="C31" s="53">
        <f ca="1">ROUND(IF(项目基本情况!B11="自然人",C5*F31,C32+C33+C34),1)</f>
        <v>66</v>
      </c>
      <c r="D31" s="1961" t="s">
        <v>1791</v>
      </c>
      <c r="E31" s="1959" t="s">
        <v>1792</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3" t="s">
        <v>1793</v>
      </c>
      <c r="C32" s="53">
        <f ca="1">ROUND(C5*F32/1.05,1)</f>
        <v>19.7</v>
      </c>
      <c r="D32" s="1959" t="s">
        <v>1794</v>
      </c>
      <c r="E32" s="783" t="s">
        <v>1795</v>
      </c>
      <c r="F32" s="808">
        <f>'数据-取费表'!B41</f>
        <v>5.5000000000000007E-2</v>
      </c>
      <c r="G32" s="2044"/>
      <c r="H32" s="2053"/>
      <c r="I32" s="2054"/>
      <c r="J32" s="2055"/>
      <c r="K32" s="2056"/>
      <c r="L32" s="2057"/>
      <c r="M32" s="2058"/>
    </row>
    <row r="33" spans="1:18" ht="18" customHeight="1">
      <c r="A33" s="1632" t="s">
        <v>1831</v>
      </c>
      <c r="B33" s="783" t="s">
        <v>1796</v>
      </c>
      <c r="C33" s="53">
        <f ca="1">IF(D33="按租金收入计税",ROUND(C5*F33,1),IF(D33="按房产原值计税",ROUND(C29*F33*0.7,1),INDIRECT("'数据-取费表'!Aj"&amp;$G$1)))</f>
        <v>45.2</v>
      </c>
      <c r="D33" s="810" t="s">
        <v>3096</v>
      </c>
      <c r="E33" s="783" t="s">
        <v>1795</v>
      </c>
      <c r="F33" s="808">
        <f>IF(D33="按租金收入计税",'数据-取费表'!B51,'数据-取费表'!B50)</f>
        <v>0.12</v>
      </c>
      <c r="G33" s="2044"/>
      <c r="H33" s="2059"/>
      <c r="I33" s="2059"/>
      <c r="J33" s="2059"/>
      <c r="K33" s="2060"/>
      <c r="L33" s="2059"/>
      <c r="M33" s="2059"/>
    </row>
    <row r="34" spans="1:18" ht="18" customHeight="1">
      <c r="A34" s="1635" t="s">
        <v>1832</v>
      </c>
      <c r="B34" s="340" t="s">
        <v>1797</v>
      </c>
      <c r="C34" s="54">
        <f ca="1">ROUND(F34*F35/10000,1)</f>
        <v>1.1000000000000001</v>
      </c>
      <c r="D34" s="813" t="s">
        <v>1798</v>
      </c>
      <c r="E34" s="783" t="s">
        <v>1799</v>
      </c>
      <c r="F34" s="639">
        <f>'数据-取费表'!B52</f>
        <v>4</v>
      </c>
      <c r="G34" s="2044"/>
      <c r="H34" s="2047"/>
      <c r="I34" s="834" t="s">
        <v>1812</v>
      </c>
      <c r="J34" s="835"/>
      <c r="K34" s="2062"/>
      <c r="L34" s="2061"/>
      <c r="M34" s="2061"/>
    </row>
    <row r="35" spans="1:18" ht="18" customHeight="1">
      <c r="A35" s="814"/>
      <c r="B35" s="792"/>
      <c r="C35" s="69"/>
      <c r="D35" s="815"/>
      <c r="E35" s="783" t="s">
        <v>1800</v>
      </c>
      <c r="F35" s="784">
        <f ca="1">INDIRECT("'数据-取费表'!r"&amp;$G$1)</f>
        <v>2701.16</v>
      </c>
      <c r="G35" s="2044"/>
      <c r="H35" s="2047"/>
      <c r="I35" s="836" t="s">
        <v>1813</v>
      </c>
      <c r="J35" s="837">
        <f ca="1">ROUND(C13*J36,0)</f>
        <v>163</v>
      </c>
      <c r="K35" s="2060"/>
      <c r="L35" s="2059"/>
      <c r="M35" s="2059"/>
    </row>
    <row r="36" spans="1:18" ht="18" customHeight="1">
      <c r="A36" s="1633" t="s">
        <v>1888</v>
      </c>
      <c r="B36" s="783" t="s">
        <v>1801</v>
      </c>
      <c r="C36" s="53">
        <f ca="1">ROUND(C29*F36,1)</f>
        <v>28.7</v>
      </c>
      <c r="D36" s="1959" t="s">
        <v>1802</v>
      </c>
      <c r="E36" s="783" t="s">
        <v>1795</v>
      </c>
      <c r="F36" s="816">
        <f ca="1">INDIRECT("'数据-取费表'!Ak"&amp;$G$1)</f>
        <v>1.4999999999999999E-2</v>
      </c>
      <c r="G36" s="2044"/>
      <c r="H36" s="2059"/>
      <c r="I36" s="838" t="s">
        <v>1814</v>
      </c>
      <c r="J36" s="839">
        <f ca="1">INDIRECT("'数据-取费表'!j"&amp;$G$1)</f>
        <v>8.5000000000000006E-2</v>
      </c>
      <c r="K36" s="2064"/>
      <c r="L36" s="2059"/>
      <c r="M36" s="2059"/>
    </row>
    <row r="37" spans="1:18" ht="18" customHeight="1">
      <c r="A37" s="1633" t="s">
        <v>1889</v>
      </c>
      <c r="B37" s="783" t="s">
        <v>679</v>
      </c>
      <c r="C37" s="53">
        <f ca="1">ROUND(C13*F37,1)</f>
        <v>2.9</v>
      </c>
      <c r="D37" s="1959" t="s">
        <v>1803</v>
      </c>
      <c r="E37" s="783" t="s">
        <v>1795</v>
      </c>
      <c r="F37" s="817">
        <f ca="1">INDIRECT("'数据-取费表'!Al"&amp;$G$1)</f>
        <v>1.5E-3</v>
      </c>
      <c r="G37" s="2044"/>
      <c r="H37" s="2059"/>
      <c r="I37" s="840" t="s">
        <v>1815</v>
      </c>
      <c r="J37" s="841"/>
      <c r="K37" s="2064"/>
      <c r="L37" s="2059"/>
      <c r="M37" s="2059"/>
    </row>
    <row r="38" spans="1:18" ht="18" customHeight="1" thickBot="1">
      <c r="A38" s="2512" t="s">
        <v>1890</v>
      </c>
      <c r="B38" s="2507" t="s">
        <v>666</v>
      </c>
      <c r="C38" s="2505">
        <f ca="1">ROUND(C5*F38,1)</f>
        <v>3.8</v>
      </c>
      <c r="D38" s="2506" t="s">
        <v>1804</v>
      </c>
      <c r="E38" s="2507" t="s">
        <v>1795</v>
      </c>
      <c r="F38" s="2503">
        <f ca="1">INDIRECT("'数据-取费表'!Am"&amp;$G$1)</f>
        <v>0.01</v>
      </c>
      <c r="G38" s="2044"/>
      <c r="H38" s="2059"/>
      <c r="I38" s="842" t="s">
        <v>1816</v>
      </c>
      <c r="J38" s="843"/>
      <c r="K38" s="2065"/>
      <c r="L38" s="2059"/>
      <c r="M38" s="2059"/>
    </row>
    <row r="39" spans="1:18" ht="24.6" customHeight="1" thickTop="1">
      <c r="A39" s="1811" t="s">
        <v>1893</v>
      </c>
      <c r="B39" s="2958" t="s">
        <v>2820</v>
      </c>
      <c r="C39" s="791">
        <f ca="1">C5-C30</f>
        <v>276</v>
      </c>
      <c r="D39" s="2509" t="s">
        <v>1805</v>
      </c>
      <c r="E39" s="2510"/>
      <c r="F39" s="2511"/>
      <c r="G39" s="2044"/>
      <c r="H39" s="2059"/>
      <c r="I39" s="836" t="s">
        <v>1817</v>
      </c>
      <c r="J39" s="844">
        <f ca="1">ROUND(J35/C39,3)</f>
        <v>0.59099999999999997</v>
      </c>
      <c r="K39" s="2065"/>
      <c r="L39" s="2059"/>
      <c r="M39" s="2059"/>
    </row>
    <row r="40" spans="1:18" ht="18" customHeight="1">
      <c r="A40" s="780" t="s">
        <v>1894</v>
      </c>
      <c r="B40" s="2214" t="s">
        <v>2300</v>
      </c>
      <c r="C40" s="782">
        <f ca="1">ROUND(C39*(1-((1+F42)/(1+F40))^F41)/(F40-F42),0)</f>
        <v>6480</v>
      </c>
      <c r="D40" s="813" t="s">
        <v>1806</v>
      </c>
      <c r="E40" s="783" t="s">
        <v>2418</v>
      </c>
      <c r="F40" s="793">
        <f ca="1">INDIRECT("'数据-取费表'!I"&amp;$G$1)</f>
        <v>5.5E-2</v>
      </c>
      <c r="G40" s="2044"/>
      <c r="H40" s="2044"/>
      <c r="I40" s="836" t="s">
        <v>1818</v>
      </c>
      <c r="J40" s="844">
        <f ca="1">1-J39</f>
        <v>0.40900000000000003</v>
      </c>
      <c r="K40" s="2065"/>
      <c r="L40" s="2044"/>
      <c r="M40" s="2044"/>
    </row>
    <row r="41" spans="1:18" ht="18" customHeight="1">
      <c r="A41" s="785"/>
      <c r="B41" s="786"/>
      <c r="C41" s="787"/>
      <c r="D41" s="820" t="s">
        <v>1807</v>
      </c>
      <c r="E41" s="783" t="s">
        <v>2958</v>
      </c>
      <c r="F41" s="821">
        <f ca="1">IF(INDIRECT("'数据-取费表'!af"&amp;$G$1)=0,INDIRECT("'数据-取费表'!ae"&amp;$G$1),INDIRECT("'数据-取费表'!af"&amp;$G$1))</f>
        <v>36.869999999999997</v>
      </c>
      <c r="G41" s="2044"/>
      <c r="H41" s="1970"/>
      <c r="I41" s="842" t="s">
        <v>1819</v>
      </c>
      <c r="J41" s="845"/>
      <c r="K41" s="2064"/>
      <c r="L41" s="1970"/>
      <c r="M41" s="1970"/>
    </row>
    <row r="42" spans="1:18" ht="18" customHeight="1">
      <c r="A42" s="789"/>
      <c r="B42" s="790"/>
      <c r="C42" s="791"/>
      <c r="D42" s="815"/>
      <c r="E42" s="783" t="s">
        <v>1808</v>
      </c>
      <c r="F42" s="793">
        <f ca="1">INDIRECT("'数据-取费表'!v"&amp;$G$1)</f>
        <v>0.03</v>
      </c>
      <c r="G42" s="2044"/>
      <c r="H42" s="1970"/>
      <c r="I42" s="846" t="s">
        <v>1820</v>
      </c>
      <c r="J42" s="844">
        <f ca="1">ROUND(C13/C40,3)</f>
        <v>0.29599999999999999</v>
      </c>
      <c r="K42" s="2064"/>
      <c r="L42" s="1970"/>
      <c r="M42" s="1970"/>
    </row>
    <row r="43" spans="1:18" ht="18" customHeight="1" thickBot="1">
      <c r="A43" s="822" t="s">
        <v>1786</v>
      </c>
      <c r="B43" s="823" t="s">
        <v>1809</v>
      </c>
      <c r="C43" s="824">
        <f ca="1">ROUND(C40*10000/F43,0)</f>
        <v>9596</v>
      </c>
      <c r="D43" s="825" t="s">
        <v>1810</v>
      </c>
      <c r="E43" s="826" t="s">
        <v>1811</v>
      </c>
      <c r="F43" s="827">
        <f ca="1">INDIRECT("'数据-取费表'!k"&amp;$G$1)</f>
        <v>6752.9</v>
      </c>
      <c r="G43" s="2044"/>
      <c r="H43" s="1970"/>
      <c r="I43" s="846" t="s">
        <v>1821</v>
      </c>
      <c r="J43" s="847">
        <f ca="1">1-J42</f>
        <v>0.70399999999999996</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5">
        <f ca="1">C67-C40</f>
        <v>-6997</v>
      </c>
      <c r="D46" s="2067"/>
      <c r="E46" s="2067"/>
      <c r="F46" s="2067"/>
      <c r="I46" s="2339" t="s">
        <v>2342</v>
      </c>
      <c r="J46" s="2340"/>
      <c r="K46" s="2341"/>
      <c r="L46" s="3104">
        <f>IF(OR(M47="住宅",D1="土地（套用方法）"),0,IF(L48&gt;J51,L60,J60))</f>
        <v>0</v>
      </c>
      <c r="O46" s="2355" t="s">
        <v>2409</v>
      </c>
      <c r="P46" s="1577"/>
      <c r="Q46" s="1588"/>
      <c r="R46" s="1577"/>
    </row>
    <row r="47" spans="1:18" s="2041" customFormat="1" ht="18" customHeight="1" thickBot="1">
      <c r="A47" s="2333">
        <v>1</v>
      </c>
      <c r="B47" s="2334" t="s">
        <v>635</v>
      </c>
      <c r="C47" s="2535">
        <f ca="1">C48+C52+C54</f>
        <v>0</v>
      </c>
      <c r="D47" s="2067"/>
      <c r="E47" s="2067"/>
      <c r="F47" s="2067"/>
      <c r="I47" s="3094" t="s">
        <v>2343</v>
      </c>
      <c r="J47" s="2342" t="s">
        <v>3097</v>
      </c>
      <c r="K47" s="3101" t="s">
        <v>2348</v>
      </c>
      <c r="L47" s="3105">
        <f ca="1">INDIRECT("'数据-取费表'!d"&amp;$G$1)</f>
        <v>40</v>
      </c>
      <c r="M47" s="1588" t="str">
        <f>IF(ISNUMBER(FIND("住宅",C1)),"住宅","非住宅")</f>
        <v>非住宅</v>
      </c>
      <c r="O47" s="2356" t="s">
        <v>2374</v>
      </c>
      <c r="P47" s="2357" t="s">
        <v>2375</v>
      </c>
      <c r="Q47" s="2358" t="s">
        <v>2376</v>
      </c>
      <c r="R47" s="2357" t="s">
        <v>2377</v>
      </c>
    </row>
    <row r="48" spans="1:18" s="2041" customFormat="1" ht="18" customHeight="1" thickBot="1">
      <c r="A48" s="2603" t="s">
        <v>2536</v>
      </c>
      <c r="B48" s="2604" t="s">
        <v>2537</v>
      </c>
      <c r="C48" s="2335">
        <f ca="1">ROUND(F48*F50*F49*(1-F51)/10000,0)</f>
        <v>0</v>
      </c>
      <c r="D48" s="2336" t="s">
        <v>636</v>
      </c>
      <c r="E48" s="2337" t="s">
        <v>2295</v>
      </c>
      <c r="F48" s="2338"/>
      <c r="G48" s="2072"/>
      <c r="I48" s="3073" t="s">
        <v>2344</v>
      </c>
      <c r="J48" s="2343" t="s">
        <v>2349</v>
      </c>
      <c r="K48" s="3102" t="s">
        <v>2350</v>
      </c>
      <c r="L48" s="1890">
        <f ca="1">INDIRECT("'数据-取费表'!f"&amp;$G$1)</f>
        <v>38.369999999999997</v>
      </c>
      <c r="O48" s="2359" t="s">
        <v>2378</v>
      </c>
      <c r="P48" s="2360" t="s">
        <v>2404</v>
      </c>
      <c r="Q48" s="2361">
        <f ca="1">C40+J29</f>
        <v>6480</v>
      </c>
      <c r="R48" s="2360" t="s">
        <v>2379</v>
      </c>
    </row>
    <row r="49" spans="1:18" s="2041" customFormat="1" ht="18" customHeight="1" thickBot="1">
      <c r="A49" s="785"/>
      <c r="B49" s="786"/>
      <c r="C49" s="787"/>
      <c r="D49" s="788"/>
      <c r="E49" s="783" t="s">
        <v>1738</v>
      </c>
      <c r="F49" s="784">
        <f ca="1">F7</f>
        <v>6752.9</v>
      </c>
      <c r="G49" s="2072"/>
      <c r="H49" s="2075"/>
      <c r="I49" s="3073" t="s">
        <v>2345</v>
      </c>
      <c r="J49" s="2344"/>
      <c r="K49" s="3103" t="s">
        <v>2351</v>
      </c>
      <c r="L49" s="2345"/>
      <c r="O49" s="2359" t="s">
        <v>2380</v>
      </c>
      <c r="P49" s="2360" t="s">
        <v>2405</v>
      </c>
      <c r="Q49" s="2361" t="str">
        <f ca="1">J60</f>
        <v>0</v>
      </c>
      <c r="R49" s="2360" t="s">
        <v>2381</v>
      </c>
    </row>
    <row r="50" spans="1:18" s="2041" customFormat="1" ht="18" customHeight="1" thickBot="1">
      <c r="A50" s="785"/>
      <c r="B50" s="786"/>
      <c r="C50" s="787"/>
      <c r="D50" s="788"/>
      <c r="E50" s="783" t="s">
        <v>1739</v>
      </c>
      <c r="F50" s="784">
        <f ca="1">F8</f>
        <v>365</v>
      </c>
      <c r="G50" s="2077"/>
      <c r="H50" s="2075"/>
      <c r="I50" s="3073" t="s">
        <v>2346</v>
      </c>
      <c r="J50" s="3098">
        <f>SUMPRODUCT((I63:I65=J47)*(J62:L62=J48)*(J63:L65))</f>
        <v>60</v>
      </c>
      <c r="K50" s="3103" t="s">
        <v>2352</v>
      </c>
      <c r="L50" s="2345"/>
      <c r="O50" s="2362" t="s">
        <v>2382</v>
      </c>
      <c r="P50" s="2360" t="s">
        <v>2406</v>
      </c>
      <c r="Q50" s="2361">
        <f ca="1">C29</f>
        <v>1916</v>
      </c>
      <c r="R50" s="2360" t="s">
        <v>2379</v>
      </c>
    </row>
    <row r="51" spans="1:18" s="2041" customFormat="1" ht="18" customHeight="1" thickBot="1">
      <c r="A51" s="785"/>
      <c r="B51" s="786"/>
      <c r="C51" s="787"/>
      <c r="D51" s="788"/>
      <c r="E51" s="783" t="s">
        <v>640</v>
      </c>
      <c r="F51" s="2332"/>
      <c r="H51" s="2075"/>
      <c r="I51" s="3095" t="s">
        <v>2347</v>
      </c>
      <c r="J51" s="3099">
        <f>IF(J49="",J50,J49+J50-YEAR('数据-取费表'!B2))</f>
        <v>60</v>
      </c>
      <c r="K51" s="3073" t="s">
        <v>2353</v>
      </c>
      <c r="L51" s="3106">
        <f ca="1">ROUND(-PV(INDIRECT("'数据-取费表'!h"&amp;$G$1),L48,(C39-C13*J36),0),0)</f>
        <v>1915</v>
      </c>
      <c r="O51" s="2362" t="s">
        <v>2383</v>
      </c>
      <c r="P51" s="2360" t="s">
        <v>2384</v>
      </c>
      <c r="Q51" s="2363" t="e">
        <f ca="1">J58</f>
        <v>#VALUE!</v>
      </c>
      <c r="R51" s="2364"/>
    </row>
    <row r="52" spans="1:18" s="2041" customFormat="1" ht="18" customHeight="1" thickBot="1">
      <c r="A52" s="780" t="s">
        <v>2535</v>
      </c>
      <c r="B52" s="2455" t="s">
        <v>2458</v>
      </c>
      <c r="C52" s="798">
        <f ca="1">ROUND(IF(F52="押一",C48/12*F11,IF(F52="押二",C48/12*2*F11,IF(F52="押三",C48/12*3*F11,C53*F11))),0)</f>
        <v>0</v>
      </c>
      <c r="D52" s="2462" t="s">
        <v>2969</v>
      </c>
      <c r="E52" s="2459" t="s">
        <v>2463</v>
      </c>
      <c r="F52" s="2582"/>
      <c r="I52" s="3096" t="s">
        <v>2420</v>
      </c>
      <c r="J52" s="2346"/>
      <c r="K52" s="3096" t="s">
        <v>2419</v>
      </c>
      <c r="L52" s="2346"/>
      <c r="O52" s="2362" t="s">
        <v>2385</v>
      </c>
      <c r="P52" s="2360" t="s">
        <v>2386</v>
      </c>
      <c r="Q52" s="2363">
        <f>J52</f>
        <v>0</v>
      </c>
      <c r="R52" s="2364"/>
    </row>
    <row r="53" spans="1:18" s="2041" customFormat="1" ht="39.75" customHeight="1" thickBot="1">
      <c r="A53" s="785"/>
      <c r="B53" s="2456" t="s">
        <v>2572</v>
      </c>
      <c r="C53" s="2460"/>
      <c r="D53" s="2462"/>
      <c r="E53" s="2459"/>
      <c r="F53" s="799"/>
      <c r="I53" s="3097" t="s">
        <v>2972</v>
      </c>
      <c r="J53" s="3100">
        <f ca="1">IF(M47="住宅",IF(D1="——",MAX(J51,L48),MAX(J51,L48-'数据-取费表'!B20)),IF(D1="——",MIN(J51,L48),MIN(J51,L48-'数据-取费表'!B20)))</f>
        <v>36.869999999999997</v>
      </c>
      <c r="K53" s="3506" t="s">
        <v>2960</v>
      </c>
      <c r="L53" s="3507"/>
      <c r="O53" s="2362" t="s">
        <v>2387</v>
      </c>
      <c r="P53" s="2360" t="s">
        <v>2388</v>
      </c>
      <c r="Q53" s="2361">
        <f ca="1">J53</f>
        <v>36.869999999999997</v>
      </c>
      <c r="R53" s="2360" t="s">
        <v>2389</v>
      </c>
    </row>
    <row r="54" spans="1:18" s="2041" customFormat="1" ht="18" customHeight="1" thickBot="1">
      <c r="A54" s="2498" t="s">
        <v>2466</v>
      </c>
      <c r="B54" s="2499" t="s">
        <v>2459</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2390</v>
      </c>
      <c r="P54" s="2360" t="s">
        <v>2407</v>
      </c>
      <c r="Q54" s="2361">
        <f ca="1">Q48+Q49</f>
        <v>6480</v>
      </c>
      <c r="R54" s="2364" t="s">
        <v>2391</v>
      </c>
    </row>
    <row r="55" spans="1:18" s="2041" customFormat="1" ht="18" customHeight="1" thickTop="1" thickBot="1">
      <c r="A55" s="796">
        <v>2</v>
      </c>
      <c r="B55" s="797" t="s">
        <v>644</v>
      </c>
      <c r="C55" s="798">
        <f ca="1">C13</f>
        <v>1916</v>
      </c>
      <c r="D55" s="794"/>
      <c r="E55" s="794"/>
      <c r="F55" s="799"/>
      <c r="I55" s="3109" t="s">
        <v>2354</v>
      </c>
      <c r="J55" s="3048" t="e">
        <f ca="1">ROUND(IF(J47="钢混",J57/J50,1-(1-2%)*(J50-J57)/J50),3)</f>
        <v>#VALUE!</v>
      </c>
      <c r="K55" s="3110" t="s">
        <v>2355</v>
      </c>
      <c r="L55" s="2347"/>
      <c r="O55" s="2365" t="s">
        <v>2410</v>
      </c>
      <c r="P55" s="1577"/>
      <c r="Q55" s="1588"/>
      <c r="R55" s="1577"/>
    </row>
    <row r="56" spans="1:18" s="2041" customFormat="1" ht="42.75" customHeight="1" thickBot="1">
      <c r="A56" s="1634"/>
      <c r="B56" s="2213" t="s">
        <v>2301</v>
      </c>
      <c r="C56" s="53">
        <f ca="1">C29</f>
        <v>1916</v>
      </c>
      <c r="D56" s="2600"/>
      <c r="E56" s="783"/>
      <c r="F56" s="808"/>
      <c r="I56" s="3111" t="s">
        <v>2356</v>
      </c>
      <c r="J56" s="3121" t="s">
        <v>1677</v>
      </c>
      <c r="K56" s="3073" t="s">
        <v>2361</v>
      </c>
      <c r="L56" s="1890" t="str">
        <f ca="1">IF(L48&lt;J51,"——",L48-J51)</f>
        <v>——</v>
      </c>
      <c r="O56" s="2356" t="s">
        <v>2374</v>
      </c>
      <c r="P56" s="2357" t="s">
        <v>2375</v>
      </c>
      <c r="Q56" s="2358" t="s">
        <v>2376</v>
      </c>
      <c r="R56" s="2357" t="s">
        <v>2377</v>
      </c>
    </row>
    <row r="57" spans="1:18" s="2041" customFormat="1" ht="28.5" customHeight="1" thickBot="1">
      <c r="A57" s="796" t="s">
        <v>1747</v>
      </c>
      <c r="B57" s="797" t="s">
        <v>651</v>
      </c>
      <c r="C57" s="798">
        <f ca="1">ROUND(C58+C63+C64+C65,0)</f>
        <v>33</v>
      </c>
      <c r="D57" s="26" t="s">
        <v>1749</v>
      </c>
      <c r="E57" s="2601"/>
      <c r="F57" s="56"/>
      <c r="I57" s="3112" t="s">
        <v>2357</v>
      </c>
      <c r="J57" s="3113" t="str">
        <f ca="1">IF(OR(M47="住宅",J51&lt;L48,J56="是"),"——",J51-L48)</f>
        <v>——</v>
      </c>
      <c r="K57" s="3073" t="s">
        <v>2362</v>
      </c>
      <c r="L57" s="1890" t="str">
        <f ca="1">IF(L48&lt;J51,"——",IF(L55="比较法",L49,IF(L55="基准地价",L50,L51)))</f>
        <v>——</v>
      </c>
      <c r="O57" s="2359" t="s">
        <v>2378</v>
      </c>
      <c r="P57" s="2360" t="s">
        <v>2408</v>
      </c>
      <c r="Q57" s="2361">
        <f ca="1">C40+J29</f>
        <v>6480</v>
      </c>
      <c r="R57" s="2360" t="s">
        <v>2379</v>
      </c>
    </row>
    <row r="58" spans="1:18" s="2041" customFormat="1" ht="28.5" customHeight="1" thickBot="1">
      <c r="A58" s="1633" t="s">
        <v>1823</v>
      </c>
      <c r="B58" s="783" t="s">
        <v>656</v>
      </c>
      <c r="C58" s="53">
        <f ca="1">ROUND(IF(项目基本情况!B11="自然人",C47*F58,C59+C60+C61),1)</f>
        <v>1.1000000000000001</v>
      </c>
      <c r="D58" s="2599" t="s">
        <v>657</v>
      </c>
      <c r="E58" s="2600" t="s">
        <v>690</v>
      </c>
      <c r="F58" s="809" t="str">
        <f ca="1">IF(项目基本情况!B11="企业","",IF(INDIRECT("'数据-取费表'!c"&amp;$G$1)="住宅",5%,IF(F48*F49*F50/12/(1+'数据-取费表'!C42)&gt;20000,12%,7%)))</f>
        <v/>
      </c>
      <c r="I58" s="3112" t="s">
        <v>2358</v>
      </c>
      <c r="J58" s="3049" t="e">
        <f ca="1">IF(J55&lt;0.4,0.4,J55)</f>
        <v>#VALUE!</v>
      </c>
      <c r="K58" s="3073" t="s">
        <v>2363</v>
      </c>
      <c r="L58" s="1890" t="e">
        <f ca="1">ROUND(POWER(1+L52,L47-L48)*(POWER(1+L52,L48)-1)/(POWER(1+L52,L47)-1),4)</f>
        <v>#DIV/0!</v>
      </c>
      <c r="O58" s="2359" t="s">
        <v>2380</v>
      </c>
      <c r="P58" s="2360" t="s">
        <v>2411</v>
      </c>
      <c r="Q58" s="2361">
        <f ca="1">L60</f>
        <v>0</v>
      </c>
      <c r="R58" s="2364" t="s">
        <v>2413</v>
      </c>
    </row>
    <row r="59" spans="1:18" s="2041" customFormat="1" ht="28.5" customHeight="1" thickBot="1">
      <c r="A59" s="1632" t="s">
        <v>1830</v>
      </c>
      <c r="B59" s="783" t="s">
        <v>660</v>
      </c>
      <c r="C59" s="53">
        <f ca="1">ROUND(C47*F59/1.05,1)</f>
        <v>0</v>
      </c>
      <c r="D59" s="2600" t="s">
        <v>1755</v>
      </c>
      <c r="E59" s="783" t="s">
        <v>1746</v>
      </c>
      <c r="F59" s="808">
        <f t="shared" ref="F59:F65" si="0">F32</f>
        <v>5.5000000000000007E-2</v>
      </c>
      <c r="I59" s="3112" t="s">
        <v>2359</v>
      </c>
      <c r="J59" s="3113"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2382</v>
      </c>
      <c r="P59" s="2360" t="s">
        <v>2412</v>
      </c>
      <c r="Q59" s="2361">
        <f>IF(L55="比较法",L49,IF(L55="基准地价",L50,0))</f>
        <v>0</v>
      </c>
      <c r="R59" s="2360" t="s">
        <v>2379</v>
      </c>
    </row>
    <row r="60" spans="1:18" s="2041" customFormat="1" ht="18" customHeight="1" thickBot="1">
      <c r="A60" s="1632" t="s">
        <v>1831</v>
      </c>
      <c r="B60" s="783" t="s">
        <v>1757</v>
      </c>
      <c r="C60" s="53">
        <f ca="1">IF(D60="按租金收入计税",ROUND(C47*F60,1),IF(D60="按房产原值计税",ROUND(C56*F60*0.7,1),INDIRECT("'数据-取费表'!Aj"&amp;$G$1)))</f>
        <v>0</v>
      </c>
      <c r="D60" s="2600" t="str">
        <f>D33</f>
        <v>按租金收入计税</v>
      </c>
      <c r="E60" s="783" t="s">
        <v>1746</v>
      </c>
      <c r="F60" s="808">
        <f t="shared" si="0"/>
        <v>0.12</v>
      </c>
      <c r="I60" s="3114" t="s">
        <v>2360</v>
      </c>
      <c r="J60" s="3115" t="str">
        <f ca="1">IF(OR(M47="住宅",J51&lt;L48,J56="是"),"0",ROUND(J59/(1+J52)^J53,0))</f>
        <v>0</v>
      </c>
      <c r="K60" s="3116" t="s">
        <v>2365</v>
      </c>
      <c r="L60" s="3115">
        <f ca="1">IF(OR(M47="住宅",L48&lt;J51),0,ROUND(L57*(L58/L59-1),0))</f>
        <v>0</v>
      </c>
      <c r="O60" s="2362" t="s">
        <v>2383</v>
      </c>
      <c r="P60" s="2360" t="s">
        <v>2392</v>
      </c>
      <c r="Q60" s="2363">
        <f>L52</f>
        <v>0</v>
      </c>
      <c r="R60" s="2364"/>
    </row>
    <row r="61" spans="1:18" s="2041" customFormat="1" ht="18" customHeight="1" thickBot="1">
      <c r="A61" s="1635" t="s">
        <v>1832</v>
      </c>
      <c r="B61" s="340" t="s">
        <v>668</v>
      </c>
      <c r="C61" s="54">
        <f ca="1">ROUND(F61*F62/10000,1)</f>
        <v>1.1000000000000001</v>
      </c>
      <c r="D61" s="813" t="s">
        <v>669</v>
      </c>
      <c r="E61" s="783" t="s">
        <v>670</v>
      </c>
      <c r="F61" s="639">
        <f t="shared" si="0"/>
        <v>4</v>
      </c>
      <c r="K61" s="2068"/>
      <c r="O61" s="2362" t="s">
        <v>2385</v>
      </c>
      <c r="P61" s="2360" t="s">
        <v>2393</v>
      </c>
      <c r="Q61" s="2361" t="e">
        <f ca="1">L58</f>
        <v>#DIV/0!</v>
      </c>
      <c r="R61" s="2364" t="s">
        <v>2394</v>
      </c>
    </row>
    <row r="62" spans="1:18" s="2041" customFormat="1" ht="15.75" thickBot="1">
      <c r="A62" s="814"/>
      <c r="B62" s="792"/>
      <c r="C62" s="69"/>
      <c r="D62" s="815"/>
      <c r="E62" s="783" t="s">
        <v>674</v>
      </c>
      <c r="F62" s="784">
        <f t="shared" ca="1" si="0"/>
        <v>2701.16</v>
      </c>
      <c r="I62" s="3117" t="s">
        <v>2366</v>
      </c>
      <c r="J62" s="3118" t="s">
        <v>2367</v>
      </c>
      <c r="K62" s="3118" t="s">
        <v>2368</v>
      </c>
      <c r="L62" s="3118" t="s">
        <v>2349</v>
      </c>
      <c r="M62" s="3119" t="s">
        <v>2937</v>
      </c>
      <c r="O62" s="2362" t="s">
        <v>2387</v>
      </c>
      <c r="P62" s="2360" t="str">
        <f>K59</f>
        <v>建设期及建筑物耐用年限下的土地年期修正系数Kn</v>
      </c>
      <c r="Q62" s="2361" t="e">
        <f ca="1">L59</f>
        <v>#DIV/0!</v>
      </c>
      <c r="R62" s="2364" t="s">
        <v>2396</v>
      </c>
    </row>
    <row r="63" spans="1:18" s="2041" customFormat="1" ht="15.75" thickBot="1">
      <c r="A63" s="1633" t="s">
        <v>1888</v>
      </c>
      <c r="B63" s="783" t="s">
        <v>676</v>
      </c>
      <c r="C63" s="53">
        <f ca="1">ROUND(C56*F63,1)</f>
        <v>28.7</v>
      </c>
      <c r="D63" s="2600" t="s">
        <v>1802</v>
      </c>
      <c r="E63" s="783" t="s">
        <v>1746</v>
      </c>
      <c r="F63" s="816">
        <f t="shared" ca="1" si="0"/>
        <v>1.4999999999999999E-2</v>
      </c>
      <c r="I63" s="3117" t="s">
        <v>2369</v>
      </c>
      <c r="J63" s="3118">
        <v>70</v>
      </c>
      <c r="K63" s="3118">
        <v>50</v>
      </c>
      <c r="L63" s="3118">
        <v>80</v>
      </c>
      <c r="M63" s="3120">
        <v>0.02</v>
      </c>
      <c r="O63" s="2359" t="s">
        <v>2390</v>
      </c>
      <c r="P63" s="2360" t="s">
        <v>2407</v>
      </c>
      <c r="Q63" s="2361">
        <f ca="1">Q57+Q58</f>
        <v>6480</v>
      </c>
      <c r="R63" s="2364" t="s">
        <v>2391</v>
      </c>
    </row>
    <row r="64" spans="1:18" s="2041" customFormat="1" ht="16.5" thickBot="1">
      <c r="A64" s="1633" t="s">
        <v>1889</v>
      </c>
      <c r="B64" s="783" t="s">
        <v>679</v>
      </c>
      <c r="C64" s="53">
        <f ca="1">ROUND(C55*F64,1)</f>
        <v>2.9</v>
      </c>
      <c r="D64" s="2600" t="s">
        <v>680</v>
      </c>
      <c r="E64" s="783" t="s">
        <v>1746</v>
      </c>
      <c r="F64" s="817">
        <f t="shared" ca="1" si="0"/>
        <v>1.5E-3</v>
      </c>
      <c r="I64" s="3117" t="s">
        <v>2370</v>
      </c>
      <c r="J64" s="3118">
        <v>50</v>
      </c>
      <c r="K64" s="3118">
        <v>35</v>
      </c>
      <c r="L64" s="3118">
        <v>60</v>
      </c>
      <c r="M64" s="845">
        <v>0</v>
      </c>
      <c r="O64" s="2365" t="s">
        <v>2414</v>
      </c>
      <c r="P64" s="1577"/>
      <c r="Q64" s="1588"/>
      <c r="R64" s="1577"/>
    </row>
    <row r="65" spans="1:18" s="2041" customFormat="1" ht="15.75" thickBot="1">
      <c r="A65" s="1633" t="s">
        <v>1890</v>
      </c>
      <c r="B65" s="783" t="s">
        <v>666</v>
      </c>
      <c r="C65" s="53">
        <f ca="1">ROUND(C47*F65,1)</f>
        <v>0</v>
      </c>
      <c r="D65" s="2600" t="s">
        <v>683</v>
      </c>
      <c r="E65" s="783" t="s">
        <v>1746</v>
      </c>
      <c r="F65" s="793">
        <f t="shared" ca="1" si="0"/>
        <v>0.01</v>
      </c>
      <c r="I65" s="3117" t="s">
        <v>2371</v>
      </c>
      <c r="J65" s="3118">
        <v>40</v>
      </c>
      <c r="K65" s="3118">
        <v>30</v>
      </c>
      <c r="L65" s="3118">
        <v>50</v>
      </c>
      <c r="M65" s="3120">
        <v>0.02</v>
      </c>
      <c r="O65" s="2356" t="s">
        <v>2374</v>
      </c>
      <c r="P65" s="2357" t="s">
        <v>2375</v>
      </c>
      <c r="Q65" s="2358" t="s">
        <v>2376</v>
      </c>
      <c r="R65" s="2357" t="s">
        <v>2377</v>
      </c>
    </row>
    <row r="66" spans="1:18" s="2041" customFormat="1" ht="24.75" thickBot="1">
      <c r="A66" s="796" t="s">
        <v>1775</v>
      </c>
      <c r="B66" s="2959" t="s">
        <v>2820</v>
      </c>
      <c r="C66" s="798">
        <f ca="1">C47-C57</f>
        <v>-33</v>
      </c>
      <c r="D66" s="2599" t="s">
        <v>700</v>
      </c>
      <c r="E66" s="2598"/>
      <c r="F66" s="819"/>
      <c r="K66" s="2068"/>
      <c r="O66" s="2359" t="s">
        <v>2378</v>
      </c>
      <c r="P66" s="2360" t="s">
        <v>2408</v>
      </c>
      <c r="Q66" s="2361">
        <f ca="1">C40+J29</f>
        <v>6480</v>
      </c>
      <c r="R66" s="2360" t="s">
        <v>2379</v>
      </c>
    </row>
    <row r="67" spans="1:18" s="2041" customFormat="1" ht="20.25" thickBot="1">
      <c r="A67" s="780" t="s">
        <v>1779</v>
      </c>
      <c r="B67" s="2214" t="s">
        <v>2300</v>
      </c>
      <c r="C67" s="782">
        <f ca="1">ROUND(C66*(1-((1+F69)/(1+F67))^F68)/(F67-F69),0)</f>
        <v>-517</v>
      </c>
      <c r="D67" s="813" t="s">
        <v>704</v>
      </c>
      <c r="E67" s="783" t="s">
        <v>705</v>
      </c>
      <c r="F67" s="793">
        <f ca="1">F40</f>
        <v>5.5E-2</v>
      </c>
      <c r="K67" s="2068"/>
      <c r="O67" s="2359" t="s">
        <v>2380</v>
      </c>
      <c r="P67" s="2360" t="s">
        <v>2411</v>
      </c>
      <c r="Q67" s="2361">
        <f ca="1">L60</f>
        <v>0</v>
      </c>
      <c r="R67" s="2364" t="s">
        <v>2413</v>
      </c>
    </row>
    <row r="68" spans="1:18" ht="21.75" thickBot="1">
      <c r="A68" s="785"/>
      <c r="B68" s="786"/>
      <c r="C68" s="787"/>
      <c r="D68" s="820" t="s">
        <v>1807</v>
      </c>
      <c r="E68" s="783" t="s">
        <v>1783</v>
      </c>
      <c r="F68" s="821">
        <f ca="1">F41</f>
        <v>36.869999999999997</v>
      </c>
      <c r="O68" s="2362" t="s">
        <v>2382</v>
      </c>
      <c r="P68" s="2360" t="s">
        <v>2412</v>
      </c>
      <c r="Q68" s="2366">
        <f ca="1">L51</f>
        <v>1915</v>
      </c>
      <c r="R68" s="2367" t="s">
        <v>2415</v>
      </c>
    </row>
    <row r="69" spans="1:18" ht="20.25" thickBot="1">
      <c r="A69" s="789"/>
      <c r="B69" s="790"/>
      <c r="C69" s="791"/>
      <c r="D69" s="815"/>
      <c r="E69" s="783" t="s">
        <v>710</v>
      </c>
      <c r="F69" s="2332"/>
      <c r="O69" s="2362" t="s">
        <v>2383</v>
      </c>
      <c r="P69" s="2368" t="s">
        <v>2397</v>
      </c>
      <c r="Q69" s="2361">
        <f ca="1">ROUND(Q70-Q71*Q72,0)</f>
        <v>113</v>
      </c>
      <c r="R69" s="2364"/>
    </row>
    <row r="70" spans="1:18" ht="15.75" thickBot="1">
      <c r="A70" s="822" t="s">
        <v>1786</v>
      </c>
      <c r="B70" s="823" t="s">
        <v>1809</v>
      </c>
      <c r="C70" s="824">
        <f ca="1">ROUND(C67*10000/F70,0)</f>
        <v>-766</v>
      </c>
      <c r="D70" s="825" t="s">
        <v>1810</v>
      </c>
      <c r="E70" s="826" t="s">
        <v>1811</v>
      </c>
      <c r="F70" s="827">
        <f ca="1">F43</f>
        <v>6752.9</v>
      </c>
      <c r="O70" s="2362" t="s">
        <v>2398</v>
      </c>
      <c r="P70" s="2368" t="s">
        <v>2399</v>
      </c>
      <c r="Q70" s="2361">
        <f ca="1">C39</f>
        <v>276</v>
      </c>
      <c r="R70" s="2360" t="s">
        <v>2379</v>
      </c>
    </row>
    <row r="71" spans="1:18" ht="15.75" thickBot="1">
      <c r="O71" s="2362" t="s">
        <v>2400</v>
      </c>
      <c r="P71" s="2368" t="s">
        <v>2401</v>
      </c>
      <c r="Q71" s="2361">
        <f ca="1">C13</f>
        <v>1916</v>
      </c>
      <c r="R71" s="2360" t="s">
        <v>2379</v>
      </c>
    </row>
    <row r="72" spans="1:18" ht="15.75" thickBot="1">
      <c r="O72" s="2362" t="s">
        <v>2402</v>
      </c>
      <c r="P72" s="2368" t="s">
        <v>2403</v>
      </c>
      <c r="Q72" s="2363">
        <f ca="1">J36</f>
        <v>8.5000000000000006E-2</v>
      </c>
      <c r="R72" s="2364"/>
    </row>
    <row r="73" spans="1:18" ht="15.75" thickBot="1">
      <c r="O73" s="2362" t="s">
        <v>2385</v>
      </c>
      <c r="P73" s="2360" t="s">
        <v>2392</v>
      </c>
      <c r="Q73" s="2363">
        <f>L52</f>
        <v>0</v>
      </c>
      <c r="R73" s="2364"/>
    </row>
    <row r="74" spans="1:18" ht="20.25" thickBot="1">
      <c r="O74" s="2362" t="s">
        <v>2387</v>
      </c>
      <c r="P74" s="2360" t="s">
        <v>2393</v>
      </c>
      <c r="Q74" s="2361" t="e">
        <f ca="1">L58</f>
        <v>#DIV/0!</v>
      </c>
      <c r="R74" s="2364" t="s">
        <v>2394</v>
      </c>
    </row>
    <row r="75" spans="1:18" ht="15.75" thickBot="1">
      <c r="O75" s="2362" t="s">
        <v>2416</v>
      </c>
      <c r="P75" s="2360" t="str">
        <f>K59</f>
        <v>建设期及建筑物耐用年限下的土地年期修正系数Kn</v>
      </c>
      <c r="Q75" s="2361" t="e">
        <f ca="1">L59</f>
        <v>#DIV/0!</v>
      </c>
      <c r="R75" s="2364" t="s">
        <v>2396</v>
      </c>
    </row>
    <row r="76" spans="1:18" ht="15.75" thickBot="1">
      <c r="O76" s="2359" t="s">
        <v>2390</v>
      </c>
      <c r="P76" s="2360" t="s">
        <v>2407</v>
      </c>
      <c r="Q76" s="2361">
        <f ca="1">Q66+Q67</f>
        <v>6480</v>
      </c>
      <c r="R76" s="236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8" t="s">
        <v>2470</v>
      </c>
      <c r="B1" s="3509"/>
      <c r="C1" s="3510"/>
      <c r="D1" s="3511">
        <f>SUM(I10,I15,I20,I21,I23)</f>
        <v>0</v>
      </c>
      <c r="E1" s="3511"/>
      <c r="F1" s="3511"/>
      <c r="G1" s="3511"/>
      <c r="H1" s="3511"/>
      <c r="I1" s="3512"/>
    </row>
    <row r="2" spans="1:9">
      <c r="A2" s="3513" t="s">
        <v>2471</v>
      </c>
      <c r="B2" s="3514" t="s">
        <v>2472</v>
      </c>
      <c r="C2" s="3514"/>
      <c r="D2" s="2468" t="s">
        <v>2473</v>
      </c>
      <c r="E2" s="2468" t="s">
        <v>2474</v>
      </c>
      <c r="F2" s="2468" t="s">
        <v>2475</v>
      </c>
      <c r="G2" s="2468" t="s">
        <v>2476</v>
      </c>
      <c r="H2" s="2468" t="s">
        <v>2477</v>
      </c>
      <c r="I2" s="2469" t="s">
        <v>2478</v>
      </c>
    </row>
    <row r="3" spans="1:9">
      <c r="A3" s="3513"/>
      <c r="B3" s="3514" t="s">
        <v>2479</v>
      </c>
      <c r="C3" s="3514"/>
      <c r="D3" s="2470"/>
      <c r="E3" s="2468"/>
      <c r="F3" s="2471"/>
      <c r="G3" s="2471"/>
      <c r="H3" s="2472"/>
      <c r="I3" s="2473">
        <f>ROUND(D3*E3*F3*G3*H3/10000,0)</f>
        <v>0</v>
      </c>
    </row>
    <row r="4" spans="1:9">
      <c r="A4" s="3513"/>
      <c r="B4" s="3514" t="s">
        <v>2480</v>
      </c>
      <c r="C4" s="3514"/>
      <c r="D4" s="2470"/>
      <c r="E4" s="2468"/>
      <c r="F4" s="2471"/>
      <c r="G4" s="2471"/>
      <c r="H4" s="2472"/>
      <c r="I4" s="2473">
        <f t="shared" ref="I4:I9" si="0">ROUND(D4*E4*F4*G4*H4/10000,0)</f>
        <v>0</v>
      </c>
    </row>
    <row r="5" spans="1:9">
      <c r="A5" s="3513"/>
      <c r="B5" s="3514" t="s">
        <v>2481</v>
      </c>
      <c r="C5" s="3514"/>
      <c r="D5" s="2470"/>
      <c r="E5" s="2468"/>
      <c r="F5" s="2471"/>
      <c r="G5" s="2471"/>
      <c r="H5" s="2472"/>
      <c r="I5" s="2473">
        <f t="shared" si="0"/>
        <v>0</v>
      </c>
    </row>
    <row r="6" spans="1:9">
      <c r="A6" s="3513"/>
      <c r="B6" s="3514" t="s">
        <v>2482</v>
      </c>
      <c r="C6" s="3514"/>
      <c r="D6" s="2470"/>
      <c r="E6" s="2468"/>
      <c r="F6" s="2471"/>
      <c r="G6" s="2471"/>
      <c r="H6" s="2472"/>
      <c r="I6" s="2473">
        <f t="shared" si="0"/>
        <v>0</v>
      </c>
    </row>
    <row r="7" spans="1:9">
      <c r="A7" s="3513"/>
      <c r="B7" s="3514" t="s">
        <v>2483</v>
      </c>
      <c r="C7" s="3514"/>
      <c r="D7" s="2470"/>
      <c r="E7" s="2468"/>
      <c r="F7" s="2471"/>
      <c r="G7" s="2471"/>
      <c r="H7" s="2472"/>
      <c r="I7" s="2473">
        <f t="shared" si="0"/>
        <v>0</v>
      </c>
    </row>
    <row r="8" spans="1:9">
      <c r="A8" s="3513"/>
      <c r="B8" s="3514" t="s">
        <v>2484</v>
      </c>
      <c r="C8" s="3514"/>
      <c r="D8" s="2470"/>
      <c r="E8" s="2468"/>
      <c r="F8" s="2471"/>
      <c r="G8" s="2471"/>
      <c r="H8" s="2472"/>
      <c r="I8" s="2473">
        <f t="shared" si="0"/>
        <v>0</v>
      </c>
    </row>
    <row r="9" spans="1:9">
      <c r="A9" s="3513"/>
      <c r="B9" s="3514" t="s">
        <v>2485</v>
      </c>
      <c r="C9" s="3514"/>
      <c r="D9" s="2470"/>
      <c r="E9" s="2468"/>
      <c r="F9" s="2471"/>
      <c r="G9" s="2471"/>
      <c r="H9" s="2472"/>
      <c r="I9" s="2473">
        <f t="shared" si="0"/>
        <v>0</v>
      </c>
    </row>
    <row r="10" spans="1:9">
      <c r="A10" s="3513"/>
      <c r="B10" s="3515" t="s">
        <v>2486</v>
      </c>
      <c r="C10" s="3515"/>
      <c r="D10" s="2474">
        <v>527</v>
      </c>
      <c r="E10" s="2474" t="e">
        <f>ROUND(D1*10000/D10/H9,0)</f>
        <v>#DIV/0!</v>
      </c>
      <c r="F10" s="2475"/>
      <c r="G10" s="2475"/>
      <c r="H10" s="2476"/>
      <c r="I10" s="2477">
        <f>SUM(I3:I9)</f>
        <v>0</v>
      </c>
    </row>
    <row r="11" spans="1:9" ht="14.25">
      <c r="A11" s="3513" t="s">
        <v>2487</v>
      </c>
      <c r="B11" s="3514" t="s">
        <v>2488</v>
      </c>
      <c r="C11" s="3514"/>
      <c r="D11" s="2470" t="s">
        <v>2489</v>
      </c>
      <c r="E11" s="2470" t="s">
        <v>2490</v>
      </c>
      <c r="F11" s="2471" t="s">
        <v>2491</v>
      </c>
      <c r="G11" s="2471" t="s">
        <v>2492</v>
      </c>
      <c r="H11" s="2478" t="s">
        <v>2493</v>
      </c>
      <c r="I11" s="2469" t="s">
        <v>2494</v>
      </c>
    </row>
    <row r="12" spans="1:9">
      <c r="A12" s="3513"/>
      <c r="B12" s="3514" t="s">
        <v>2495</v>
      </c>
      <c r="C12" s="3514"/>
      <c r="D12" s="2470"/>
      <c r="E12" s="2470"/>
      <c r="F12" s="2471"/>
      <c r="G12" s="2472"/>
      <c r="H12" s="2479"/>
      <c r="I12" s="2469">
        <f>ROUND(D12*E12*F12*G12/10000,0)</f>
        <v>0</v>
      </c>
    </row>
    <row r="13" spans="1:9">
      <c r="A13" s="3513"/>
      <c r="B13" s="3514" t="s">
        <v>2496</v>
      </c>
      <c r="C13" s="3514"/>
      <c r="D13" s="2470"/>
      <c r="E13" s="2470"/>
      <c r="F13" s="2471"/>
      <c r="G13" s="2472"/>
      <c r="H13" s="2479"/>
      <c r="I13" s="2469">
        <f>ROUND(D13*E13*F13*G13/10000,0)</f>
        <v>0</v>
      </c>
    </row>
    <row r="14" spans="1:9">
      <c r="A14" s="3513"/>
      <c r="B14" s="3514" t="s">
        <v>2497</v>
      </c>
      <c r="C14" s="3514"/>
      <c r="D14" s="2470"/>
      <c r="E14" s="2470"/>
      <c r="F14" s="2471"/>
      <c r="G14" s="2472"/>
      <c r="H14" s="2479"/>
      <c r="I14" s="2469">
        <f>ROUND(D14*E14*F14*G14/10000,0)</f>
        <v>0</v>
      </c>
    </row>
    <row r="15" spans="1:9">
      <c r="A15" s="3513"/>
      <c r="B15" s="3515" t="s">
        <v>2486</v>
      </c>
      <c r="C15" s="3515"/>
      <c r="D15" s="2474"/>
      <c r="E15" s="2474">
        <f>SUM(E12:E14)</f>
        <v>0</v>
      </c>
      <c r="F15" s="2475"/>
      <c r="G15" s="2472"/>
      <c r="H15" s="2479"/>
      <c r="I15" s="2480">
        <f>SUM(I12:I14)</f>
        <v>0</v>
      </c>
    </row>
    <row r="16" spans="1:9" ht="24">
      <c r="A16" s="3513" t="s">
        <v>2498</v>
      </c>
      <c r="B16" s="3514" t="s">
        <v>2499</v>
      </c>
      <c r="C16" s="3514"/>
      <c r="D16" s="2470" t="s">
        <v>2500</v>
      </c>
      <c r="E16" s="2481" t="s">
        <v>2501</v>
      </c>
      <c r="F16" s="2471" t="s">
        <v>2502</v>
      </c>
      <c r="G16" s="2472" t="s">
        <v>2492</v>
      </c>
      <c r="H16" s="2478" t="s">
        <v>2493</v>
      </c>
      <c r="I16" s="2469" t="s">
        <v>2494</v>
      </c>
    </row>
    <row r="17" spans="1:9" ht="14.25">
      <c r="A17" s="3513"/>
      <c r="B17" s="3514" t="s">
        <v>2503</v>
      </c>
      <c r="C17" s="3514"/>
      <c r="D17" s="2470"/>
      <c r="E17" s="2470"/>
      <c r="F17" s="2471"/>
      <c r="G17" s="2472"/>
      <c r="H17" s="2482"/>
      <c r="I17" s="2483">
        <f>ROUND(D17*E17*F17*G17/10000,0)</f>
        <v>0</v>
      </c>
    </row>
    <row r="18" spans="1:9" ht="14.25">
      <c r="A18" s="3513"/>
      <c r="B18" s="3514" t="s">
        <v>2504</v>
      </c>
      <c r="C18" s="3514"/>
      <c r="D18" s="2470"/>
      <c r="E18" s="2470"/>
      <c r="F18" s="2471"/>
      <c r="G18" s="2472"/>
      <c r="H18" s="2482"/>
      <c r="I18" s="2483">
        <f>ROUND(D18*E18*F18*G18/10000,0)</f>
        <v>0</v>
      </c>
    </row>
    <row r="19" spans="1:9" ht="14.25">
      <c r="A19" s="3513"/>
      <c r="B19" s="3514" t="s">
        <v>2505</v>
      </c>
      <c r="C19" s="3514"/>
      <c r="D19" s="2470"/>
      <c r="E19" s="2470"/>
      <c r="F19" s="2471"/>
      <c r="G19" s="2472"/>
      <c r="H19" s="2482"/>
      <c r="I19" s="2483">
        <f>ROUND(D19*E19*F19*G19/10000,0)</f>
        <v>0</v>
      </c>
    </row>
    <row r="20" spans="1:9">
      <c r="A20" s="3513"/>
      <c r="B20" s="3515" t="s">
        <v>2486</v>
      </c>
      <c r="C20" s="3515"/>
      <c r="D20" s="2474">
        <f>SUM(D17:D19)</f>
        <v>0</v>
      </c>
      <c r="E20" s="2474"/>
      <c r="F20" s="2475"/>
      <c r="G20" s="2472"/>
      <c r="H20" s="2479"/>
      <c r="I20" s="2480">
        <f>SUM(I17:I19)</f>
        <v>0</v>
      </c>
    </row>
    <row r="21" spans="1:9">
      <c r="A21" s="3513" t="s">
        <v>2506</v>
      </c>
      <c r="B21" s="3517"/>
      <c r="C21" s="3517"/>
      <c r="D21" s="3517"/>
      <c r="E21" s="3517"/>
      <c r="F21" s="3517"/>
      <c r="G21" s="3517"/>
      <c r="H21" s="2484">
        <v>0.1</v>
      </c>
      <c r="I21" s="2477">
        <f>ROUND(I10*H21,0)</f>
        <v>0</v>
      </c>
    </row>
    <row r="22" spans="1:9" ht="14.25">
      <c r="A22" s="3518" t="s">
        <v>2507</v>
      </c>
      <c r="B22" s="3519"/>
      <c r="C22" s="3520"/>
      <c r="D22" s="2485" t="s">
        <v>2508</v>
      </c>
      <c r="E22" s="2485" t="s">
        <v>2509</v>
      </c>
      <c r="F22" s="2486" t="s">
        <v>2510</v>
      </c>
      <c r="G22" s="2486" t="s">
        <v>2511</v>
      </c>
      <c r="H22" s="2478" t="s">
        <v>2512</v>
      </c>
      <c r="I22" s="2469" t="s">
        <v>2513</v>
      </c>
    </row>
    <row r="23" spans="1:9" ht="14.25" thickBot="1">
      <c r="A23" s="3521"/>
      <c r="B23" s="3522"/>
      <c r="C23" s="3523"/>
      <c r="D23" s="2487"/>
      <c r="E23" s="2487"/>
      <c r="F23" s="2487"/>
      <c r="G23" s="2488"/>
      <c r="H23" s="2489"/>
      <c r="I23" s="2490">
        <f>ROUND(E23*D23*F23*(1-G23)/10000,0)</f>
        <v>0</v>
      </c>
    </row>
    <row r="26" spans="1:9">
      <c r="A26" s="2491" t="s">
        <v>2514</v>
      </c>
      <c r="B26" s="2491"/>
      <c r="C26" s="2491"/>
      <c r="D26" s="2491"/>
      <c r="E26" s="3524">
        <f>C27-C30-C31-C32</f>
        <v>0</v>
      </c>
      <c r="F26" s="3524"/>
      <c r="G26" s="3524"/>
      <c r="H26" s="2991" t="s">
        <v>2841</v>
      </c>
    </row>
    <row r="27" spans="1:9">
      <c r="A27" s="2492">
        <v>1</v>
      </c>
      <c r="B27" s="2493" t="s">
        <v>2515</v>
      </c>
      <c r="C27" s="2493"/>
      <c r="D27" s="2493"/>
      <c r="E27" s="3525"/>
      <c r="F27" s="3525"/>
      <c r="G27" s="3525"/>
    </row>
    <row r="28" spans="1:9">
      <c r="A28" s="2494" t="s">
        <v>2516</v>
      </c>
      <c r="B28" s="2493" t="s">
        <v>2517</v>
      </c>
      <c r="C28" s="2493"/>
      <c r="D28" s="2493"/>
      <c r="E28" s="3525"/>
      <c r="F28" s="3525"/>
      <c r="G28" s="3525"/>
    </row>
    <row r="29" spans="1:9">
      <c r="A29" s="2494" t="s">
        <v>2518</v>
      </c>
      <c r="B29" s="2493" t="s">
        <v>2459</v>
      </c>
      <c r="C29" s="2493"/>
      <c r="D29" s="2493"/>
      <c r="E29" s="2493" t="s">
        <v>2519</v>
      </c>
      <c r="F29" s="2493"/>
      <c r="G29" s="2493"/>
    </row>
    <row r="30" spans="1:9">
      <c r="A30" s="2492">
        <v>2</v>
      </c>
      <c r="B30" s="2493" t="s">
        <v>2520</v>
      </c>
      <c r="C30" s="2493">
        <f>C27*D30</f>
        <v>0</v>
      </c>
      <c r="D30" s="2495">
        <v>0.2</v>
      </c>
      <c r="E30" s="2493" t="s">
        <v>2521</v>
      </c>
      <c r="F30" s="2493"/>
      <c r="G30" s="2493"/>
    </row>
    <row r="31" spans="1:9">
      <c r="A31" s="2492">
        <v>3</v>
      </c>
      <c r="B31" s="2493" t="s">
        <v>2522</v>
      </c>
      <c r="C31" s="2493">
        <f>C25*D31</f>
        <v>0</v>
      </c>
      <c r="D31" s="2495">
        <v>0.15</v>
      </c>
      <c r="E31" s="2493" t="s">
        <v>2523</v>
      </c>
      <c r="F31" s="2493"/>
      <c r="G31" s="2493"/>
    </row>
    <row r="32" spans="1:9">
      <c r="A32" s="2492">
        <v>4</v>
      </c>
      <c r="B32" s="2493" t="s">
        <v>2524</v>
      </c>
      <c r="C32" s="2493">
        <f>C27*D32</f>
        <v>0</v>
      </c>
      <c r="D32" s="2495">
        <v>0.05</v>
      </c>
      <c r="E32" s="3516"/>
      <c r="F32" s="3516"/>
      <c r="G32" s="3516"/>
    </row>
    <row r="33" spans="1:7" hidden="1">
      <c r="A33" s="3526" t="s">
        <v>2525</v>
      </c>
      <c r="B33" s="3527"/>
      <c r="C33" s="3527"/>
      <c r="D33" s="3528"/>
      <c r="E33" s="3524"/>
      <c r="F33" s="3524"/>
      <c r="G33" s="3524"/>
    </row>
    <row r="34" spans="1:7" hidden="1">
      <c r="A34" s="2496">
        <v>1</v>
      </c>
      <c r="B34" s="2493" t="s">
        <v>2526</v>
      </c>
      <c r="C34" s="2493"/>
      <c r="D34" s="2493"/>
      <c r="E34" s="3525"/>
      <c r="F34" s="3525"/>
      <c r="G34" s="3525"/>
    </row>
    <row r="35" spans="1:7" hidden="1">
      <c r="A35" s="2496">
        <v>2</v>
      </c>
      <c r="B35" s="2493" t="s">
        <v>2527</v>
      </c>
      <c r="C35" s="2493"/>
      <c r="D35" s="2493"/>
      <c r="E35" s="3525"/>
      <c r="F35" s="3525"/>
      <c r="G35" s="3525"/>
    </row>
    <row r="36" spans="1:7" hidden="1">
      <c r="A36" s="2496">
        <v>3</v>
      </c>
      <c r="B36" s="2493" t="s">
        <v>2528</v>
      </c>
      <c r="C36" s="2493"/>
      <c r="D36" s="2493"/>
      <c r="E36" s="3525"/>
      <c r="F36" s="3525"/>
      <c r="G36" s="3525"/>
    </row>
    <row r="37" spans="1:7" hidden="1">
      <c r="A37" s="2496">
        <v>4</v>
      </c>
      <c r="B37" s="2493" t="s">
        <v>2529</v>
      </c>
      <c r="C37" s="2493"/>
      <c r="D37" s="2493"/>
      <c r="E37" s="3525"/>
      <c r="F37" s="3525"/>
      <c r="G37" s="3525"/>
    </row>
    <row r="38" spans="1:7" hidden="1">
      <c r="A38" s="3526" t="s">
        <v>2530</v>
      </c>
      <c r="B38" s="3527"/>
      <c r="C38" s="3527"/>
      <c r="D38" s="3528"/>
      <c r="E38" s="3524"/>
      <c r="F38" s="3524"/>
      <c r="G38" s="35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4" t="s">
        <v>1684</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2439</v>
      </c>
      <c r="B8" s="2433" t="s">
        <v>2441</v>
      </c>
      <c r="C8" s="2434"/>
      <c r="D8" s="748"/>
      <c r="E8" s="749"/>
      <c r="F8" s="749"/>
      <c r="G8" s="750"/>
    </row>
    <row r="9" spans="1:25" s="2165" customFormat="1" ht="13.5" customHeight="1">
      <c r="A9" s="2430" t="s">
        <v>2440</v>
      </c>
      <c r="B9" s="2433" t="s">
        <v>2442</v>
      </c>
      <c r="C9" s="2434"/>
      <c r="D9" s="748"/>
      <c r="E9" s="749"/>
      <c r="F9" s="749"/>
      <c r="G9" s="750"/>
    </row>
    <row r="10" spans="1:25" s="2165" customFormat="1" ht="36">
      <c r="A10" s="2430">
        <v>2</v>
      </c>
      <c r="B10" s="747" t="s">
        <v>613</v>
      </c>
      <c r="C10" s="748">
        <f>C11+C14+C15</f>
        <v>0</v>
      </c>
      <c r="D10" s="759">
        <f>'数据-汇总表'!E3</f>
        <v>67528.97</v>
      </c>
      <c r="E10" s="748">
        <f>'数据-取费表'!B31</f>
        <v>200</v>
      </c>
      <c r="F10" s="760"/>
      <c r="G10" s="758" t="s">
        <v>614</v>
      </c>
    </row>
    <row r="11" spans="1:25" s="2165" customFormat="1" ht="13.5" customHeight="1">
      <c r="A11" s="2430" t="s">
        <v>2439</v>
      </c>
      <c r="B11" s="751" t="s">
        <v>610</v>
      </c>
      <c r="C11" s="752">
        <f>'数据-取费表'!B29</f>
        <v>0</v>
      </c>
      <c r="D11" s="753"/>
      <c r="E11" s="752"/>
      <c r="F11" s="754"/>
      <c r="G11" s="2439" t="s">
        <v>2450</v>
      </c>
    </row>
    <row r="12" spans="1:25" s="2165" customFormat="1" ht="13.5" customHeight="1">
      <c r="A12" s="2437" t="s">
        <v>2447</v>
      </c>
      <c r="B12" s="755" t="s">
        <v>611</v>
      </c>
      <c r="C12" s="756">
        <f>ROUND(D12*E12/10000,0)</f>
        <v>243</v>
      </c>
      <c r="D12" s="757">
        <f>'数据-汇总表'!E5</f>
        <v>60776.07</v>
      </c>
      <c r="E12" s="756">
        <f>'数据-取费表'!B27</f>
        <v>40</v>
      </c>
      <c r="F12" s="754"/>
      <c r="G12" s="758"/>
    </row>
    <row r="13" spans="1:25" s="2165" customFormat="1" ht="13.5" customHeight="1">
      <c r="A13" s="2437" t="s">
        <v>2446</v>
      </c>
      <c r="B13" s="755" t="s">
        <v>612</v>
      </c>
      <c r="C13" s="756">
        <f>ROUND(D13*E13/10000,0)</f>
        <v>27</v>
      </c>
      <c r="D13" s="757">
        <f>'数据-汇总表'!E6</f>
        <v>6752.9000000000015</v>
      </c>
      <c r="E13" s="756">
        <f>'数据-取费表'!B28</f>
        <v>40</v>
      </c>
      <c r="F13" s="754"/>
      <c r="G13" s="758"/>
    </row>
    <row r="14" spans="1:25" s="2165" customFormat="1" ht="13.5" customHeight="1">
      <c r="A14" s="2430" t="s">
        <v>2440</v>
      </c>
      <c r="B14" s="2436" t="s">
        <v>2443</v>
      </c>
      <c r="C14" s="2434"/>
      <c r="D14" s="757"/>
      <c r="E14" s="756"/>
      <c r="F14" s="2435"/>
      <c r="G14" s="2438" t="s">
        <v>2448</v>
      </c>
    </row>
    <row r="15" spans="1:25" s="2165" customFormat="1" ht="13.5" customHeight="1">
      <c r="A15" s="2430" t="s">
        <v>2445</v>
      </c>
      <c r="B15" s="2436" t="s">
        <v>2444</v>
      </c>
      <c r="C15" s="2434"/>
      <c r="D15" s="757"/>
      <c r="E15" s="756"/>
      <c r="F15" s="2435"/>
      <c r="G15" s="2438" t="s">
        <v>2449</v>
      </c>
    </row>
    <row r="16" spans="1:25" s="2166" customFormat="1" ht="48">
      <c r="A16" s="2430">
        <v>3</v>
      </c>
      <c r="B16" s="747" t="s">
        <v>615</v>
      </c>
      <c r="C16" s="2434"/>
      <c r="D16" s="759"/>
      <c r="E16" s="748"/>
      <c r="F16" s="760"/>
      <c r="G16" s="758" t="s">
        <v>2451</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0.94</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4" t="s">
        <v>719</v>
      </c>
      <c r="C1" s="2585" t="s">
        <v>720</v>
      </c>
      <c r="D1" s="2586" t="s">
        <v>922</v>
      </c>
      <c r="E1" s="2587"/>
      <c r="F1" s="2759" t="s">
        <v>3217</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3">
        <f>ROUND(B3*D3/10000,0)</f>
        <v>46974</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7729</v>
      </c>
      <c r="C3" s="851" t="s">
        <v>722</v>
      </c>
      <c r="D3" s="850">
        <f>SUMIF('数据-汇总表'!$C19:$C33,D1,'数据-汇总表'!$E19:$E33)</f>
        <v>60776.07</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419" t="s">
        <v>522</v>
      </c>
      <c r="D4" s="3420"/>
      <c r="E4" s="3453" t="s">
        <v>523</v>
      </c>
      <c r="F4" s="3454"/>
      <c r="G4" s="3419" t="s">
        <v>524</v>
      </c>
      <c r="H4" s="3420"/>
      <c r="I4" s="3419" t="s">
        <v>525</v>
      </c>
      <c r="J4" s="3420"/>
      <c r="K4" s="852" t="s">
        <v>526</v>
      </c>
      <c r="L4" s="2115"/>
      <c r="M4" s="2116"/>
      <c r="N4" s="2116"/>
      <c r="O4" s="2116"/>
      <c r="P4" s="3421" t="s">
        <v>527</v>
      </c>
      <c r="Q4" s="3422"/>
      <c r="R4" s="3427" t="s">
        <v>523</v>
      </c>
      <c r="S4" s="3428"/>
      <c r="T4" s="3427" t="s">
        <v>524</v>
      </c>
      <c r="U4" s="3428"/>
      <c r="V4" s="3414" t="s">
        <v>525</v>
      </c>
      <c r="W4" s="3414"/>
      <c r="X4" s="1552"/>
      <c r="Y4" s="3427" t="s">
        <v>527</v>
      </c>
      <c r="Z4" s="3428"/>
      <c r="AA4" s="3416" t="s">
        <v>523</v>
      </c>
      <c r="AB4" s="3416" t="s">
        <v>524</v>
      </c>
      <c r="AC4" s="3416" t="s">
        <v>525</v>
      </c>
    </row>
    <row r="5" spans="1:29" ht="15">
      <c r="A5" s="514"/>
      <c r="B5" s="515"/>
      <c r="C5" s="3435" t="s">
        <v>2924</v>
      </c>
      <c r="D5" s="3436"/>
      <c r="E5" s="3535" t="s">
        <v>3299</v>
      </c>
      <c r="F5" s="3456"/>
      <c r="G5" s="3533" t="s">
        <v>3279</v>
      </c>
      <c r="H5" s="3436"/>
      <c r="I5" s="3533" t="s">
        <v>3290</v>
      </c>
      <c r="J5" s="3436"/>
      <c r="K5" s="853"/>
      <c r="L5" s="2115"/>
      <c r="M5" s="2116"/>
      <c r="N5" s="2116"/>
      <c r="O5" s="2116"/>
      <c r="P5" s="3423"/>
      <c r="Q5" s="3424"/>
      <c r="R5" s="3429"/>
      <c r="S5" s="3430"/>
      <c r="T5" s="3429"/>
      <c r="U5" s="3430"/>
      <c r="V5" s="3414"/>
      <c r="W5" s="3414"/>
      <c r="X5" s="1552"/>
      <c r="Y5" s="3429"/>
      <c r="Z5" s="3430"/>
      <c r="AA5" s="3417"/>
      <c r="AB5" s="3417"/>
      <c r="AC5" s="3417"/>
    </row>
    <row r="6" spans="1:29" ht="15.75" thickBot="1">
      <c r="A6" s="516"/>
      <c r="B6" s="517"/>
      <c r="C6" s="3433" t="s">
        <v>2928</v>
      </c>
      <c r="D6" s="3434"/>
      <c r="E6" s="3534" t="s">
        <v>3300</v>
      </c>
      <c r="F6" s="3452"/>
      <c r="G6" s="3532" t="s">
        <v>3280</v>
      </c>
      <c r="H6" s="3434"/>
      <c r="I6" s="3532" t="s">
        <v>3281</v>
      </c>
      <c r="J6" s="3434"/>
      <c r="K6" s="853" t="s">
        <v>528</v>
      </c>
      <c r="L6" s="2115"/>
      <c r="M6" s="2116"/>
      <c r="N6" s="2116"/>
      <c r="O6" s="2116"/>
      <c r="P6" s="3425"/>
      <c r="Q6" s="3426"/>
      <c r="R6" s="3429"/>
      <c r="S6" s="3430"/>
      <c r="T6" s="3431"/>
      <c r="U6" s="3432"/>
      <c r="V6" s="3414"/>
      <c r="W6" s="3414"/>
      <c r="X6" s="1552"/>
      <c r="Y6" s="3431"/>
      <c r="Z6" s="3432"/>
      <c r="AA6" s="3418"/>
      <c r="AB6" s="3418"/>
      <c r="AC6" s="3418"/>
    </row>
    <row r="7" spans="1:29" s="1214" customFormat="1" ht="15.75" thickBot="1">
      <c r="A7" s="2863"/>
      <c r="B7" s="2870" t="s">
        <v>529</v>
      </c>
      <c r="C7" s="518">
        <f>'数据-取费表'!B2</f>
        <v>43656</v>
      </c>
      <c r="D7" s="519">
        <v>100</v>
      </c>
      <c r="E7" s="520">
        <v>43656</v>
      </c>
      <c r="F7" s="521">
        <f>SUMIF(58:58,YEAR(E7)&amp;"-"&amp;MONTH(E7),59:59)</f>
        <v>100</v>
      </c>
      <c r="G7" s="520">
        <v>43656</v>
      </c>
      <c r="H7" s="519">
        <f>SUMIF(58:58,YEAR(G7)&amp;"-"&amp;MONTH(G7),59:59)</f>
        <v>100</v>
      </c>
      <c r="I7" s="520">
        <v>43656</v>
      </c>
      <c r="J7" s="519">
        <f>SUMIF(58:58,YEAR(I7)&amp;"-"&amp;MONTH(I7),59:59)</f>
        <v>100</v>
      </c>
      <c r="K7" s="854"/>
      <c r="L7" s="2117"/>
      <c r="M7" s="2118"/>
      <c r="N7" s="2118"/>
      <c r="O7" s="2118"/>
      <c r="P7" s="3444" t="s">
        <v>530</v>
      </c>
      <c r="Q7" s="3446"/>
      <c r="R7" s="1553" t="s">
        <v>13</v>
      </c>
      <c r="S7" s="1554">
        <f t="shared" ref="S7:S15" si="0">F7</f>
        <v>100</v>
      </c>
      <c r="T7" s="1553" t="s">
        <v>13</v>
      </c>
      <c r="U7" s="1554">
        <f t="shared" ref="U7:U15" si="1">H7</f>
        <v>100</v>
      </c>
      <c r="V7" s="1553" t="s">
        <v>13</v>
      </c>
      <c r="W7" s="1554">
        <f t="shared" ref="W7:W15" si="2">J7</f>
        <v>100</v>
      </c>
      <c r="X7" s="1555"/>
      <c r="Y7" s="3444" t="s">
        <v>530</v>
      </c>
      <c r="Z7" s="3445"/>
      <c r="AA7" s="1556">
        <f>D7/F7</f>
        <v>1</v>
      </c>
      <c r="AB7" s="1556">
        <f>D7/H7</f>
        <v>1</v>
      </c>
      <c r="AC7" s="1556">
        <f>D7/J7</f>
        <v>1</v>
      </c>
    </row>
    <row r="8" spans="1:29" s="1214" customFormat="1" ht="15.75" thickBot="1">
      <c r="A8" s="2864"/>
      <c r="B8" s="2871" t="s">
        <v>531</v>
      </c>
      <c r="C8" s="524" t="s">
        <v>576</v>
      </c>
      <c r="D8" s="519">
        <v>100</v>
      </c>
      <c r="E8" s="855" t="s">
        <v>3223</v>
      </c>
      <c r="F8" s="521">
        <f>SUMIF(61:61,E8,62:62)-SUMIF(61:61,C8,62:62)+100</f>
        <v>100</v>
      </c>
      <c r="G8" s="524" t="s">
        <v>576</v>
      </c>
      <c r="H8" s="519">
        <f>SUMIF(61:61,G8,62:62)-SUMIF(61:61,C8,62:62)+100</f>
        <v>100</v>
      </c>
      <c r="I8" s="524" t="s">
        <v>576</v>
      </c>
      <c r="J8" s="519">
        <f>SUMIF(61:61,I8,62:62)-SUMIF(61:61,C8,62:62)+100</f>
        <v>100</v>
      </c>
      <c r="K8" s="854"/>
      <c r="L8" s="2117"/>
      <c r="M8" s="2118"/>
      <c r="N8" s="2118"/>
      <c r="O8" s="2118"/>
      <c r="P8" s="3444" t="s">
        <v>533</v>
      </c>
      <c r="Q8" s="3445"/>
      <c r="R8" s="1553" t="s">
        <v>13</v>
      </c>
      <c r="S8" s="1554">
        <f t="shared" si="0"/>
        <v>100</v>
      </c>
      <c r="T8" s="1553" t="s">
        <v>13</v>
      </c>
      <c r="U8" s="1554">
        <f t="shared" si="1"/>
        <v>100</v>
      </c>
      <c r="V8" s="1553" t="s">
        <v>13</v>
      </c>
      <c r="W8" s="1554">
        <f t="shared" si="2"/>
        <v>100</v>
      </c>
      <c r="X8" s="1555"/>
      <c r="Y8" s="3444" t="s">
        <v>533</v>
      </c>
      <c r="Z8" s="3445"/>
      <c r="AA8" s="1556">
        <f t="shared" ref="AA8:AA46" si="3">D8/F8</f>
        <v>1</v>
      </c>
      <c r="AB8" s="1556">
        <f t="shared" ref="AB8:AB46" si="4">D8/H8</f>
        <v>1</v>
      </c>
      <c r="AC8" s="1556">
        <f t="shared" ref="AC8:AC46" si="5">D8/J8</f>
        <v>1</v>
      </c>
    </row>
    <row r="9" spans="1:29" s="1214" customFormat="1" ht="15">
      <c r="A9" s="2865"/>
      <c r="B9" s="2872" t="s">
        <v>2754</v>
      </c>
      <c r="C9" s="3210" t="s">
        <v>3224</v>
      </c>
      <c r="D9" s="253">
        <v>100</v>
      </c>
      <c r="E9" s="3211" t="s">
        <v>3225</v>
      </c>
      <c r="F9" s="858">
        <f>SUMIF(63:63,E9,64:64)-SUMIF(63:63,C9,64:64)+100</f>
        <v>100</v>
      </c>
      <c r="G9" s="3211" t="s">
        <v>3225</v>
      </c>
      <c r="H9" s="253">
        <f>SUMIF(63:63,G9,64:64)-SUMIF(63:63,C9,64:64)+100</f>
        <v>100</v>
      </c>
      <c r="I9" s="3211" t="s">
        <v>3225</v>
      </c>
      <c r="J9" s="253">
        <f>SUMIF(63:63,I9,64:64)-SUMIF(63:63,C9,64:64)+100</f>
        <v>100</v>
      </c>
      <c r="K9" s="854"/>
      <c r="L9" s="2117"/>
      <c r="M9" s="2118"/>
      <c r="N9" s="2118"/>
      <c r="O9" s="2119"/>
      <c r="P9" s="3413" t="s">
        <v>535</v>
      </c>
      <c r="Q9" s="1145" t="str">
        <f t="shared" ref="Q9:Q15" si="6">B9</f>
        <v>用途</v>
      </c>
      <c r="R9" s="1553" t="s">
        <v>8</v>
      </c>
      <c r="S9" s="1554">
        <f t="shared" si="0"/>
        <v>100</v>
      </c>
      <c r="T9" s="1553" t="s">
        <v>8</v>
      </c>
      <c r="U9" s="1554">
        <f t="shared" si="1"/>
        <v>100</v>
      </c>
      <c r="V9" s="1553" t="s">
        <v>8</v>
      </c>
      <c r="W9" s="1554">
        <f t="shared" si="2"/>
        <v>100</v>
      </c>
      <c r="X9" s="1555"/>
      <c r="Y9" s="3359" t="s">
        <v>536</v>
      </c>
      <c r="Z9" s="1144" t="str">
        <f t="shared" ref="Z9:Z15" si="7">Q9</f>
        <v>用途</v>
      </c>
      <c r="AA9" s="1556">
        <f t="shared" si="3"/>
        <v>1</v>
      </c>
      <c r="AB9" s="1556">
        <f t="shared" si="4"/>
        <v>1</v>
      </c>
      <c r="AC9" s="1556">
        <f t="shared" si="5"/>
        <v>1</v>
      </c>
    </row>
    <row r="10" spans="1:29" s="1332" customFormat="1" ht="27">
      <c r="A10" s="2866"/>
      <c r="B10" s="2871" t="s">
        <v>2755</v>
      </c>
      <c r="C10" s="860" t="s">
        <v>3226</v>
      </c>
      <c r="D10" s="254">
        <v>100</v>
      </c>
      <c r="E10" s="861" t="s">
        <v>3226</v>
      </c>
      <c r="F10" s="862">
        <f>SUMIF(65:65,E10,66:66)-SUMIF(65:65,C10,66:66)+100</f>
        <v>100</v>
      </c>
      <c r="G10" s="860" t="s">
        <v>3226</v>
      </c>
      <c r="H10" s="254">
        <f>SUMIF(65:65,G10,66:66)-SUMIF(65:65,C10,66:66)+100</f>
        <v>100</v>
      </c>
      <c r="I10" s="860" t="s">
        <v>3226</v>
      </c>
      <c r="J10" s="254">
        <f>SUMIF(65:65,I10,66:66)-SUMIF(65:65,C10,66:66)+100</f>
        <v>100</v>
      </c>
      <c r="K10" s="863">
        <v>1</v>
      </c>
      <c r="L10" s="2120"/>
      <c r="M10" s="2160"/>
      <c r="N10" s="2160"/>
      <c r="O10" s="2121"/>
      <c r="P10" s="3413"/>
      <c r="Q10" s="1145" t="str">
        <f t="shared" si="6"/>
        <v>土地使用年限（年）</v>
      </c>
      <c r="R10" s="1553" t="s">
        <v>8</v>
      </c>
      <c r="S10" s="1554">
        <f t="shared" si="0"/>
        <v>100</v>
      </c>
      <c r="T10" s="1553" t="s">
        <v>8</v>
      </c>
      <c r="U10" s="1554">
        <f t="shared" si="1"/>
        <v>100</v>
      </c>
      <c r="V10" s="1553" t="s">
        <v>8</v>
      </c>
      <c r="W10" s="1554">
        <f t="shared" si="2"/>
        <v>100</v>
      </c>
      <c r="X10" s="1555"/>
      <c r="Y10" s="3359"/>
      <c r="Z10" s="1144" t="str">
        <f t="shared" si="7"/>
        <v>土地使用年限（年）</v>
      </c>
      <c r="AA10" s="1556">
        <f t="shared" si="3"/>
        <v>1</v>
      </c>
      <c r="AB10" s="1556">
        <f t="shared" si="4"/>
        <v>1</v>
      </c>
      <c r="AC10" s="1556">
        <f t="shared" si="5"/>
        <v>1</v>
      </c>
    </row>
    <row r="11" spans="1:29" ht="15.75" thickBot="1">
      <c r="A11" s="2867"/>
      <c r="B11" s="2871" t="s">
        <v>2756</v>
      </c>
      <c r="C11" s="532">
        <f>'数据-汇总表'!I4</f>
        <v>2.5</v>
      </c>
      <c r="D11" s="254">
        <v>100</v>
      </c>
      <c r="E11" s="533">
        <v>2</v>
      </c>
      <c r="F11" s="862">
        <f>LOOKUP(E11,68:68,69:69)-LOOKUP(C11,68:68,69:69)+100</f>
        <v>101</v>
      </c>
      <c r="G11" s="532">
        <v>2.2999999999999998</v>
      </c>
      <c r="H11" s="254">
        <f>LOOKUP(G11,68:68,69:69)-LOOKUP(C11,68:68,69:69)+100</f>
        <v>101</v>
      </c>
      <c r="I11" s="532">
        <v>1.66</v>
      </c>
      <c r="J11" s="254">
        <f>LOOKUP(I11,68:68,69:69)-LOOKUP(C11,68:68,69:69)+100</f>
        <v>102</v>
      </c>
      <c r="K11" s="3237">
        <v>1</v>
      </c>
      <c r="L11" s="2122"/>
      <c r="M11" s="2116"/>
      <c r="N11" s="2116"/>
      <c r="O11" s="2123"/>
      <c r="P11" s="3413"/>
      <c r="Q11" s="1145" t="str">
        <f t="shared" si="6"/>
        <v>容积率</v>
      </c>
      <c r="R11" s="1553" t="s">
        <v>11</v>
      </c>
      <c r="S11" s="1554">
        <f t="shared" si="0"/>
        <v>101</v>
      </c>
      <c r="T11" s="1553" t="s">
        <v>11</v>
      </c>
      <c r="U11" s="1554">
        <f t="shared" si="1"/>
        <v>101</v>
      </c>
      <c r="V11" s="1553" t="s">
        <v>11</v>
      </c>
      <c r="W11" s="1554">
        <f t="shared" si="2"/>
        <v>102</v>
      </c>
      <c r="X11" s="1555"/>
      <c r="Y11" s="3359"/>
      <c r="Z11" s="1144" t="str">
        <f t="shared" si="7"/>
        <v>容积率</v>
      </c>
      <c r="AA11" s="1556">
        <f t="shared" si="3"/>
        <v>0.99009900990099009</v>
      </c>
      <c r="AB11" s="1556">
        <f t="shared" si="4"/>
        <v>0.99009900990099009</v>
      </c>
      <c r="AC11" s="1556">
        <f t="shared" si="5"/>
        <v>0.98039215686274506</v>
      </c>
    </row>
    <row r="12" spans="1:29" s="1214"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13"/>
      <c r="Q12" s="1145">
        <f t="shared" si="6"/>
        <v>111</v>
      </c>
      <c r="R12" s="1553" t="s">
        <v>11</v>
      </c>
      <c r="S12" s="1554">
        <f t="shared" si="0"/>
        <v>100</v>
      </c>
      <c r="T12" s="1553" t="s">
        <v>11</v>
      </c>
      <c r="U12" s="1554">
        <f t="shared" si="1"/>
        <v>100</v>
      </c>
      <c r="V12" s="1553" t="s">
        <v>11</v>
      </c>
      <c r="W12" s="1554">
        <f t="shared" si="2"/>
        <v>100</v>
      </c>
      <c r="X12" s="1555"/>
      <c r="Y12" s="3359"/>
      <c r="Z12" s="1144">
        <f t="shared" si="7"/>
        <v>111</v>
      </c>
      <c r="AA12" s="1556">
        <f>D12/F12</f>
        <v>1</v>
      </c>
      <c r="AB12" s="1556">
        <f>D12/H12</f>
        <v>1</v>
      </c>
      <c r="AC12" s="1556">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13"/>
      <c r="Q13" s="1145">
        <f t="shared" si="6"/>
        <v>111</v>
      </c>
      <c r="R13" s="1553" t="s">
        <v>11</v>
      </c>
      <c r="S13" s="1554">
        <f t="shared" si="0"/>
        <v>100</v>
      </c>
      <c r="T13" s="1553" t="s">
        <v>11</v>
      </c>
      <c r="U13" s="1554">
        <f t="shared" si="1"/>
        <v>100</v>
      </c>
      <c r="V13" s="1553" t="s">
        <v>11</v>
      </c>
      <c r="W13" s="1554">
        <f t="shared" si="2"/>
        <v>100</v>
      </c>
      <c r="X13" s="1555"/>
      <c r="Y13" s="3359"/>
      <c r="Z13" s="1144">
        <f t="shared" si="7"/>
        <v>111</v>
      </c>
      <c r="AA13" s="1556">
        <f t="shared" si="3"/>
        <v>1</v>
      </c>
      <c r="AB13" s="1556">
        <f t="shared" si="4"/>
        <v>1</v>
      </c>
      <c r="AC13" s="1556">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13"/>
      <c r="Q14" s="1145">
        <f t="shared" si="6"/>
        <v>111</v>
      </c>
      <c r="R14" s="1553" t="s">
        <v>11</v>
      </c>
      <c r="S14" s="1554">
        <f t="shared" si="0"/>
        <v>100</v>
      </c>
      <c r="T14" s="1553" t="s">
        <v>11</v>
      </c>
      <c r="U14" s="1554">
        <f t="shared" si="1"/>
        <v>100</v>
      </c>
      <c r="V14" s="1553" t="s">
        <v>11</v>
      </c>
      <c r="W14" s="1554">
        <f t="shared" si="2"/>
        <v>100</v>
      </c>
      <c r="X14" s="1555"/>
      <c r="Y14" s="3359"/>
      <c r="Z14" s="1144">
        <f t="shared" si="7"/>
        <v>111</v>
      </c>
      <c r="AA14" s="1556">
        <f t="shared" si="3"/>
        <v>1</v>
      </c>
      <c r="AB14" s="1556">
        <f t="shared" si="4"/>
        <v>1</v>
      </c>
      <c r="AC14" s="1556">
        <f t="shared" si="5"/>
        <v>1</v>
      </c>
    </row>
    <row r="15" spans="1:29" ht="156.75">
      <c r="A15" s="2861" t="s">
        <v>2752</v>
      </c>
      <c r="B15" s="166" t="s">
        <v>295</v>
      </c>
      <c r="C15" s="866" t="str">
        <f>估价对象房地状况!C3</f>
        <v>估价对象距离南京中心区域直线距离约为47公里，周边区域尚未开发，仅有项目本身与 “孔雀城”居住项目；综合评价估价对象所处区域目前的居住社区成熟度较差。</v>
      </c>
      <c r="D15" s="548">
        <v>100</v>
      </c>
      <c r="E15" s="549"/>
      <c r="F15" s="550">
        <f>SUMIF(76:76,E16,77:77)-SUMIF(76:76,C16,77:77)+100</f>
        <v>100</v>
      </c>
      <c r="G15" s="551"/>
      <c r="H15" s="548">
        <f>SUMIF(76:76,G16,77:77)-SUMIF(76:76,C16,77:77)+100</f>
        <v>102</v>
      </c>
      <c r="I15" s="549"/>
      <c r="J15" s="548">
        <f>SUMIF(76:76,I16,77:77)-SUMIF(76:76,C16,77:77)+100</f>
        <v>100</v>
      </c>
      <c r="K15" s="867">
        <v>2</v>
      </c>
      <c r="L15" s="2124"/>
      <c r="M15" s="2116"/>
      <c r="N15" s="2116"/>
      <c r="O15" s="2123"/>
      <c r="P15" s="3447" t="s">
        <v>540</v>
      </c>
      <c r="Q15" s="1557" t="str">
        <f t="shared" si="6"/>
        <v>居住社区成熟度</v>
      </c>
      <c r="R15" s="1558" t="s">
        <v>11</v>
      </c>
      <c r="S15" s="1559">
        <f t="shared" si="0"/>
        <v>100</v>
      </c>
      <c r="T15" s="1558" t="s">
        <v>11</v>
      </c>
      <c r="U15" s="1559">
        <f t="shared" si="1"/>
        <v>102</v>
      </c>
      <c r="V15" s="1558" t="s">
        <v>11</v>
      </c>
      <c r="W15" s="1559">
        <f t="shared" si="2"/>
        <v>100</v>
      </c>
      <c r="X15" s="1552"/>
      <c r="Y15" s="3447" t="s">
        <v>540</v>
      </c>
      <c r="Z15" s="1560" t="str">
        <f t="shared" si="7"/>
        <v>居住社区成熟度</v>
      </c>
      <c r="AA15" s="1561">
        <f t="shared" si="3"/>
        <v>1</v>
      </c>
      <c r="AB15" s="1561">
        <f t="shared" si="4"/>
        <v>0.98039215686274506</v>
      </c>
      <c r="AC15" s="1561">
        <f t="shared" si="5"/>
        <v>1</v>
      </c>
    </row>
    <row r="16" spans="1:29" ht="15">
      <c r="A16" s="531"/>
      <c r="B16" s="868"/>
      <c r="C16" s="575" t="s">
        <v>3198</v>
      </c>
      <c r="D16" s="554"/>
      <c r="E16" s="575" t="s">
        <v>3198</v>
      </c>
      <c r="F16" s="556"/>
      <c r="G16" s="3236" t="s">
        <v>3199</v>
      </c>
      <c r="H16" s="558"/>
      <c r="I16" s="575" t="s">
        <v>3198</v>
      </c>
      <c r="J16" s="554"/>
      <c r="K16" s="869"/>
      <c r="L16" s="2124"/>
      <c r="M16" s="2116"/>
      <c r="N16" s="2116"/>
      <c r="O16" s="2123"/>
      <c r="P16" s="3448"/>
      <c r="Q16" s="1557"/>
      <c r="R16" s="1558"/>
      <c r="S16" s="1559"/>
      <c r="T16" s="1558"/>
      <c r="U16" s="1559"/>
      <c r="V16" s="1558"/>
      <c r="W16" s="1559"/>
      <c r="X16" s="1552"/>
      <c r="Y16" s="3448"/>
      <c r="Z16" s="1560"/>
      <c r="AA16" s="1561">
        <v>1</v>
      </c>
      <c r="AB16" s="1561">
        <v>1</v>
      </c>
      <c r="AC16" s="1561">
        <v>1</v>
      </c>
    </row>
    <row r="17" spans="1:29" ht="185.25">
      <c r="A17" s="531"/>
      <c r="B17" s="870" t="s">
        <v>296</v>
      </c>
      <c r="C17" s="871" t="str">
        <f>估价对象房地状况!C6</f>
        <v>估价对象临近省道S124，周边多为乡级公路，道路密集度较差；周边有413路、612路、407路、513路等公交线路，距S3线一期终点高家冲站5.5公里，公共交通通达情况一般；综合评价交通便捷度一般。</v>
      </c>
      <c r="D17" s="558">
        <v>100</v>
      </c>
      <c r="E17" s="561"/>
      <c r="F17" s="562">
        <f>SUMIF(78:78,E18,79:79)-SUMIF(78:78,C18,79:79)+100</f>
        <v>98</v>
      </c>
      <c r="G17" s="563"/>
      <c r="H17" s="564">
        <f>SUMIF(78:78,G18,79:79)-SUMIF(78:78,C18,79:79)+100</f>
        <v>102</v>
      </c>
      <c r="I17" s="561"/>
      <c r="J17" s="564">
        <f>SUMIF(78:78,I18,79:79)-SUMIF(78:78,C18,79:79)+100</f>
        <v>100</v>
      </c>
      <c r="K17" s="867">
        <v>2</v>
      </c>
      <c r="L17" s="2124"/>
      <c r="M17" s="2116"/>
      <c r="N17" s="2116"/>
      <c r="O17" s="2123"/>
      <c r="P17" s="3448"/>
      <c r="Q17" s="1557" t="str">
        <f>B17</f>
        <v>交通便捷度</v>
      </c>
      <c r="R17" s="1558" t="s">
        <v>11</v>
      </c>
      <c r="S17" s="1559">
        <f>F17</f>
        <v>98</v>
      </c>
      <c r="T17" s="1558" t="s">
        <v>11</v>
      </c>
      <c r="U17" s="1559">
        <f>H17</f>
        <v>102</v>
      </c>
      <c r="V17" s="1558" t="s">
        <v>11</v>
      </c>
      <c r="W17" s="1559">
        <f>J17</f>
        <v>100</v>
      </c>
      <c r="X17" s="1552"/>
      <c r="Y17" s="3448"/>
      <c r="Z17" s="1560" t="str">
        <f>Q17</f>
        <v>交通便捷度</v>
      </c>
      <c r="AA17" s="1561">
        <f t="shared" si="3"/>
        <v>1.0204081632653061</v>
      </c>
      <c r="AB17" s="1561">
        <f t="shared" si="4"/>
        <v>0.98039215686274506</v>
      </c>
      <c r="AC17" s="1561">
        <f t="shared" si="5"/>
        <v>1</v>
      </c>
    </row>
    <row r="18" spans="1:29" ht="15">
      <c r="A18" s="531"/>
      <c r="B18" s="594"/>
      <c r="C18" s="575" t="s">
        <v>3199</v>
      </c>
      <c r="D18" s="558"/>
      <c r="E18" s="575" t="s">
        <v>3198</v>
      </c>
      <c r="F18" s="562"/>
      <c r="G18" s="575" t="s">
        <v>3214</v>
      </c>
      <c r="H18" s="554"/>
      <c r="I18" s="575" t="s">
        <v>3199</v>
      </c>
      <c r="J18" s="554"/>
      <c r="K18" s="869"/>
      <c r="L18" s="2124"/>
      <c r="M18" s="2116"/>
      <c r="N18" s="2116"/>
      <c r="O18" s="2123"/>
      <c r="P18" s="3448"/>
      <c r="Q18" s="1557"/>
      <c r="R18" s="1558"/>
      <c r="S18" s="1559"/>
      <c r="T18" s="1558"/>
      <c r="U18" s="1559"/>
      <c r="V18" s="1558"/>
      <c r="W18" s="1559"/>
      <c r="X18" s="1552"/>
      <c r="Y18" s="3448"/>
      <c r="Z18" s="1560"/>
      <c r="AA18" s="1561">
        <v>1</v>
      </c>
      <c r="AB18" s="1561">
        <v>1</v>
      </c>
      <c r="AC18" s="1561">
        <v>1</v>
      </c>
    </row>
    <row r="19" spans="1:29" ht="199.5">
      <c r="A19" s="531"/>
      <c r="B19" s="2561" t="s">
        <v>2545</v>
      </c>
      <c r="C19" s="871"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4">
        <v>100</v>
      </c>
      <c r="E19" s="569"/>
      <c r="F19" s="570">
        <f>SUMIF(80:80,E20,81:81)-SUMIF(80:80,C20,81:81)+100</f>
        <v>100</v>
      </c>
      <c r="G19" s="571"/>
      <c r="H19" s="558">
        <f>SUMIF(80:80,G20,81:81)-SUMIF(80:80,C20,81:81)+100</f>
        <v>102</v>
      </c>
      <c r="I19" s="569"/>
      <c r="J19" s="558">
        <f>SUMIF(80:80,I20,81:81)-SUMIF(80:80,C20,81:81)+100</f>
        <v>100</v>
      </c>
      <c r="K19" s="867">
        <v>2</v>
      </c>
      <c r="L19" s="2124"/>
      <c r="M19" s="2116"/>
      <c r="N19" s="2116"/>
      <c r="O19" s="2123"/>
      <c r="P19" s="3448"/>
      <c r="Q19" s="1557" t="str">
        <f>B19</f>
        <v>公共配套设施</v>
      </c>
      <c r="R19" s="1558" t="s">
        <v>11</v>
      </c>
      <c r="S19" s="1559">
        <f>F19</f>
        <v>100</v>
      </c>
      <c r="T19" s="1558" t="s">
        <v>11</v>
      </c>
      <c r="U19" s="1559">
        <f>H19</f>
        <v>102</v>
      </c>
      <c r="V19" s="1558" t="s">
        <v>11</v>
      </c>
      <c r="W19" s="1559">
        <f>J19</f>
        <v>100</v>
      </c>
      <c r="X19" s="1552"/>
      <c r="Y19" s="3448"/>
      <c r="Z19" s="1560" t="str">
        <f>Q19</f>
        <v>公共配套设施</v>
      </c>
      <c r="AA19" s="1561">
        <f t="shared" si="3"/>
        <v>1</v>
      </c>
      <c r="AB19" s="1561">
        <f t="shared" si="4"/>
        <v>0.98039215686274506</v>
      </c>
      <c r="AC19" s="1561">
        <f t="shared" si="5"/>
        <v>1</v>
      </c>
    </row>
    <row r="20" spans="1:29" ht="15">
      <c r="A20" s="531"/>
      <c r="B20" s="594"/>
      <c r="C20" s="575" t="s">
        <v>3198</v>
      </c>
      <c r="D20" s="554"/>
      <c r="E20" s="575" t="s">
        <v>3198</v>
      </c>
      <c r="F20" s="556"/>
      <c r="G20" s="3236" t="s">
        <v>3199</v>
      </c>
      <c r="H20" s="554"/>
      <c r="I20" s="575" t="s">
        <v>3198</v>
      </c>
      <c r="J20" s="554"/>
      <c r="K20" s="869"/>
      <c r="L20" s="2124"/>
      <c r="M20" s="2116"/>
      <c r="N20" s="2116"/>
      <c r="O20" s="2123"/>
      <c r="P20" s="3448"/>
      <c r="Q20" s="1557"/>
      <c r="R20" s="1558"/>
      <c r="S20" s="1559"/>
      <c r="T20" s="1558"/>
      <c r="U20" s="1559"/>
      <c r="V20" s="1558"/>
      <c r="W20" s="1559"/>
      <c r="X20" s="1552"/>
      <c r="Y20" s="3448"/>
      <c r="Z20" s="1560"/>
      <c r="AA20" s="1561">
        <v>1</v>
      </c>
      <c r="AB20" s="1561">
        <v>1</v>
      </c>
      <c r="AC20" s="1561">
        <v>1</v>
      </c>
    </row>
    <row r="21" spans="1:29" ht="28.5">
      <c r="A21" s="531"/>
      <c r="B21" s="255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4"/>
      <c r="M21" s="2116"/>
      <c r="N21" s="2116"/>
      <c r="O21" s="2123"/>
      <c r="P21" s="3448"/>
      <c r="Q21" s="2540" t="str">
        <f>B21</f>
        <v>基础设施水平</v>
      </c>
      <c r="R21" s="1558" t="s">
        <v>11</v>
      </c>
      <c r="S21" s="1559">
        <f>F21</f>
        <v>100</v>
      </c>
      <c r="T21" s="1558" t="s">
        <v>11</v>
      </c>
      <c r="U21" s="1559">
        <f>H21</f>
        <v>100</v>
      </c>
      <c r="V21" s="1558" t="s">
        <v>11</v>
      </c>
      <c r="W21" s="1559">
        <f>J21</f>
        <v>100</v>
      </c>
      <c r="X21" s="2542"/>
      <c r="Y21" s="3448"/>
      <c r="Z21" s="2541" t="str">
        <f>Q21</f>
        <v>基础设施水平</v>
      </c>
      <c r="AA21" s="1561">
        <f t="shared" ref="AA21" si="8">D21/F21</f>
        <v>1</v>
      </c>
      <c r="AB21" s="1561">
        <f t="shared" ref="AB21" si="9">D21/H21</f>
        <v>1</v>
      </c>
      <c r="AC21" s="1561">
        <f t="shared" ref="AC21" si="10">D21/J21</f>
        <v>1</v>
      </c>
    </row>
    <row r="22" spans="1:29" ht="15">
      <c r="A22" s="531"/>
      <c r="B22" s="920"/>
      <c r="C22" s="872" t="s">
        <v>3200</v>
      </c>
      <c r="D22" s="554"/>
      <c r="E22" s="872" t="s">
        <v>3200</v>
      </c>
      <c r="F22" s="556"/>
      <c r="G22" s="872" t="s">
        <v>3200</v>
      </c>
      <c r="H22" s="554"/>
      <c r="I22" s="872" t="s">
        <v>3200</v>
      </c>
      <c r="J22" s="554"/>
      <c r="K22" s="2560"/>
      <c r="L22" s="2124"/>
      <c r="M22" s="2116"/>
      <c r="N22" s="2116"/>
      <c r="O22" s="2123"/>
      <c r="P22" s="3448"/>
      <c r="Q22" s="2540"/>
      <c r="R22" s="1558"/>
      <c r="S22" s="1559"/>
      <c r="T22" s="1558"/>
      <c r="U22" s="1559"/>
      <c r="V22" s="1558"/>
      <c r="W22" s="1559"/>
      <c r="X22" s="2542"/>
      <c r="Y22" s="3448"/>
      <c r="Z22" s="2541"/>
      <c r="AA22" s="1561">
        <v>1</v>
      </c>
      <c r="AB22" s="1561">
        <v>1</v>
      </c>
      <c r="AC22" s="1561">
        <v>1</v>
      </c>
    </row>
    <row r="23" spans="1:29" ht="156.75">
      <c r="A23" s="531"/>
      <c r="B23" s="870" t="s">
        <v>297</v>
      </c>
      <c r="C23" s="871" t="str">
        <f>估价对象房地状况!C9</f>
        <v>估价对象所在区域内无公园、水系、湖泊，自然环境较差；无博物馆、科技馆、体育馆、高等学府等人文设施，人文环境较差；综合评价自然及人文环境环境较差。</v>
      </c>
      <c r="D23" s="558">
        <v>100</v>
      </c>
      <c r="E23" s="561"/>
      <c r="F23" s="562">
        <f>SUMIF(84:84,E24,85:85)-SUMIF(84:84,C24,85:85)+100</f>
        <v>100</v>
      </c>
      <c r="G23" s="563"/>
      <c r="H23" s="558">
        <f>SUMIF(84:84,G24,85:85)-SUMIF(84:84,C24,85:85)+100</f>
        <v>102</v>
      </c>
      <c r="I23" s="561"/>
      <c r="J23" s="558">
        <f>SUMIF(84:84,I24,85:85)-SUMIF(84:84,C24,85:85)+100</f>
        <v>100</v>
      </c>
      <c r="K23" s="867">
        <v>2</v>
      </c>
      <c r="L23" s="2124"/>
      <c r="M23" s="2116"/>
      <c r="N23" s="2116"/>
      <c r="O23" s="2123"/>
      <c r="P23" s="3448"/>
      <c r="Q23" s="1557" t="str">
        <f>B23</f>
        <v>自然及人文环境</v>
      </c>
      <c r="R23" s="1558" t="s">
        <v>11</v>
      </c>
      <c r="S23" s="1559">
        <f>F23</f>
        <v>100</v>
      </c>
      <c r="T23" s="1558" t="s">
        <v>11</v>
      </c>
      <c r="U23" s="1559">
        <f>H23</f>
        <v>102</v>
      </c>
      <c r="V23" s="1558" t="s">
        <v>11</v>
      </c>
      <c r="W23" s="1559">
        <f>J23</f>
        <v>100</v>
      </c>
      <c r="X23" s="1552"/>
      <c r="Y23" s="3448"/>
      <c r="Z23" s="1560" t="str">
        <f>Q23</f>
        <v>自然及人文环境</v>
      </c>
      <c r="AA23" s="1561">
        <f t="shared" si="3"/>
        <v>1</v>
      </c>
      <c r="AB23" s="1561">
        <f t="shared" si="4"/>
        <v>0.98039215686274506</v>
      </c>
      <c r="AC23" s="1561">
        <f t="shared" si="5"/>
        <v>1</v>
      </c>
    </row>
    <row r="24" spans="1:29" ht="15.75" thickBot="1">
      <c r="A24" s="531"/>
      <c r="B24" s="594"/>
      <c r="C24" s="575" t="s">
        <v>3198</v>
      </c>
      <c r="D24" s="554"/>
      <c r="E24" s="575" t="s">
        <v>3198</v>
      </c>
      <c r="F24" s="556"/>
      <c r="G24" s="3236" t="s">
        <v>3199</v>
      </c>
      <c r="H24" s="554"/>
      <c r="I24" s="575" t="s">
        <v>3198</v>
      </c>
      <c r="J24" s="554"/>
      <c r="K24" s="869"/>
      <c r="L24" s="2124"/>
      <c r="M24" s="2116"/>
      <c r="N24" s="2116"/>
      <c r="O24" s="2123"/>
      <c r="P24" s="3448"/>
      <c r="Q24" s="1557"/>
      <c r="R24" s="1558"/>
      <c r="S24" s="1559"/>
      <c r="T24" s="1558"/>
      <c r="U24" s="1559"/>
      <c r="V24" s="1558"/>
      <c r="W24" s="1559"/>
      <c r="X24" s="1552"/>
      <c r="Y24" s="3448"/>
      <c r="Z24" s="1560"/>
      <c r="AA24" s="1561">
        <v>1</v>
      </c>
      <c r="AB24" s="1561">
        <v>1</v>
      </c>
      <c r="AC24" s="1561">
        <v>1</v>
      </c>
    </row>
    <row r="25" spans="1:29" ht="15" hidden="1">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48"/>
      <c r="Q25" s="1557" t="str">
        <f t="shared" ref="Q25:Q46" si="11">B25</f>
        <v>楼层-1</v>
      </c>
      <c r="R25" s="1558" t="s">
        <v>11</v>
      </c>
      <c r="S25" s="1559">
        <f>F25</f>
        <v>100</v>
      </c>
      <c r="T25" s="1558" t="s">
        <v>11</v>
      </c>
      <c r="U25" s="1559">
        <f>H25</f>
        <v>100</v>
      </c>
      <c r="V25" s="1558" t="s">
        <v>11</v>
      </c>
      <c r="W25" s="1559">
        <f>J25</f>
        <v>100</v>
      </c>
      <c r="X25" s="1552"/>
      <c r="Y25" s="3448"/>
      <c r="Z25" s="1560" t="str">
        <f>Q25</f>
        <v>楼层-1</v>
      </c>
      <c r="AA25" s="1561">
        <f t="shared" si="3"/>
        <v>1</v>
      </c>
      <c r="AB25" s="1561">
        <f t="shared" si="4"/>
        <v>1</v>
      </c>
      <c r="AC25" s="1561">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48"/>
      <c r="Q26" s="1557" t="str">
        <f t="shared" si="11"/>
        <v>朝向</v>
      </c>
      <c r="R26" s="1558" t="s">
        <v>11</v>
      </c>
      <c r="S26" s="1559">
        <f>F26</f>
        <v>100</v>
      </c>
      <c r="T26" s="1558" t="s">
        <v>11</v>
      </c>
      <c r="U26" s="1559">
        <f>H26</f>
        <v>100</v>
      </c>
      <c r="V26" s="1558" t="s">
        <v>11</v>
      </c>
      <c r="W26" s="1559">
        <f>J26</f>
        <v>100</v>
      </c>
      <c r="X26" s="1552"/>
      <c r="Y26" s="3448"/>
      <c r="Z26" s="1560" t="str">
        <f>Q26</f>
        <v>朝向</v>
      </c>
      <c r="AA26" s="1561">
        <f t="shared" si="3"/>
        <v>1</v>
      </c>
      <c r="AB26" s="1561">
        <f t="shared" si="4"/>
        <v>1</v>
      </c>
      <c r="AC26" s="1561">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48"/>
      <c r="Q27" s="1145" t="str">
        <f t="shared" si="11"/>
        <v>道路级别</v>
      </c>
      <c r="R27" s="1553" t="s">
        <v>11</v>
      </c>
      <c r="S27" s="1554">
        <f>F27</f>
        <v>100</v>
      </c>
      <c r="T27" s="1553" t="s">
        <v>11</v>
      </c>
      <c r="U27" s="1554">
        <f>H27</f>
        <v>100</v>
      </c>
      <c r="V27" s="1553" t="s">
        <v>11</v>
      </c>
      <c r="W27" s="1554">
        <f>J27</f>
        <v>100</v>
      </c>
      <c r="X27" s="1555"/>
      <c r="Y27" s="3448"/>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4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48"/>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48"/>
      <c r="Q29" s="1557">
        <f t="shared" si="11"/>
        <v>111</v>
      </c>
      <c r="R29" s="1558" t="s">
        <v>11</v>
      </c>
      <c r="S29" s="1559">
        <f t="shared" si="12"/>
        <v>100</v>
      </c>
      <c r="T29" s="1558" t="s">
        <v>11</v>
      </c>
      <c r="U29" s="1559">
        <f t="shared" si="13"/>
        <v>100</v>
      </c>
      <c r="V29" s="1558" t="s">
        <v>11</v>
      </c>
      <c r="W29" s="1559">
        <f t="shared" si="14"/>
        <v>100</v>
      </c>
      <c r="X29" s="1552"/>
      <c r="Y29" s="3448"/>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48"/>
      <c r="Q30" s="1557">
        <f t="shared" si="11"/>
        <v>111</v>
      </c>
      <c r="R30" s="1558" t="s">
        <v>11</v>
      </c>
      <c r="S30" s="1559">
        <f t="shared" si="12"/>
        <v>100</v>
      </c>
      <c r="T30" s="1558" t="s">
        <v>11</v>
      </c>
      <c r="U30" s="1559">
        <f t="shared" si="13"/>
        <v>100</v>
      </c>
      <c r="V30" s="1558" t="s">
        <v>11</v>
      </c>
      <c r="W30" s="1559">
        <f t="shared" si="14"/>
        <v>100</v>
      </c>
      <c r="X30" s="1552"/>
      <c r="Y30" s="3448"/>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48"/>
      <c r="Q31" s="1557">
        <f t="shared" si="11"/>
        <v>111</v>
      </c>
      <c r="R31" s="1558" t="s">
        <v>11</v>
      </c>
      <c r="S31" s="1559">
        <f t="shared" si="12"/>
        <v>100</v>
      </c>
      <c r="T31" s="1558" t="s">
        <v>11</v>
      </c>
      <c r="U31" s="1559">
        <f t="shared" si="13"/>
        <v>100</v>
      </c>
      <c r="V31" s="1558" t="s">
        <v>11</v>
      </c>
      <c r="W31" s="1559">
        <f t="shared" si="14"/>
        <v>100</v>
      </c>
      <c r="X31" s="1552"/>
      <c r="Y31" s="3448"/>
      <c r="Z31" s="1560">
        <f t="shared" si="15"/>
        <v>111</v>
      </c>
      <c r="AA31" s="1561">
        <f t="shared" si="3"/>
        <v>1</v>
      </c>
      <c r="AB31" s="1561">
        <f t="shared" si="4"/>
        <v>1</v>
      </c>
      <c r="AC31" s="1561">
        <f t="shared" si="5"/>
        <v>1</v>
      </c>
    </row>
    <row r="32" spans="1:29" ht="15">
      <c r="A32" s="2859" t="s">
        <v>2753</v>
      </c>
      <c r="B32" s="172" t="s">
        <v>725</v>
      </c>
      <c r="C32" s="877" t="s">
        <v>3227</v>
      </c>
      <c r="D32" s="596">
        <v>100</v>
      </c>
      <c r="E32" s="877" t="s">
        <v>3227</v>
      </c>
      <c r="F32" s="574">
        <f>SUMIF(100:100,E32,101:101)-SUMIF(100:100,C32,101:101)+100</f>
        <v>100</v>
      </c>
      <c r="G32" s="877" t="s">
        <v>3227</v>
      </c>
      <c r="H32" s="596">
        <f>SUMIF(100:100,G32,101:101)-SUMIF(100:100,C32,101:101)+100</f>
        <v>100</v>
      </c>
      <c r="I32" s="877" t="s">
        <v>3227</v>
      </c>
      <c r="J32" s="539">
        <f>SUMIF(100:100,I32,101:101)-SUMIF(100:100,C32,101:101)+100</f>
        <v>100</v>
      </c>
      <c r="K32" s="863">
        <v>2</v>
      </c>
      <c r="L32" s="2124"/>
      <c r="M32" s="2116"/>
      <c r="N32" s="2116"/>
      <c r="O32" s="2123"/>
      <c r="P32" s="3449" t="s">
        <v>550</v>
      </c>
      <c r="Q32" s="1557" t="str">
        <f t="shared" si="11"/>
        <v>建筑类型</v>
      </c>
      <c r="R32" s="1558" t="s">
        <v>11</v>
      </c>
      <c r="S32" s="1559">
        <f t="shared" si="12"/>
        <v>100</v>
      </c>
      <c r="T32" s="1558" t="s">
        <v>11</v>
      </c>
      <c r="U32" s="1559">
        <f t="shared" si="13"/>
        <v>100</v>
      </c>
      <c r="V32" s="1558" t="s">
        <v>11</v>
      </c>
      <c r="W32" s="1559">
        <f t="shared" si="14"/>
        <v>100</v>
      </c>
      <c r="X32" s="1552"/>
      <c r="Y32" s="3450" t="s">
        <v>550</v>
      </c>
      <c r="Z32" s="1560" t="str">
        <f t="shared" si="15"/>
        <v>建筑类型</v>
      </c>
      <c r="AA32" s="1561">
        <f t="shared" si="3"/>
        <v>1</v>
      </c>
      <c r="AB32" s="1561">
        <f t="shared" si="4"/>
        <v>1</v>
      </c>
      <c r="AC32" s="1561">
        <f t="shared" si="5"/>
        <v>1</v>
      </c>
    </row>
    <row r="33" spans="1:29" s="1333" customFormat="1" ht="15">
      <c r="A33" s="602"/>
      <c r="B33" s="526" t="s">
        <v>726</v>
      </c>
      <c r="C33" s="878">
        <f>'数据-基础表'!I13</f>
        <v>60776.07</v>
      </c>
      <c r="D33" s="254">
        <v>100</v>
      </c>
      <c r="E33" s="878">
        <v>358094</v>
      </c>
      <c r="F33" s="862">
        <f>LOOKUP(E33,103:103,104:104)-LOOKUP(C33,103:103,104:104)+100</f>
        <v>101</v>
      </c>
      <c r="G33" s="878">
        <v>1440000</v>
      </c>
      <c r="H33" s="254">
        <f>LOOKUP(G33,103:103,104:104)-LOOKUP(C33,103:103,104:104)+100</f>
        <v>102</v>
      </c>
      <c r="I33" s="878">
        <v>8000000</v>
      </c>
      <c r="J33" s="254">
        <f>LOOKUP(I33,103:103,104:104)-LOOKUP(C33,103:103,104:104)+100</f>
        <v>103</v>
      </c>
      <c r="K33" s="864"/>
      <c r="L33" s="2122"/>
      <c r="M33" s="2153"/>
      <c r="N33" s="2153"/>
      <c r="O33" s="2125"/>
      <c r="P33" s="3450"/>
      <c r="Q33" s="1589" t="str">
        <f t="shared" si="11"/>
        <v>项目建筑规模</v>
      </c>
      <c r="R33" s="1562" t="s">
        <v>11</v>
      </c>
      <c r="S33" s="1563">
        <f t="shared" si="12"/>
        <v>101</v>
      </c>
      <c r="T33" s="1562" t="s">
        <v>11</v>
      </c>
      <c r="U33" s="1563">
        <f t="shared" si="13"/>
        <v>102</v>
      </c>
      <c r="V33" s="1562" t="s">
        <v>11</v>
      </c>
      <c r="W33" s="1563">
        <f t="shared" si="14"/>
        <v>103</v>
      </c>
      <c r="X33" s="1564"/>
      <c r="Y33" s="3450"/>
      <c r="Z33" s="1565" t="str">
        <f t="shared" si="15"/>
        <v>项目建筑规模</v>
      </c>
      <c r="AA33" s="1561">
        <f t="shared" si="3"/>
        <v>0.99009900990099009</v>
      </c>
      <c r="AB33" s="1561">
        <f t="shared" si="4"/>
        <v>0.98039215686274506</v>
      </c>
      <c r="AC33" s="1561">
        <f t="shared" si="5"/>
        <v>0.970873786407767</v>
      </c>
    </row>
    <row r="34" spans="1:29" ht="15">
      <c r="A34" s="593"/>
      <c r="B34" s="526" t="s">
        <v>727</v>
      </c>
      <c r="C34" s="879" t="s">
        <v>3097</v>
      </c>
      <c r="D34" s="539">
        <v>100</v>
      </c>
      <c r="E34" s="879" t="s">
        <v>3097</v>
      </c>
      <c r="F34" s="574">
        <f>SUMIF(105:105,E34,106:106)-SUMIF(105:105,C34,106:106)+100</f>
        <v>100</v>
      </c>
      <c r="G34" s="879" t="s">
        <v>3097</v>
      </c>
      <c r="H34" s="539">
        <f>SUMIF(105:105,G34,106:106)-SUMIF(105:105,C34,106:106)+100</f>
        <v>100</v>
      </c>
      <c r="I34" s="879" t="s">
        <v>3097</v>
      </c>
      <c r="J34" s="539">
        <f>SUMIF(105:105,I34,106:106)-SUMIF(105:105,C34,106:106)+100</f>
        <v>100</v>
      </c>
      <c r="K34" s="863">
        <v>2</v>
      </c>
      <c r="L34" s="2124"/>
      <c r="M34" s="2116"/>
      <c r="N34" s="2116"/>
      <c r="O34" s="2123"/>
      <c r="P34" s="3450"/>
      <c r="Q34" s="1557" t="str">
        <f t="shared" si="11"/>
        <v>建筑结构</v>
      </c>
      <c r="R34" s="1558" t="s">
        <v>11</v>
      </c>
      <c r="S34" s="1559">
        <f t="shared" si="12"/>
        <v>100</v>
      </c>
      <c r="T34" s="1558" t="s">
        <v>11</v>
      </c>
      <c r="U34" s="1559">
        <f t="shared" si="13"/>
        <v>100</v>
      </c>
      <c r="V34" s="1558" t="s">
        <v>11</v>
      </c>
      <c r="W34" s="1559">
        <f t="shared" si="14"/>
        <v>100</v>
      </c>
      <c r="X34" s="1552"/>
      <c r="Y34" s="3450"/>
      <c r="Z34" s="1560" t="str">
        <f t="shared" si="15"/>
        <v>建筑结构</v>
      </c>
      <c r="AA34" s="1561">
        <f t="shared" si="3"/>
        <v>1</v>
      </c>
      <c r="AB34" s="1561">
        <f t="shared" si="4"/>
        <v>1</v>
      </c>
      <c r="AC34" s="1561">
        <f t="shared" si="5"/>
        <v>1</v>
      </c>
    </row>
    <row r="35" spans="1:29" ht="15">
      <c r="A35" s="593"/>
      <c r="B35" s="526" t="s">
        <v>728</v>
      </c>
      <c r="C35" s="598" t="s">
        <v>3301</v>
      </c>
      <c r="D35" s="539">
        <v>100</v>
      </c>
      <c r="E35" s="598" t="s">
        <v>3301</v>
      </c>
      <c r="F35" s="574">
        <f>SUMIF(107:107,E35,108:108)-SUMIF(107:107,C35,108:108)+100</f>
        <v>100</v>
      </c>
      <c r="G35" s="598" t="s">
        <v>3301</v>
      </c>
      <c r="H35" s="539">
        <f>SUMIF(107:107,G35,108:108)-SUMIF(107:107,C35,108:108)+100</f>
        <v>100</v>
      </c>
      <c r="I35" s="598" t="s">
        <v>3301</v>
      </c>
      <c r="J35" s="539">
        <f>SUMIF(107:107,I35,108:108)-SUMIF(107:107,C35,108:108)+100</f>
        <v>100</v>
      </c>
      <c r="K35" s="863">
        <v>2</v>
      </c>
      <c r="L35" s="2124"/>
      <c r="M35" s="2116"/>
      <c r="N35" s="2116"/>
      <c r="O35" s="2123"/>
      <c r="P35" s="3450"/>
      <c r="Q35" s="1557" t="str">
        <f t="shared" si="11"/>
        <v>建筑品质</v>
      </c>
      <c r="R35" s="1558" t="s">
        <v>11</v>
      </c>
      <c r="S35" s="1559">
        <f t="shared" si="12"/>
        <v>100</v>
      </c>
      <c r="T35" s="1558" t="s">
        <v>11</v>
      </c>
      <c r="U35" s="1559">
        <f t="shared" si="13"/>
        <v>100</v>
      </c>
      <c r="V35" s="1558" t="s">
        <v>11</v>
      </c>
      <c r="W35" s="1559">
        <f t="shared" si="14"/>
        <v>100</v>
      </c>
      <c r="X35" s="1552"/>
      <c r="Y35" s="3450"/>
      <c r="Z35" s="1560" t="str">
        <f t="shared" si="15"/>
        <v>建筑品质</v>
      </c>
      <c r="AA35" s="1561">
        <f t="shared" si="3"/>
        <v>1</v>
      </c>
      <c r="AB35" s="1561">
        <f t="shared" si="4"/>
        <v>1</v>
      </c>
      <c r="AC35" s="1561">
        <f t="shared" si="5"/>
        <v>1</v>
      </c>
    </row>
    <row r="36" spans="1:29" ht="15">
      <c r="A36" s="593"/>
      <c r="B36" s="526" t="s">
        <v>729</v>
      </c>
      <c r="C36" s="598" t="s">
        <v>3234</v>
      </c>
      <c r="D36" s="539">
        <v>100</v>
      </c>
      <c r="E36" s="598" t="s">
        <v>3234</v>
      </c>
      <c r="F36" s="574">
        <f>SUMIF(109:109,E36,110:110)-SUMIF(109:109,C36,110:110)+100</f>
        <v>100</v>
      </c>
      <c r="G36" s="598" t="s">
        <v>3234</v>
      </c>
      <c r="H36" s="539">
        <f>SUMIF(109:109,G36,110:110)-SUMIF(109:109,C36,110:110)+100</f>
        <v>100</v>
      </c>
      <c r="I36" s="598" t="s">
        <v>3234</v>
      </c>
      <c r="J36" s="539">
        <f>SUMIF(109:109,I36,110:110)-SUMIF(109:109,C36,110:110)+100</f>
        <v>100</v>
      </c>
      <c r="K36" s="863">
        <v>2</v>
      </c>
      <c r="L36" s="2124"/>
      <c r="M36" s="2116"/>
      <c r="N36" s="2116"/>
      <c r="O36" s="2123"/>
      <c r="P36" s="3450"/>
      <c r="Q36" s="1557" t="str">
        <f t="shared" si="11"/>
        <v>公共部分装修</v>
      </c>
      <c r="R36" s="1558" t="s">
        <v>11</v>
      </c>
      <c r="S36" s="1559">
        <f t="shared" si="12"/>
        <v>100</v>
      </c>
      <c r="T36" s="1558" t="s">
        <v>11</v>
      </c>
      <c r="U36" s="1559">
        <f t="shared" si="13"/>
        <v>100</v>
      </c>
      <c r="V36" s="1558" t="s">
        <v>11</v>
      </c>
      <c r="W36" s="1559">
        <f t="shared" si="14"/>
        <v>100</v>
      </c>
      <c r="X36" s="1552"/>
      <c r="Y36" s="3450"/>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17"/>
      <c r="M37" s="2118"/>
      <c r="N37" s="2118"/>
      <c r="O37" s="2119"/>
      <c r="P37" s="3450"/>
      <c r="Q37" s="1145" t="str">
        <f t="shared" si="11"/>
        <v>成新度</v>
      </c>
      <c r="R37" s="1553" t="s">
        <v>11</v>
      </c>
      <c r="S37" s="1554">
        <f t="shared" si="12"/>
        <v>100</v>
      </c>
      <c r="T37" s="1553" t="s">
        <v>11</v>
      </c>
      <c r="U37" s="1554">
        <f t="shared" si="13"/>
        <v>100</v>
      </c>
      <c r="V37" s="1553" t="s">
        <v>11</v>
      </c>
      <c r="W37" s="1554">
        <f t="shared" si="14"/>
        <v>100</v>
      </c>
      <c r="X37" s="1555"/>
      <c r="Y37" s="3450"/>
      <c r="Z37" s="1144" t="str">
        <f t="shared" si="15"/>
        <v>成新度</v>
      </c>
      <c r="AA37" s="1556">
        <f t="shared" si="3"/>
        <v>1</v>
      </c>
      <c r="AB37" s="1556">
        <f t="shared" si="4"/>
        <v>1</v>
      </c>
      <c r="AC37" s="1556">
        <f t="shared" si="5"/>
        <v>1</v>
      </c>
    </row>
    <row r="38" spans="1:29" ht="15">
      <c r="A38" s="593"/>
      <c r="B38" s="526" t="s">
        <v>731</v>
      </c>
      <c r="C38" s="598" t="s">
        <v>3240</v>
      </c>
      <c r="D38" s="539">
        <v>100</v>
      </c>
      <c r="E38" s="598" t="s">
        <v>3240</v>
      </c>
      <c r="F38" s="574">
        <f>SUMIF(114:114,E38,115:115)-SUMIF(114:114,C38,115:115)+100</f>
        <v>100</v>
      </c>
      <c r="G38" s="598" t="s">
        <v>3240</v>
      </c>
      <c r="H38" s="539">
        <f>SUMIF(114:114,G38,115:115)-SUMIF(114:114,C38,115:115)+100</f>
        <v>100</v>
      </c>
      <c r="I38" s="598" t="s">
        <v>3240</v>
      </c>
      <c r="J38" s="539">
        <f>SUMIF(114:114,I38,115:115)-SUMIF(114:114,C38,115:115)+100</f>
        <v>100</v>
      </c>
      <c r="K38" s="863">
        <v>1</v>
      </c>
      <c r="L38" s="2124"/>
      <c r="M38" s="2116"/>
      <c r="N38" s="2116"/>
      <c r="O38" s="2123"/>
      <c r="P38" s="3450" t="s">
        <v>550</v>
      </c>
      <c r="Q38" s="1557" t="str">
        <f t="shared" si="11"/>
        <v>物业管理</v>
      </c>
      <c r="R38" s="1558" t="s">
        <v>11</v>
      </c>
      <c r="S38" s="1559">
        <f t="shared" si="12"/>
        <v>100</v>
      </c>
      <c r="T38" s="1558" t="s">
        <v>11</v>
      </c>
      <c r="U38" s="1559">
        <f t="shared" si="13"/>
        <v>100</v>
      </c>
      <c r="V38" s="1558" t="s">
        <v>11</v>
      </c>
      <c r="W38" s="1559">
        <f t="shared" si="14"/>
        <v>100</v>
      </c>
      <c r="X38" s="1552"/>
      <c r="Y38" s="3450" t="s">
        <v>550</v>
      </c>
      <c r="Z38" s="1560" t="str">
        <f t="shared" si="15"/>
        <v>物业管理</v>
      </c>
      <c r="AA38" s="1561">
        <f t="shared" si="3"/>
        <v>1</v>
      </c>
      <c r="AB38" s="1561">
        <f t="shared" si="4"/>
        <v>1</v>
      </c>
      <c r="AC38" s="1561">
        <f t="shared" si="5"/>
        <v>1</v>
      </c>
    </row>
    <row r="39" spans="1:29" ht="15">
      <c r="A39" s="593"/>
      <c r="B39" s="1877" t="s">
        <v>2563</v>
      </c>
      <c r="C39" s="598" t="s">
        <v>3200</v>
      </c>
      <c r="D39" s="539">
        <v>100</v>
      </c>
      <c r="E39" s="598" t="s">
        <v>3200</v>
      </c>
      <c r="F39" s="574">
        <f>SUMIF(116:116,E39,117:117)-SUMIF(116:116,C39,117:117)+100</f>
        <v>100</v>
      </c>
      <c r="G39" s="598" t="s">
        <v>3200</v>
      </c>
      <c r="H39" s="539">
        <f>SUMIF(116:116,G39,117:117)-SUMIF(116:116,C39,117:117)+100</f>
        <v>100</v>
      </c>
      <c r="I39" s="598" t="s">
        <v>3200</v>
      </c>
      <c r="J39" s="539">
        <f>SUMIF(116:116,I39,117:117)-SUMIF(116:116,C39,117:117)+100</f>
        <v>100</v>
      </c>
      <c r="K39" s="863">
        <v>2</v>
      </c>
      <c r="L39" s="2124"/>
      <c r="M39" s="2116"/>
      <c r="N39" s="2116"/>
      <c r="O39" s="2123"/>
      <c r="P39" s="3450"/>
      <c r="Q39" s="1557" t="str">
        <f t="shared" si="11"/>
        <v>市政基础设施</v>
      </c>
      <c r="R39" s="1558" t="s">
        <v>11</v>
      </c>
      <c r="S39" s="1559">
        <f t="shared" si="12"/>
        <v>100</v>
      </c>
      <c r="T39" s="1558" t="s">
        <v>11</v>
      </c>
      <c r="U39" s="1559">
        <f t="shared" si="13"/>
        <v>100</v>
      </c>
      <c r="V39" s="1558" t="s">
        <v>11</v>
      </c>
      <c r="W39" s="1559">
        <f t="shared" si="14"/>
        <v>100</v>
      </c>
      <c r="X39" s="1552"/>
      <c r="Y39" s="3450"/>
      <c r="Z39" s="1560" t="str">
        <f t="shared" si="15"/>
        <v>市政基础设施</v>
      </c>
      <c r="AA39" s="1561">
        <f t="shared" si="3"/>
        <v>1</v>
      </c>
      <c r="AB39" s="1561">
        <f t="shared" si="4"/>
        <v>1</v>
      </c>
      <c r="AC39" s="1561">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4"/>
      <c r="M40" s="2116"/>
      <c r="N40" s="2116"/>
      <c r="O40" s="2123"/>
      <c r="P40" s="3450"/>
      <c r="Q40" s="1557" t="str">
        <f t="shared" si="11"/>
        <v>房型</v>
      </c>
      <c r="R40" s="1558" t="s">
        <v>11</v>
      </c>
      <c r="S40" s="1559">
        <f t="shared" si="12"/>
        <v>100</v>
      </c>
      <c r="T40" s="1558" t="s">
        <v>11</v>
      </c>
      <c r="U40" s="1559">
        <f t="shared" si="13"/>
        <v>100</v>
      </c>
      <c r="V40" s="1558" t="s">
        <v>11</v>
      </c>
      <c r="W40" s="1559">
        <f t="shared" si="14"/>
        <v>100</v>
      </c>
      <c r="X40" s="1552"/>
      <c r="Y40" s="3450"/>
      <c r="Z40" s="1560" t="str">
        <f t="shared" si="15"/>
        <v>房型</v>
      </c>
      <c r="AA40" s="1561">
        <f t="shared" si="3"/>
        <v>1</v>
      </c>
      <c r="AB40" s="1561">
        <f t="shared" si="4"/>
        <v>1</v>
      </c>
      <c r="AC40" s="1561">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2"/>
      <c r="M41" s="2153"/>
      <c r="N41" s="2153"/>
      <c r="O41" s="2125"/>
      <c r="P41" s="3450"/>
      <c r="Q41" s="1589" t="str">
        <f t="shared" si="11"/>
        <v>单套/主力户型建筑面积</v>
      </c>
      <c r="R41" s="1562" t="s">
        <v>11</v>
      </c>
      <c r="S41" s="1563">
        <f t="shared" si="12"/>
        <v>100</v>
      </c>
      <c r="T41" s="1562" t="s">
        <v>11</v>
      </c>
      <c r="U41" s="1563">
        <f t="shared" si="13"/>
        <v>100</v>
      </c>
      <c r="V41" s="1562" t="s">
        <v>11</v>
      </c>
      <c r="W41" s="1563">
        <f t="shared" si="14"/>
        <v>100</v>
      </c>
      <c r="X41" s="1564"/>
      <c r="Y41" s="3450"/>
      <c r="Z41" s="1565" t="str">
        <f t="shared" si="15"/>
        <v>单套/主力户型建筑面积</v>
      </c>
      <c r="AA41" s="1561">
        <f t="shared" si="3"/>
        <v>1</v>
      </c>
      <c r="AB41" s="1561">
        <f t="shared" si="4"/>
        <v>1</v>
      </c>
      <c r="AC41" s="1561">
        <f t="shared" si="5"/>
        <v>1</v>
      </c>
    </row>
    <row r="42" spans="1:29" ht="15.75" thickBot="1">
      <c r="A42" s="593"/>
      <c r="B42" s="526" t="s">
        <v>734</v>
      </c>
      <c r="C42" s="598" t="s">
        <v>3238</v>
      </c>
      <c r="D42" s="539">
        <v>100</v>
      </c>
      <c r="E42" s="598" t="s">
        <v>3238</v>
      </c>
      <c r="F42" s="574">
        <f>SUMIF(122:122,E42,123:123)-SUMIF(122:122,C42,123:123)+100</f>
        <v>100</v>
      </c>
      <c r="G42" s="598" t="s">
        <v>3238</v>
      </c>
      <c r="H42" s="539">
        <f>SUMIF(122:122,G42,123:123)-SUMIF(122:122,C42,123:123)+100</f>
        <v>100</v>
      </c>
      <c r="I42" s="598" t="s">
        <v>3238</v>
      </c>
      <c r="J42" s="539">
        <f>SUMIF(122:122,I42,123:123)-SUMIF(122:122,C42,123:123)+100</f>
        <v>100</v>
      </c>
      <c r="K42" s="863">
        <v>2</v>
      </c>
      <c r="L42" s="2124"/>
      <c r="M42" s="2116"/>
      <c r="N42" s="2116"/>
      <c r="O42" s="2123"/>
      <c r="P42" s="3450"/>
      <c r="Q42" s="1557" t="str">
        <f t="shared" si="11"/>
        <v>内部装修</v>
      </c>
      <c r="R42" s="1558" t="s">
        <v>11</v>
      </c>
      <c r="S42" s="1559">
        <f t="shared" si="12"/>
        <v>100</v>
      </c>
      <c r="T42" s="1558" t="s">
        <v>11</v>
      </c>
      <c r="U42" s="1559">
        <f t="shared" si="13"/>
        <v>100</v>
      </c>
      <c r="V42" s="1558" t="s">
        <v>11</v>
      </c>
      <c r="W42" s="1559">
        <f t="shared" si="14"/>
        <v>100</v>
      </c>
      <c r="X42" s="1552"/>
      <c r="Y42" s="3450"/>
      <c r="Z42" s="1560" t="str">
        <f t="shared" si="15"/>
        <v>内部装修</v>
      </c>
      <c r="AA42" s="1561">
        <f t="shared" si="3"/>
        <v>1</v>
      </c>
      <c r="AB42" s="1561">
        <f t="shared" si="4"/>
        <v>1</v>
      </c>
      <c r="AC42" s="1561">
        <f t="shared" si="5"/>
        <v>1</v>
      </c>
    </row>
    <row r="43" spans="1:29" ht="27.75" hidden="1" thickBot="1">
      <c r="A43" s="593"/>
      <c r="B43" s="526" t="s">
        <v>735</v>
      </c>
      <c r="C43" s="598" t="s">
        <v>3214</v>
      </c>
      <c r="D43" s="539">
        <v>100</v>
      </c>
      <c r="E43" s="598" t="s">
        <v>3214</v>
      </c>
      <c r="F43" s="574">
        <f>SUMIF(124:124,E43,125:125)-SUMIF(124:124,C43,125:125)+100</f>
        <v>100</v>
      </c>
      <c r="G43" s="598" t="s">
        <v>3214</v>
      </c>
      <c r="H43" s="539">
        <f>SUMIF(124:124,G43,125:125)-SUMIF(124:124,C43,125:125)+100</f>
        <v>100</v>
      </c>
      <c r="I43" s="598" t="s">
        <v>3214</v>
      </c>
      <c r="J43" s="539">
        <f>SUMIF(124:124,I43,125:125)-SUMIF(124:124,C43,125:125)+100</f>
        <v>100</v>
      </c>
      <c r="K43" s="863">
        <v>2</v>
      </c>
      <c r="L43" s="2124"/>
      <c r="M43" s="2116"/>
      <c r="N43" s="2116"/>
      <c r="O43" s="2123"/>
      <c r="P43" s="3450"/>
      <c r="Q43" s="1557" t="str">
        <f t="shared" si="11"/>
        <v>内部装修维护情况</v>
      </c>
      <c r="R43" s="1558" t="s">
        <v>11</v>
      </c>
      <c r="S43" s="1559">
        <f t="shared" si="12"/>
        <v>100</v>
      </c>
      <c r="T43" s="1558" t="s">
        <v>11</v>
      </c>
      <c r="U43" s="1559">
        <f t="shared" si="13"/>
        <v>100</v>
      </c>
      <c r="V43" s="1558" t="s">
        <v>11</v>
      </c>
      <c r="W43" s="1559">
        <f t="shared" si="14"/>
        <v>100</v>
      </c>
      <c r="X43" s="1552"/>
      <c r="Y43" s="3450"/>
      <c r="Z43" s="1560" t="str">
        <f t="shared" si="15"/>
        <v>内部装修维护情况</v>
      </c>
      <c r="AA43" s="1561">
        <f t="shared" si="3"/>
        <v>1</v>
      </c>
      <c r="AB43" s="1561">
        <f t="shared" si="4"/>
        <v>1</v>
      </c>
      <c r="AC43" s="1561">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50"/>
      <c r="Q44" s="1145">
        <f t="shared" si="11"/>
        <v>111</v>
      </c>
      <c r="R44" s="1553" t="s">
        <v>11</v>
      </c>
      <c r="S44" s="1554">
        <f t="shared" si="12"/>
        <v>100</v>
      </c>
      <c r="T44" s="1553" t="s">
        <v>11</v>
      </c>
      <c r="U44" s="1554">
        <f t="shared" si="13"/>
        <v>100</v>
      </c>
      <c r="V44" s="1553" t="s">
        <v>11</v>
      </c>
      <c r="W44" s="1554">
        <f t="shared" si="14"/>
        <v>100</v>
      </c>
      <c r="X44" s="1555"/>
      <c r="Y44" s="3450"/>
      <c r="Z44" s="1144">
        <f t="shared" si="15"/>
        <v>111</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50"/>
      <c r="Q45" s="1557">
        <f t="shared" si="11"/>
        <v>111</v>
      </c>
      <c r="R45" s="1558" t="s">
        <v>11</v>
      </c>
      <c r="S45" s="1559">
        <f t="shared" si="12"/>
        <v>100</v>
      </c>
      <c r="T45" s="1558" t="s">
        <v>11</v>
      </c>
      <c r="U45" s="1559">
        <f t="shared" si="13"/>
        <v>100</v>
      </c>
      <c r="V45" s="1558" t="s">
        <v>11</v>
      </c>
      <c r="W45" s="1559">
        <f t="shared" si="14"/>
        <v>100</v>
      </c>
      <c r="X45" s="1552"/>
      <c r="Y45" s="3450"/>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31"/>
      <c r="Q46" s="1557">
        <f t="shared" si="11"/>
        <v>111</v>
      </c>
      <c r="R46" s="1558" t="s">
        <v>10</v>
      </c>
      <c r="S46" s="1559">
        <f t="shared" si="12"/>
        <v>100</v>
      </c>
      <c r="T46" s="1558" t="s">
        <v>10</v>
      </c>
      <c r="U46" s="1559">
        <f t="shared" si="13"/>
        <v>100</v>
      </c>
      <c r="V46" s="1558" t="s">
        <v>10</v>
      </c>
      <c r="W46" s="1559">
        <f t="shared" si="14"/>
        <v>100</v>
      </c>
      <c r="X46" s="1552"/>
      <c r="Y46" s="3531"/>
      <c r="Z46" s="1560">
        <f t="shared" si="15"/>
        <v>111</v>
      </c>
      <c r="AA46" s="1561">
        <f t="shared" si="3"/>
        <v>1</v>
      </c>
      <c r="AB46" s="1561">
        <f t="shared" si="4"/>
        <v>1</v>
      </c>
      <c r="AC46" s="1561">
        <f t="shared" si="5"/>
        <v>1</v>
      </c>
    </row>
    <row r="47" spans="1:29" ht="15">
      <c r="A47" s="606" t="s">
        <v>736</v>
      </c>
      <c r="B47" s="885"/>
      <c r="C47" s="2588" t="s">
        <v>9</v>
      </c>
      <c r="D47" s="2589"/>
      <c r="E47" s="2590">
        <v>7500</v>
      </c>
      <c r="F47" s="2591"/>
      <c r="G47" s="2592">
        <v>9000</v>
      </c>
      <c r="H47" s="2593"/>
      <c r="I47" s="2590">
        <v>8000</v>
      </c>
      <c r="J47" s="2593"/>
      <c r="K47" s="1590"/>
      <c r="L47" s="2126"/>
      <c r="M47" s="2127"/>
      <c r="N47" s="2116"/>
      <c r="O47" s="2127"/>
      <c r="P47" s="3413" t="str">
        <f>A47</f>
        <v>成交单价（元/平方米）</v>
      </c>
      <c r="Q47" s="3413"/>
      <c r="R47" s="3530">
        <f>E47</f>
        <v>7500</v>
      </c>
      <c r="S47" s="3530"/>
      <c r="T47" s="3530">
        <f>G47</f>
        <v>9000</v>
      </c>
      <c r="U47" s="3530"/>
      <c r="V47" s="3530">
        <f>I47</f>
        <v>8000</v>
      </c>
      <c r="W47" s="3530"/>
      <c r="X47" s="1544"/>
      <c r="Y47" s="1566"/>
      <c r="Z47" s="1544"/>
      <c r="AA47" s="1544"/>
      <c r="AB47" s="1544"/>
      <c r="AC47" s="1544"/>
    </row>
    <row r="48" spans="1:29" ht="15.75" thickBot="1">
      <c r="A48" s="614" t="s">
        <v>2758</v>
      </c>
      <c r="B48" s="886"/>
      <c r="C48" s="2594">
        <f>R49</f>
        <v>7729</v>
      </c>
      <c r="D48" s="2595"/>
      <c r="E48" s="2596">
        <f>R48</f>
        <v>7502</v>
      </c>
      <c r="F48" s="2596"/>
      <c r="G48" s="2594">
        <f>T48</f>
        <v>8071</v>
      </c>
      <c r="H48" s="2595"/>
      <c r="I48" s="2596">
        <f>V48</f>
        <v>7615</v>
      </c>
      <c r="J48" s="2595"/>
      <c r="K48" s="1591"/>
      <c r="L48" s="2126"/>
      <c r="M48" s="2127"/>
      <c r="N48" s="2127"/>
      <c r="O48" s="2127"/>
      <c r="P48" s="3413" t="str">
        <f>A48</f>
        <v>比较价格（元/平方米）</v>
      </c>
      <c r="Q48" s="3413"/>
      <c r="R48" s="3530">
        <f>IF(F1="售价",ROUND(PRODUCT(R47,AA7:AA46),0),ROUND(PRODUCT(R47,AA7:AA46),1))</f>
        <v>7502</v>
      </c>
      <c r="S48" s="3530"/>
      <c r="T48" s="3530">
        <f>IF(F1="售价",ROUND(PRODUCT(T47,AB7:AB46),0),ROUND(PRODUCT(T47,AB7:AB46),1))</f>
        <v>8071</v>
      </c>
      <c r="U48" s="3530"/>
      <c r="V48" s="3530">
        <f>IF(F1="售价",ROUND(PRODUCT(V47,AC7:AC46),0),ROUND(PRODUCT(V47,AC7:AC46),1))</f>
        <v>7615</v>
      </c>
      <c r="W48" s="3530"/>
      <c r="X48" s="1544"/>
      <c r="Y48" s="1544"/>
      <c r="Z48" s="1544"/>
      <c r="AA48" s="1544"/>
      <c r="AB48" s="1544"/>
      <c r="AC48" s="1544"/>
    </row>
    <row r="49" spans="1:29" ht="15.75" thickBot="1">
      <c r="A49" s="620" t="s">
        <v>2930</v>
      </c>
      <c r="B49" s="621"/>
      <c r="C49" s="2597">
        <f>R49</f>
        <v>7729</v>
      </c>
      <c r="D49" s="2597"/>
      <c r="E49" s="2597"/>
      <c r="F49" s="2597"/>
      <c r="G49" s="2597"/>
      <c r="H49" s="2597"/>
      <c r="I49" s="2597"/>
      <c r="J49" s="2597"/>
      <c r="K49" s="1592"/>
      <c r="L49" s="2126"/>
      <c r="M49" s="2127"/>
      <c r="N49" s="2127"/>
      <c r="O49" s="2127"/>
      <c r="P49" s="3410" t="str">
        <f>A49</f>
        <v>估价对象XX用房的比较价格（楼面单价，元/平方米）</v>
      </c>
      <c r="Q49" s="3411"/>
      <c r="R49" s="3529">
        <f>IF(F1="售价",ROUND(AVERAGE(R48:V48),0),ROUND(AVERAGE(R48:V48),1))</f>
        <v>7729</v>
      </c>
      <c r="S49" s="3529"/>
      <c r="T49" s="3529"/>
      <c r="U49" s="3529"/>
      <c r="V49" s="3529"/>
      <c r="W49" s="3529"/>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2.666666666666373E-4</v>
      </c>
      <c r="F52" s="626" t="str">
        <f>IF(OR(E52&gt;=0.3,E52&lt;=-0.3),"超过30%","")</f>
        <v/>
      </c>
      <c r="G52" s="625">
        <f>IF(G47&lt;G48,G48/G47-1,G47/G48-1)</f>
        <v>0.1151034568207161</v>
      </c>
      <c r="H52" s="626" t="str">
        <f>IF(OR(G52&gt;=0.3,G52&lt;=-0.3),"超过30%","")</f>
        <v/>
      </c>
      <c r="I52" s="625">
        <f>IF(I47&lt;I48,I48/I47-1,I47/I48-1)</f>
        <v>5.0558108995403916E-2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7.5846440949080218E-2</v>
      </c>
      <c r="F53" s="626" t="str">
        <f>IF(OR(E53&gt;=0.2,E53&lt;=-0.2),"超过20%","")</f>
        <v/>
      </c>
      <c r="G53" s="625">
        <f>IF(G48&lt;I48,I48/G48-1,G48/I48-1)</f>
        <v>5.9881812212738028E-2</v>
      </c>
      <c r="H53" s="626" t="str">
        <f>IF(OR(G53&gt;=0.2,G53&lt;=-0.2),"超过20%","")</f>
        <v/>
      </c>
      <c r="I53" s="625">
        <f>IF(I48&lt;E48,E48/I48-1,I48/E48-1)</f>
        <v>1.506264996001061E-2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0.19999999999999996</v>
      </c>
      <c r="F54" s="626" t="str">
        <f>IF(OR(E54&gt;=0.3,E54&lt;=-0.3),"超过30%","")</f>
        <v/>
      </c>
      <c r="G54" s="625">
        <f>IF(G47&lt;I47,I47/G47-1,G47/I47-1)</f>
        <v>0.125</v>
      </c>
      <c r="H54" s="626" t="str">
        <f>IF(OR(G54&gt;=0.3,G54&lt;=-0.3),"超过30%","")</f>
        <v/>
      </c>
      <c r="I54" s="625">
        <f>IF(I47&lt;E47,E47/I47-1,I47/E47-1)</f>
        <v>6.6666666666666652E-2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1" customFormat="1" ht="15">
      <c r="A58" s="644" t="s">
        <v>529</v>
      </c>
      <c r="B58" s="645"/>
      <c r="C58" s="2756" t="str">
        <f>YEAR(C7)&amp;"-"&amp;MONTH(C7)</f>
        <v>2019-7</v>
      </c>
      <c r="D58" s="2756">
        <f>EDATE(C58,-1)</f>
        <v>43617</v>
      </c>
      <c r="E58" s="2756">
        <f t="shared" ref="E58:O58" si="16">EDATE(D58,-1)</f>
        <v>43586</v>
      </c>
      <c r="F58" s="2756">
        <f t="shared" si="16"/>
        <v>43556</v>
      </c>
      <c r="G58" s="2756">
        <f t="shared" si="16"/>
        <v>43525</v>
      </c>
      <c r="H58" s="2756">
        <f t="shared" si="16"/>
        <v>43497</v>
      </c>
      <c r="I58" s="2756">
        <f t="shared" si="16"/>
        <v>43466</v>
      </c>
      <c r="J58" s="2756">
        <f t="shared" si="16"/>
        <v>43435</v>
      </c>
      <c r="K58" s="2756">
        <f t="shared" si="16"/>
        <v>43405</v>
      </c>
      <c r="L58" s="2756">
        <f t="shared" si="16"/>
        <v>43374</v>
      </c>
      <c r="M58" s="2756">
        <f t="shared" si="16"/>
        <v>43344</v>
      </c>
      <c r="N58" s="2756">
        <f t="shared" si="16"/>
        <v>43313</v>
      </c>
      <c r="O58" s="2756">
        <f t="shared" si="16"/>
        <v>43282</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3212">
        <f>C59-$C$60</f>
        <v>99</v>
      </c>
      <c r="E59" s="3212">
        <f t="shared" ref="E59:O59" si="17">D59-$C$60</f>
        <v>98</v>
      </c>
      <c r="F59" s="3212">
        <f t="shared" si="17"/>
        <v>97</v>
      </c>
      <c r="G59" s="3212">
        <f t="shared" si="17"/>
        <v>96</v>
      </c>
      <c r="H59" s="3212">
        <f t="shared" si="17"/>
        <v>95</v>
      </c>
      <c r="I59" s="3212">
        <f t="shared" si="17"/>
        <v>94</v>
      </c>
      <c r="J59" s="3212">
        <f t="shared" si="17"/>
        <v>93</v>
      </c>
      <c r="K59" s="3212">
        <f t="shared" si="17"/>
        <v>92</v>
      </c>
      <c r="L59" s="3212">
        <f t="shared" si="17"/>
        <v>91</v>
      </c>
      <c r="M59" s="3212">
        <f t="shared" si="17"/>
        <v>90</v>
      </c>
      <c r="N59" s="3212">
        <f t="shared" si="17"/>
        <v>89</v>
      </c>
      <c r="O59" s="3212">
        <f t="shared" si="17"/>
        <v>88</v>
      </c>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3204">
        <v>1</v>
      </c>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v>100</v>
      </c>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0（含）-1.5</v>
      </c>
      <c r="D67" s="681" t="str">
        <f t="shared" ref="D67:L67" si="19">D68&amp;"（含）"&amp;"-"&amp;E68</f>
        <v>1.5（含）-2</v>
      </c>
      <c r="E67" s="681" t="str">
        <f t="shared" si="19"/>
        <v>2（含）-2.5</v>
      </c>
      <c r="F67" s="681" t="str">
        <f t="shared" si="19"/>
        <v>2.5（含）-3</v>
      </c>
      <c r="G67" s="681" t="str">
        <f t="shared" si="19"/>
        <v>3（含）-</v>
      </c>
      <c r="H67" s="681" t="str">
        <f t="shared" si="19"/>
        <v>（含）-</v>
      </c>
      <c r="I67" s="681" t="str">
        <f t="shared" si="19"/>
        <v>（含）-</v>
      </c>
      <c r="J67" s="681" t="str">
        <f t="shared" si="19"/>
        <v>（含）-</v>
      </c>
      <c r="K67" s="681" t="str">
        <f t="shared" si="19"/>
        <v>（含）-</v>
      </c>
      <c r="L67" s="681" t="str">
        <f t="shared" si="19"/>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0</v>
      </c>
      <c r="D68" s="540">
        <v>1.5</v>
      </c>
      <c r="E68" s="540">
        <v>2</v>
      </c>
      <c r="F68" s="540">
        <v>2.5</v>
      </c>
      <c r="G68" s="540">
        <v>3</v>
      </c>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48"/>
      <c r="O69" s="2148"/>
      <c r="P69" s="2147"/>
      <c r="Q69" s="2140"/>
      <c r="R69" s="2127"/>
      <c r="S69" s="2127"/>
      <c r="T69" s="2127"/>
      <c r="U69" s="2127"/>
      <c r="V69" s="2127"/>
      <c r="W69" s="2127"/>
      <c r="X69" s="2127"/>
      <c r="Y69" s="2127"/>
      <c r="Z69" s="2127"/>
      <c r="AA69" s="2127"/>
      <c r="AB69" s="2127"/>
      <c r="AC69" s="2127"/>
    </row>
    <row r="70" spans="1:29" s="1333" customFormat="1" ht="15.75" hidden="1"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hidden="1"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hidden="1"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hidden="1"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hidden="1"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hidden="1"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2556</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2557</v>
      </c>
      <c r="C82" s="2559" t="s">
        <v>2558</v>
      </c>
      <c r="D82" s="2559" t="s">
        <v>2559</v>
      </c>
      <c r="E82" s="2559" t="s">
        <v>2560</v>
      </c>
      <c r="F82" s="2559" t="s">
        <v>2561</v>
      </c>
      <c r="G82" s="2559" t="s">
        <v>2562</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98</v>
      </c>
      <c r="E83" s="678">
        <f>D83-$K21</f>
        <v>96</v>
      </c>
      <c r="F83" s="678">
        <f>E83-$K21</f>
        <v>94</v>
      </c>
      <c r="G83" s="678">
        <f>F83-$K21</f>
        <v>92</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hidden="1" thickTop="1">
      <c r="A86" s="708"/>
      <c r="B86" s="1878" t="s">
        <v>2256</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8"/>
      <c r="O87" s="2148"/>
      <c r="P87" s="2147"/>
      <c r="Q87" s="2140"/>
      <c r="R87" s="1975"/>
      <c r="S87" s="1975"/>
      <c r="T87" s="1975"/>
      <c r="U87" s="1975"/>
      <c r="V87" s="1975"/>
      <c r="W87" s="1975"/>
      <c r="X87" s="1975"/>
      <c r="Y87" s="1975"/>
      <c r="Z87" s="1975"/>
      <c r="AA87" s="1975"/>
      <c r="AB87" s="1975"/>
      <c r="AC87" s="1975"/>
    </row>
    <row r="88" spans="1:29" s="1214" customFormat="1" ht="15.75" hidden="1"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8"/>
      <c r="O89" s="2148"/>
      <c r="P89" s="2147"/>
      <c r="Q89" s="2140"/>
      <c r="R89" s="1975"/>
      <c r="S89" s="1975"/>
      <c r="T89" s="1975"/>
      <c r="U89" s="1975"/>
      <c r="V89" s="1975"/>
      <c r="W89" s="1975"/>
      <c r="X89" s="1975"/>
      <c r="Y89" s="1975"/>
      <c r="Z89" s="1975"/>
      <c r="AA89" s="1975"/>
      <c r="AB89" s="1975"/>
      <c r="AC89" s="1975"/>
    </row>
    <row r="90" spans="1:29" s="1333" customFormat="1" ht="15.75" hidden="1"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hidden="1"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hidden="1"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hidden="1"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hidden="1"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hidden="1"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hidden="1"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hidden="1"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hidden="1"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hidden="1"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5" thickTop="1">
      <c r="A100" s="663" t="s">
        <v>551</v>
      </c>
      <c r="B100" s="664" t="s">
        <v>747</v>
      </c>
      <c r="C100" s="3206" t="s">
        <v>3228</v>
      </c>
      <c r="D100" s="3206" t="s">
        <v>3274</v>
      </c>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0(含)-100000</v>
      </c>
      <c r="D102" s="707" t="str">
        <f t="shared" ref="D102:L102" si="24">D103&amp;"(含)"&amp;"-"&amp;E103</f>
        <v>100000(含)-500000</v>
      </c>
      <c r="E102" s="707" t="str">
        <f t="shared" si="24"/>
        <v>500000(含)-8000000</v>
      </c>
      <c r="F102" s="707" t="str">
        <f t="shared" si="24"/>
        <v>8000000(含)-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100000</v>
      </c>
      <c r="E103" s="729">
        <v>500000</v>
      </c>
      <c r="F103" s="729">
        <v>8000000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v>100</v>
      </c>
      <c r="D104" s="670">
        <v>101</v>
      </c>
      <c r="E104" s="670">
        <v>102</v>
      </c>
      <c r="F104" s="670">
        <v>103</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208" t="s">
        <v>3229</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3207" t="s">
        <v>3231</v>
      </c>
      <c r="D107" s="3207" t="s">
        <v>3232</v>
      </c>
      <c r="E107" s="3207" t="s">
        <v>3230</v>
      </c>
      <c r="F107" s="3207" t="s">
        <v>3233</v>
      </c>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208" t="s">
        <v>3235</v>
      </c>
      <c r="D109" s="3208" t="s">
        <v>3236</v>
      </c>
      <c r="E109" s="3208" t="s">
        <v>3237</v>
      </c>
      <c r="F109" s="3207" t="s">
        <v>3239</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3208" t="s">
        <v>3241</v>
      </c>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2555</v>
      </c>
      <c r="C116" s="1370" t="s">
        <v>3209</v>
      </c>
      <c r="D116" s="1370" t="s">
        <v>3210</v>
      </c>
      <c r="E116" s="1370" t="s">
        <v>3211</v>
      </c>
      <c r="F116" s="1370" t="s">
        <v>3212</v>
      </c>
      <c r="G116" s="1370" t="s">
        <v>3213</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hidden="1"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hidden="1"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hidden="1"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hidden="1"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208" t="s">
        <v>3235</v>
      </c>
      <c r="D122" s="3208" t="s">
        <v>3236</v>
      </c>
      <c r="E122" s="3208" t="s">
        <v>3237</v>
      </c>
      <c r="F122" s="3207" t="s">
        <v>3239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1"/>
      <c r="E1" s="505"/>
      <c r="F1" s="2759"/>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419" t="s">
        <v>522</v>
      </c>
      <c r="D4" s="3420"/>
      <c r="E4" s="3453" t="s">
        <v>523</v>
      </c>
      <c r="F4" s="3454"/>
      <c r="G4" s="3419" t="s">
        <v>524</v>
      </c>
      <c r="H4" s="3420"/>
      <c r="I4" s="3419" t="s">
        <v>525</v>
      </c>
      <c r="J4" s="3420"/>
      <c r="K4" s="513" t="s">
        <v>526</v>
      </c>
      <c r="L4" s="2115"/>
      <c r="M4" s="2116"/>
      <c r="N4" s="2116"/>
      <c r="O4" s="2116"/>
      <c r="P4" s="3421" t="s">
        <v>527</v>
      </c>
      <c r="Q4" s="3422"/>
      <c r="R4" s="3427" t="s">
        <v>523</v>
      </c>
      <c r="S4" s="3428"/>
      <c r="T4" s="3427" t="s">
        <v>524</v>
      </c>
      <c r="U4" s="3428"/>
      <c r="V4" s="3414" t="s">
        <v>525</v>
      </c>
      <c r="W4" s="3414"/>
      <c r="X4" s="1552"/>
      <c r="Y4" s="3427" t="s">
        <v>527</v>
      </c>
      <c r="Z4" s="3428"/>
      <c r="AA4" s="3416" t="s">
        <v>523</v>
      </c>
      <c r="AB4" s="3414" t="s">
        <v>524</v>
      </c>
      <c r="AC4" s="3416" t="s">
        <v>525</v>
      </c>
    </row>
    <row r="5" spans="1:29" ht="15">
      <c r="A5" s="514"/>
      <c r="B5" s="515"/>
      <c r="C5" s="3435" t="s">
        <v>2924</v>
      </c>
      <c r="D5" s="3436"/>
      <c r="E5" s="3455" t="s">
        <v>2925</v>
      </c>
      <c r="F5" s="3456"/>
      <c r="G5" s="3435" t="s">
        <v>2926</v>
      </c>
      <c r="H5" s="3436"/>
      <c r="I5" s="3435" t="s">
        <v>2927</v>
      </c>
      <c r="J5" s="3436"/>
      <c r="K5" s="513"/>
      <c r="L5" s="2115"/>
      <c r="M5" s="2116"/>
      <c r="N5" s="2116"/>
      <c r="O5" s="2116"/>
      <c r="P5" s="3423"/>
      <c r="Q5" s="3424"/>
      <c r="R5" s="3429"/>
      <c r="S5" s="3430"/>
      <c r="T5" s="3429"/>
      <c r="U5" s="3430"/>
      <c r="V5" s="3414"/>
      <c r="W5" s="3414"/>
      <c r="X5" s="1552"/>
      <c r="Y5" s="3429"/>
      <c r="Z5" s="3430"/>
      <c r="AA5" s="3417"/>
      <c r="AB5" s="3414"/>
      <c r="AC5" s="3417"/>
    </row>
    <row r="6" spans="1:29" ht="15.75" thickBot="1">
      <c r="A6" s="516"/>
      <c r="B6" s="517"/>
      <c r="C6" s="3433" t="s">
        <v>2928</v>
      </c>
      <c r="D6" s="3434"/>
      <c r="E6" s="3451" t="s">
        <v>2928</v>
      </c>
      <c r="F6" s="3452"/>
      <c r="G6" s="3433" t="s">
        <v>2928</v>
      </c>
      <c r="H6" s="3434"/>
      <c r="I6" s="3433" t="s">
        <v>2928</v>
      </c>
      <c r="J6" s="3434"/>
      <c r="K6" s="513" t="s">
        <v>528</v>
      </c>
      <c r="L6" s="2115"/>
      <c r="M6" s="2116"/>
      <c r="N6" s="2116"/>
      <c r="O6" s="2116"/>
      <c r="P6" s="3425"/>
      <c r="Q6" s="3426"/>
      <c r="R6" s="3429"/>
      <c r="S6" s="3430"/>
      <c r="T6" s="3431"/>
      <c r="U6" s="3432"/>
      <c r="V6" s="3414"/>
      <c r="W6" s="3414"/>
      <c r="X6" s="1552"/>
      <c r="Y6" s="3431"/>
      <c r="Z6" s="3432"/>
      <c r="AA6" s="3418"/>
      <c r="AB6" s="3414"/>
      <c r="AC6" s="3418"/>
    </row>
    <row r="7" spans="1:29" s="1214" customFormat="1" ht="15.75" thickBot="1">
      <c r="A7" s="2863"/>
      <c r="B7" s="2870" t="s">
        <v>529</v>
      </c>
      <c r="C7" s="518">
        <f>'数据-取费表'!B2</f>
        <v>43656</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44" t="s">
        <v>530</v>
      </c>
      <c r="Q7" s="3446"/>
      <c r="R7" s="1553" t="s">
        <v>8</v>
      </c>
      <c r="S7" s="1554">
        <f t="shared" ref="S7:S15" si="0">F7</f>
        <v>0</v>
      </c>
      <c r="T7" s="1553" t="s">
        <v>8</v>
      </c>
      <c r="U7" s="1554">
        <f t="shared" ref="U7:U15" si="1">H7</f>
        <v>0</v>
      </c>
      <c r="V7" s="1553" t="s">
        <v>8</v>
      </c>
      <c r="W7" s="1554">
        <f t="shared" ref="W7:W15" si="2">J7</f>
        <v>0</v>
      </c>
      <c r="X7" s="1555"/>
      <c r="Y7" s="3444" t="s">
        <v>530</v>
      </c>
      <c r="Z7" s="3445"/>
      <c r="AA7" s="1556" t="e">
        <f>D7/F7</f>
        <v>#DIV/0!</v>
      </c>
      <c r="AB7" s="1556" t="e">
        <f>D7/H7</f>
        <v>#DIV/0!</v>
      </c>
      <c r="AC7" s="1556" t="e">
        <f>D7/J7</f>
        <v>#DIV/0!</v>
      </c>
    </row>
    <row r="8" spans="1:29" s="1214"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44" t="s">
        <v>533</v>
      </c>
      <c r="Q8" s="3445"/>
      <c r="R8" s="1553" t="s">
        <v>8</v>
      </c>
      <c r="S8" s="1554">
        <f t="shared" si="0"/>
        <v>0</v>
      </c>
      <c r="T8" s="1553" t="s">
        <v>8</v>
      </c>
      <c r="U8" s="1554">
        <f t="shared" si="1"/>
        <v>0</v>
      </c>
      <c r="V8" s="1553" t="s">
        <v>8</v>
      </c>
      <c r="W8" s="1554">
        <f t="shared" si="2"/>
        <v>0</v>
      </c>
      <c r="X8" s="1555"/>
      <c r="Y8" s="3444" t="s">
        <v>533</v>
      </c>
      <c r="Z8" s="3445"/>
      <c r="AA8" s="1556" t="e">
        <f t="shared" ref="AA8:AA46" si="3">D8/F8</f>
        <v>#DIV/0!</v>
      </c>
      <c r="AB8" s="1556" t="e">
        <f t="shared" ref="AB8:AB46" si="4">D8/H8</f>
        <v>#DIV/0!</v>
      </c>
      <c r="AC8" s="1556" t="e">
        <f t="shared" ref="AC8:AC46" si="5">D8/J8</f>
        <v>#DIV/0!</v>
      </c>
    </row>
    <row r="9" spans="1:29" s="1214" customFormat="1" ht="15">
      <c r="A9" s="2865"/>
      <c r="B9" s="2872" t="s">
        <v>2754</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13" t="s">
        <v>535</v>
      </c>
      <c r="Q9" s="1145" t="str">
        <f t="shared" ref="Q9:Q15" si="6">B9</f>
        <v>用途</v>
      </c>
      <c r="R9" s="1553" t="s">
        <v>8</v>
      </c>
      <c r="S9" s="1554">
        <f t="shared" si="0"/>
        <v>100</v>
      </c>
      <c r="T9" s="1553" t="s">
        <v>8</v>
      </c>
      <c r="U9" s="1554">
        <f t="shared" si="1"/>
        <v>100</v>
      </c>
      <c r="V9" s="1553" t="s">
        <v>8</v>
      </c>
      <c r="W9" s="1554">
        <f t="shared" si="2"/>
        <v>100</v>
      </c>
      <c r="X9" s="1555"/>
      <c r="Y9" s="3359" t="s">
        <v>536</v>
      </c>
      <c r="Z9" s="1144" t="str">
        <f t="shared" ref="Z9:Z15" si="7">Q9</f>
        <v>用途</v>
      </c>
      <c r="AA9" s="1556">
        <f t="shared" si="3"/>
        <v>1</v>
      </c>
      <c r="AB9" s="1556">
        <f t="shared" si="4"/>
        <v>1</v>
      </c>
      <c r="AC9" s="1556">
        <f t="shared" si="5"/>
        <v>1</v>
      </c>
    </row>
    <row r="10" spans="1:29" s="1332" customFormat="1" ht="27">
      <c r="A10" s="2866"/>
      <c r="B10" s="2871" t="s">
        <v>2755</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13"/>
      <c r="Q10" s="1145" t="str">
        <f t="shared" si="6"/>
        <v>土地使用年限（年）</v>
      </c>
      <c r="R10" s="1553" t="s">
        <v>8</v>
      </c>
      <c r="S10" s="1554">
        <f t="shared" si="0"/>
        <v>100</v>
      </c>
      <c r="T10" s="1553" t="s">
        <v>8</v>
      </c>
      <c r="U10" s="1554">
        <f t="shared" si="1"/>
        <v>100</v>
      </c>
      <c r="V10" s="1553" t="s">
        <v>8</v>
      </c>
      <c r="W10" s="1554">
        <f t="shared" si="2"/>
        <v>100</v>
      </c>
      <c r="X10" s="1555"/>
      <c r="Y10" s="3359"/>
      <c r="Z10" s="1144" t="str">
        <f t="shared" si="7"/>
        <v>土地使用年限（年）</v>
      </c>
      <c r="AA10" s="1556">
        <f t="shared" si="3"/>
        <v>1</v>
      </c>
      <c r="AB10" s="1556">
        <f t="shared" si="4"/>
        <v>1</v>
      </c>
      <c r="AC10" s="1556">
        <f t="shared" si="5"/>
        <v>1</v>
      </c>
    </row>
    <row r="11" spans="1:29" ht="15">
      <c r="A11" s="2867"/>
      <c r="B11" s="2871"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13"/>
      <c r="Q11" s="1145" t="str">
        <f t="shared" si="6"/>
        <v>容积率</v>
      </c>
      <c r="R11" s="1553" t="s">
        <v>8</v>
      </c>
      <c r="S11" s="1554" t="e">
        <f t="shared" si="0"/>
        <v>#N/A</v>
      </c>
      <c r="T11" s="1553" t="s">
        <v>8</v>
      </c>
      <c r="U11" s="1554" t="e">
        <f t="shared" si="1"/>
        <v>#N/A</v>
      </c>
      <c r="V11" s="1553" t="s">
        <v>8</v>
      </c>
      <c r="W11" s="1554" t="e">
        <f t="shared" si="2"/>
        <v>#N/A</v>
      </c>
      <c r="X11" s="1555"/>
      <c r="Y11" s="3359"/>
      <c r="Z11" s="1144" t="str">
        <f t="shared" si="7"/>
        <v>容积率</v>
      </c>
      <c r="AA11" s="1556" t="e">
        <f t="shared" si="3"/>
        <v>#N/A</v>
      </c>
      <c r="AB11" s="1556" t="e">
        <f t="shared" si="4"/>
        <v>#N/A</v>
      </c>
      <c r="AC11" s="1556" t="e">
        <f t="shared" si="5"/>
        <v>#N/A</v>
      </c>
    </row>
    <row r="12" spans="1:29" s="1214"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13"/>
      <c r="Q12" s="1145">
        <f t="shared" si="6"/>
        <v>111</v>
      </c>
      <c r="R12" s="1553" t="s">
        <v>8</v>
      </c>
      <c r="S12" s="1554">
        <f t="shared" si="0"/>
        <v>100</v>
      </c>
      <c r="T12" s="1553" t="s">
        <v>8</v>
      </c>
      <c r="U12" s="1554">
        <f t="shared" si="1"/>
        <v>100</v>
      </c>
      <c r="V12" s="1553" t="s">
        <v>8</v>
      </c>
      <c r="W12" s="1554">
        <f t="shared" si="2"/>
        <v>100</v>
      </c>
      <c r="X12" s="1555"/>
      <c r="Y12" s="3359"/>
      <c r="Z12" s="1144">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13"/>
      <c r="Q13" s="1145">
        <f t="shared" si="6"/>
        <v>111</v>
      </c>
      <c r="R13" s="1553" t="s">
        <v>8</v>
      </c>
      <c r="S13" s="1554">
        <f t="shared" si="0"/>
        <v>100</v>
      </c>
      <c r="T13" s="1553" t="s">
        <v>8</v>
      </c>
      <c r="U13" s="1554">
        <f t="shared" si="1"/>
        <v>100</v>
      </c>
      <c r="V13" s="1553" t="s">
        <v>8</v>
      </c>
      <c r="W13" s="1554">
        <f t="shared" si="2"/>
        <v>100</v>
      </c>
      <c r="X13" s="1555"/>
      <c r="Y13" s="3359"/>
      <c r="Z13" s="1144">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13"/>
      <c r="Q14" s="1145">
        <f t="shared" si="6"/>
        <v>111</v>
      </c>
      <c r="R14" s="1553" t="s">
        <v>8</v>
      </c>
      <c r="S14" s="1554">
        <f t="shared" si="0"/>
        <v>100</v>
      </c>
      <c r="T14" s="1553" t="s">
        <v>8</v>
      </c>
      <c r="U14" s="1554">
        <f t="shared" si="1"/>
        <v>100</v>
      </c>
      <c r="V14" s="1553" t="s">
        <v>8</v>
      </c>
      <c r="W14" s="1554">
        <f t="shared" si="2"/>
        <v>100</v>
      </c>
      <c r="X14" s="1555"/>
      <c r="Y14" s="3359"/>
      <c r="Z14" s="1144">
        <f t="shared" si="7"/>
        <v>111</v>
      </c>
      <c r="AA14" s="1556">
        <f t="shared" si="3"/>
        <v>1</v>
      </c>
      <c r="AB14" s="1556">
        <f t="shared" si="4"/>
        <v>1</v>
      </c>
      <c r="AC14" s="1556">
        <f t="shared" si="5"/>
        <v>1</v>
      </c>
    </row>
    <row r="15" spans="1:29" ht="128.25">
      <c r="A15" s="2861" t="s">
        <v>2752</v>
      </c>
      <c r="B15" s="166" t="s">
        <v>541</v>
      </c>
      <c r="C15" s="866" t="str">
        <f>估价对象房地状况!C4</f>
        <v>估价对象周边无大型商业，整体商业氛围较差，人流量少且构成多为本地居民；综合评价估价对象所处区域目前的商业繁华程度较差。</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47" t="s">
        <v>540</v>
      </c>
      <c r="Q15" s="1557" t="str">
        <f t="shared" si="6"/>
        <v>商业繁华度</v>
      </c>
      <c r="R15" s="1558" t="s">
        <v>8</v>
      </c>
      <c r="S15" s="1559">
        <f t="shared" si="0"/>
        <v>100</v>
      </c>
      <c r="T15" s="1558" t="s">
        <v>8</v>
      </c>
      <c r="U15" s="1559">
        <f t="shared" si="1"/>
        <v>100</v>
      </c>
      <c r="V15" s="1558" t="s">
        <v>8</v>
      </c>
      <c r="W15" s="1559">
        <f t="shared" si="2"/>
        <v>100</v>
      </c>
      <c r="X15" s="1552"/>
      <c r="Y15" s="3447"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4"/>
      <c r="M16" s="2116"/>
      <c r="N16" s="2116"/>
      <c r="O16" s="2123"/>
      <c r="P16" s="3448"/>
      <c r="Q16" s="1557"/>
      <c r="R16" s="1558"/>
      <c r="S16" s="1559"/>
      <c r="T16" s="1558"/>
      <c r="U16" s="1559"/>
      <c r="V16" s="1558"/>
      <c r="W16" s="1559"/>
      <c r="X16" s="1552"/>
      <c r="Y16" s="3448"/>
      <c r="Z16" s="1560"/>
      <c r="AA16" s="1561">
        <v>1</v>
      </c>
      <c r="AB16" s="1561">
        <v>1</v>
      </c>
      <c r="AC16" s="1561">
        <v>1</v>
      </c>
    </row>
    <row r="17" spans="1:29" ht="185.25">
      <c r="A17" s="531"/>
      <c r="B17" s="870" t="s">
        <v>296</v>
      </c>
      <c r="C17" s="871" t="str">
        <f>估价对象房地状况!C6</f>
        <v>估价对象临近省道S124，周边多为乡级公路，道路密集度较差；周边有413路、612路、407路、513路等公交线路，距S3线一期终点高家冲站5.5公里，公共交通通达情况一般；综合评价交通便捷度一般。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48"/>
      <c r="Q17" s="1557" t="str">
        <f>B17</f>
        <v>交通便捷度</v>
      </c>
      <c r="R17" s="1558" t="s">
        <v>8</v>
      </c>
      <c r="S17" s="1559">
        <f>F17</f>
        <v>100</v>
      </c>
      <c r="T17" s="1558" t="s">
        <v>8</v>
      </c>
      <c r="U17" s="1559">
        <f>H17</f>
        <v>100</v>
      </c>
      <c r="V17" s="1558" t="s">
        <v>8</v>
      </c>
      <c r="W17" s="1559">
        <f>J17</f>
        <v>100</v>
      </c>
      <c r="X17" s="1552"/>
      <c r="Y17" s="344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4"/>
      <c r="M18" s="2116"/>
      <c r="N18" s="2116"/>
      <c r="O18" s="2123"/>
      <c r="P18" s="3448"/>
      <c r="Q18" s="1557"/>
      <c r="R18" s="1558"/>
      <c r="S18" s="1559"/>
      <c r="T18" s="1558"/>
      <c r="U18" s="1559"/>
      <c r="V18" s="1558"/>
      <c r="W18" s="1559"/>
      <c r="X18" s="1552"/>
      <c r="Y18" s="3448"/>
      <c r="Z18" s="1560"/>
      <c r="AA18" s="1561">
        <v>1</v>
      </c>
      <c r="AB18" s="1561">
        <v>1</v>
      </c>
      <c r="AC18" s="1561">
        <v>1</v>
      </c>
    </row>
    <row r="19" spans="1:29" ht="199.5">
      <c r="A19" s="531"/>
      <c r="B19" s="2561" t="s">
        <v>2545</v>
      </c>
      <c r="C19" s="871"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48"/>
      <c r="Q19" s="1557" t="str">
        <f>B19</f>
        <v>公共配套设施</v>
      </c>
      <c r="R19" s="1558" t="s">
        <v>8</v>
      </c>
      <c r="S19" s="1559">
        <f>F19</f>
        <v>100</v>
      </c>
      <c r="T19" s="1558" t="s">
        <v>8</v>
      </c>
      <c r="U19" s="1559">
        <f>H19</f>
        <v>100</v>
      </c>
      <c r="V19" s="1558" t="s">
        <v>8</v>
      </c>
      <c r="W19" s="1559">
        <f>J19</f>
        <v>100</v>
      </c>
      <c r="X19" s="1552"/>
      <c r="Y19" s="3448"/>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4"/>
      <c r="M20" s="2116"/>
      <c r="N20" s="2116"/>
      <c r="O20" s="2123"/>
      <c r="P20" s="3448"/>
      <c r="Q20" s="1557"/>
      <c r="R20" s="1558"/>
      <c r="S20" s="1559"/>
      <c r="T20" s="1558"/>
      <c r="U20" s="1559"/>
      <c r="V20" s="1558"/>
      <c r="W20" s="1559"/>
      <c r="X20" s="1552"/>
      <c r="Y20" s="3448"/>
      <c r="Z20" s="1560"/>
      <c r="AA20" s="1561">
        <v>1</v>
      </c>
      <c r="AB20" s="1561">
        <v>1</v>
      </c>
      <c r="AC20" s="1561">
        <v>1</v>
      </c>
    </row>
    <row r="21" spans="1:29" ht="28.5">
      <c r="A21" s="531"/>
      <c r="B21" s="255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48"/>
      <c r="Q21" s="2540" t="str">
        <f>B21</f>
        <v>基础设施水平</v>
      </c>
      <c r="R21" s="1558" t="s">
        <v>8</v>
      </c>
      <c r="S21" s="1559">
        <f>F21</f>
        <v>100</v>
      </c>
      <c r="T21" s="1558" t="s">
        <v>8</v>
      </c>
      <c r="U21" s="1559">
        <f>H21</f>
        <v>100</v>
      </c>
      <c r="V21" s="1558" t="s">
        <v>8</v>
      </c>
      <c r="W21" s="1559">
        <f>J21</f>
        <v>100</v>
      </c>
      <c r="X21" s="2542"/>
      <c r="Y21" s="3448"/>
      <c r="Z21" s="2541"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3"/>
      <c r="L22" s="2124"/>
      <c r="M22" s="2116"/>
      <c r="N22" s="2116"/>
      <c r="O22" s="2123"/>
      <c r="P22" s="3448"/>
      <c r="Q22" s="2540"/>
      <c r="R22" s="1558"/>
      <c r="S22" s="1559"/>
      <c r="T22" s="1558"/>
      <c r="U22" s="1559"/>
      <c r="V22" s="1558"/>
      <c r="W22" s="1559"/>
      <c r="X22" s="2542"/>
      <c r="Y22" s="3448"/>
      <c r="Z22" s="2541"/>
      <c r="AA22" s="1561">
        <v>1</v>
      </c>
      <c r="AB22" s="1561">
        <v>1</v>
      </c>
      <c r="AC22" s="1561">
        <v>1</v>
      </c>
    </row>
    <row r="23" spans="1:29" ht="156.75">
      <c r="A23" s="531"/>
      <c r="B23" s="870" t="s">
        <v>297</v>
      </c>
      <c r="C23" s="898" t="str">
        <f>估价对象房地状况!C9</f>
        <v>估价对象所在区域内无公园、水系、湖泊，自然环境较差；无博物馆、科技馆、体育馆、高等学府等人文设施，人文环境较差；综合评价自然及人文环境环境较差。</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48"/>
      <c r="Q23" s="1557" t="str">
        <f>B23</f>
        <v>自然及人文环境</v>
      </c>
      <c r="R23" s="1558" t="s">
        <v>8</v>
      </c>
      <c r="S23" s="1559">
        <f>F23</f>
        <v>100</v>
      </c>
      <c r="T23" s="1558" t="s">
        <v>8</v>
      </c>
      <c r="U23" s="1559">
        <f>H23</f>
        <v>100</v>
      </c>
      <c r="V23" s="1558" t="s">
        <v>8</v>
      </c>
      <c r="W23" s="1559">
        <f>J23</f>
        <v>100</v>
      </c>
      <c r="X23" s="1552"/>
      <c r="Y23" s="3448"/>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4"/>
      <c r="M24" s="2116"/>
      <c r="N24" s="2116"/>
      <c r="O24" s="2123"/>
      <c r="P24" s="3448"/>
      <c r="Q24" s="1557"/>
      <c r="R24" s="1558"/>
      <c r="S24" s="1559"/>
      <c r="T24" s="1558"/>
      <c r="U24" s="1559"/>
      <c r="V24" s="1558"/>
      <c r="W24" s="1559"/>
      <c r="X24" s="1552"/>
      <c r="Y24" s="3448"/>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48"/>
      <c r="Q25" s="1557" t="str">
        <f t="shared" ref="Q25:Q46" si="11">B25</f>
        <v>临街状况</v>
      </c>
      <c r="R25" s="1558" t="s">
        <v>8</v>
      </c>
      <c r="S25" s="1559">
        <f>F25</f>
        <v>100</v>
      </c>
      <c r="T25" s="1558" t="s">
        <v>8</v>
      </c>
      <c r="U25" s="1559">
        <f>H25</f>
        <v>100</v>
      </c>
      <c r="V25" s="1558" t="s">
        <v>8</v>
      </c>
      <c r="W25" s="1559">
        <f>J25</f>
        <v>100</v>
      </c>
      <c r="X25" s="1552"/>
      <c r="Y25" s="3448"/>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48"/>
      <c r="Q26" s="1557" t="str">
        <f t="shared" si="11"/>
        <v>平面位置/可视性</v>
      </c>
      <c r="R26" s="1558" t="s">
        <v>8</v>
      </c>
      <c r="S26" s="1559">
        <f>F26</f>
        <v>100</v>
      </c>
      <c r="T26" s="1558" t="s">
        <v>8</v>
      </c>
      <c r="U26" s="1559">
        <f>H26</f>
        <v>100</v>
      </c>
      <c r="V26" s="1558" t="s">
        <v>8</v>
      </c>
      <c r="W26" s="1559">
        <f>J26</f>
        <v>100</v>
      </c>
      <c r="X26" s="1552"/>
      <c r="Y26" s="3448"/>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48"/>
      <c r="Q27" s="1145" t="str">
        <f t="shared" si="11"/>
        <v>人流量</v>
      </c>
      <c r="R27" s="1553" t="s">
        <v>8</v>
      </c>
      <c r="S27" s="1554">
        <f>F27</f>
        <v>100</v>
      </c>
      <c r="T27" s="1553" t="s">
        <v>8</v>
      </c>
      <c r="U27" s="1554">
        <f>H27</f>
        <v>100</v>
      </c>
      <c r="V27" s="1553" t="s">
        <v>8</v>
      </c>
      <c r="W27" s="1554">
        <f>J27</f>
        <v>100</v>
      </c>
      <c r="X27" s="1555"/>
      <c r="Y27" s="3448"/>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4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48"/>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48"/>
      <c r="Q29" s="1557">
        <f t="shared" si="11"/>
        <v>111</v>
      </c>
      <c r="R29" s="1558" t="s">
        <v>8</v>
      </c>
      <c r="S29" s="1559">
        <f t="shared" si="12"/>
        <v>100</v>
      </c>
      <c r="T29" s="1558" t="s">
        <v>8</v>
      </c>
      <c r="U29" s="1559">
        <f t="shared" si="13"/>
        <v>100</v>
      </c>
      <c r="V29" s="1558" t="s">
        <v>8</v>
      </c>
      <c r="W29" s="1559">
        <f t="shared" si="14"/>
        <v>100</v>
      </c>
      <c r="X29" s="1552"/>
      <c r="Y29" s="344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48"/>
      <c r="Q30" s="1557">
        <f t="shared" si="11"/>
        <v>111</v>
      </c>
      <c r="R30" s="1558" t="s">
        <v>8</v>
      </c>
      <c r="S30" s="1559">
        <f t="shared" si="12"/>
        <v>100</v>
      </c>
      <c r="T30" s="1558" t="s">
        <v>8</v>
      </c>
      <c r="U30" s="1559">
        <f t="shared" si="13"/>
        <v>100</v>
      </c>
      <c r="V30" s="1558" t="s">
        <v>8</v>
      </c>
      <c r="W30" s="1559">
        <f t="shared" si="14"/>
        <v>100</v>
      </c>
      <c r="X30" s="1552"/>
      <c r="Y30" s="3448"/>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48"/>
      <c r="Q31" s="1557">
        <f t="shared" si="11"/>
        <v>111</v>
      </c>
      <c r="R31" s="1558" t="s">
        <v>8</v>
      </c>
      <c r="S31" s="1559">
        <f t="shared" si="12"/>
        <v>100</v>
      </c>
      <c r="T31" s="1558" t="s">
        <v>8</v>
      </c>
      <c r="U31" s="1559">
        <f t="shared" si="13"/>
        <v>100</v>
      </c>
      <c r="V31" s="1558" t="s">
        <v>8</v>
      </c>
      <c r="W31" s="1559">
        <f t="shared" si="14"/>
        <v>100</v>
      </c>
      <c r="X31" s="1552"/>
      <c r="Y31" s="3448"/>
      <c r="Z31" s="1560">
        <f t="shared" si="15"/>
        <v>111</v>
      </c>
      <c r="AA31" s="1561">
        <f t="shared" si="3"/>
        <v>1</v>
      </c>
      <c r="AB31" s="1561">
        <f t="shared" si="4"/>
        <v>1</v>
      </c>
      <c r="AC31" s="1561">
        <f t="shared" si="5"/>
        <v>1</v>
      </c>
    </row>
    <row r="32" spans="1:29" ht="15">
      <c r="A32" s="2859"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49" t="s">
        <v>550</v>
      </c>
      <c r="Q32" s="1557" t="str">
        <f t="shared" si="11"/>
        <v>商业类型</v>
      </c>
      <c r="R32" s="1558" t="s">
        <v>8</v>
      </c>
      <c r="S32" s="1559">
        <f t="shared" si="12"/>
        <v>100</v>
      </c>
      <c r="T32" s="1558" t="s">
        <v>8</v>
      </c>
      <c r="U32" s="1559">
        <f t="shared" si="13"/>
        <v>100</v>
      </c>
      <c r="V32" s="1558" t="s">
        <v>8</v>
      </c>
      <c r="W32" s="1559">
        <f t="shared" si="14"/>
        <v>100</v>
      </c>
      <c r="X32" s="1552"/>
      <c r="Y32" s="3450"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50"/>
      <c r="Q33" s="1589" t="str">
        <f t="shared" si="11"/>
        <v>项目建筑规模</v>
      </c>
      <c r="R33" s="1562" t="s">
        <v>8</v>
      </c>
      <c r="S33" s="1563" t="e">
        <f t="shared" si="12"/>
        <v>#N/A</v>
      </c>
      <c r="T33" s="1562" t="s">
        <v>8</v>
      </c>
      <c r="U33" s="1563" t="e">
        <f t="shared" si="13"/>
        <v>#N/A</v>
      </c>
      <c r="V33" s="1562" t="s">
        <v>8</v>
      </c>
      <c r="W33" s="1563" t="e">
        <f t="shared" si="14"/>
        <v>#N/A</v>
      </c>
      <c r="X33" s="1564"/>
      <c r="Y33" s="3450"/>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50"/>
      <c r="Q34" s="1557" t="str">
        <f t="shared" si="11"/>
        <v>建筑结构</v>
      </c>
      <c r="R34" s="1558" t="s">
        <v>8</v>
      </c>
      <c r="S34" s="1559">
        <f t="shared" si="12"/>
        <v>100</v>
      </c>
      <c r="T34" s="1558" t="s">
        <v>8</v>
      </c>
      <c r="U34" s="1559">
        <f t="shared" si="13"/>
        <v>100</v>
      </c>
      <c r="V34" s="1558" t="s">
        <v>8</v>
      </c>
      <c r="W34" s="1559">
        <f t="shared" si="14"/>
        <v>100</v>
      </c>
      <c r="X34" s="1552"/>
      <c r="Y34" s="3450"/>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50"/>
      <c r="Q35" s="1557" t="str">
        <f t="shared" si="11"/>
        <v>公共部分装修</v>
      </c>
      <c r="R35" s="1558" t="s">
        <v>8</v>
      </c>
      <c r="S35" s="1559">
        <f t="shared" si="12"/>
        <v>100</v>
      </c>
      <c r="T35" s="1558" t="s">
        <v>8</v>
      </c>
      <c r="U35" s="1559">
        <f t="shared" si="13"/>
        <v>100</v>
      </c>
      <c r="V35" s="1558" t="s">
        <v>8</v>
      </c>
      <c r="W35" s="1559">
        <f t="shared" si="14"/>
        <v>100</v>
      </c>
      <c r="X35" s="1552"/>
      <c r="Y35" s="3450"/>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50"/>
      <c r="Q36" s="1557" t="str">
        <f t="shared" si="11"/>
        <v>成新度</v>
      </c>
      <c r="R36" s="1558" t="s">
        <v>8</v>
      </c>
      <c r="S36" s="1559" t="e">
        <f t="shared" si="12"/>
        <v>#N/A</v>
      </c>
      <c r="T36" s="1558" t="s">
        <v>8</v>
      </c>
      <c r="U36" s="1559" t="e">
        <f t="shared" si="13"/>
        <v>#N/A</v>
      </c>
      <c r="V36" s="1558" t="s">
        <v>8</v>
      </c>
      <c r="W36" s="1559" t="e">
        <f t="shared" si="14"/>
        <v>#N/A</v>
      </c>
      <c r="X36" s="1552"/>
      <c r="Y36" s="3450"/>
      <c r="Z36" s="1560" t="str">
        <f t="shared" si="15"/>
        <v>成新度</v>
      </c>
      <c r="AA36" s="1561" t="e">
        <f t="shared" si="3"/>
        <v>#N/A</v>
      </c>
      <c r="AB36" s="1561" t="e">
        <f t="shared" si="4"/>
        <v>#N/A</v>
      </c>
      <c r="AC36" s="1561" t="e">
        <f t="shared" si="5"/>
        <v>#N/A</v>
      </c>
    </row>
    <row r="37" spans="1:29" s="1214" customFormat="1" ht="15">
      <c r="A37" s="599"/>
      <c r="B37" s="1877"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50"/>
      <c r="Q37" s="1145" t="str">
        <f t="shared" si="11"/>
        <v>市政基础设施</v>
      </c>
      <c r="R37" s="1553" t="s">
        <v>8</v>
      </c>
      <c r="S37" s="1554">
        <f t="shared" si="12"/>
        <v>100</v>
      </c>
      <c r="T37" s="1553" t="s">
        <v>8</v>
      </c>
      <c r="U37" s="1554">
        <f t="shared" si="13"/>
        <v>100</v>
      </c>
      <c r="V37" s="1553" t="s">
        <v>8</v>
      </c>
      <c r="W37" s="1554">
        <f t="shared" si="14"/>
        <v>100</v>
      </c>
      <c r="X37" s="1555"/>
      <c r="Y37" s="3450"/>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50" t="s">
        <v>766</v>
      </c>
      <c r="Q38" s="1557" t="str">
        <f t="shared" si="11"/>
        <v>业态</v>
      </c>
      <c r="R38" s="1558" t="s">
        <v>8</v>
      </c>
      <c r="S38" s="1559">
        <f t="shared" si="12"/>
        <v>100</v>
      </c>
      <c r="T38" s="1558" t="s">
        <v>8</v>
      </c>
      <c r="U38" s="1559">
        <f t="shared" si="13"/>
        <v>100</v>
      </c>
      <c r="V38" s="1558" t="s">
        <v>8</v>
      </c>
      <c r="W38" s="1559">
        <f t="shared" si="14"/>
        <v>100</v>
      </c>
      <c r="X38" s="1552"/>
      <c r="Y38" s="3450"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50"/>
      <c r="Q39" s="1557" t="str">
        <f t="shared" si="11"/>
        <v>层高</v>
      </c>
      <c r="R39" s="1558" t="s">
        <v>8</v>
      </c>
      <c r="S39" s="1559">
        <f t="shared" si="12"/>
        <v>100</v>
      </c>
      <c r="T39" s="1558" t="s">
        <v>8</v>
      </c>
      <c r="U39" s="1559">
        <f t="shared" si="13"/>
        <v>100</v>
      </c>
      <c r="V39" s="1558" t="s">
        <v>8</v>
      </c>
      <c r="W39" s="1559">
        <f t="shared" si="14"/>
        <v>100</v>
      </c>
      <c r="X39" s="1552"/>
      <c r="Y39" s="3450"/>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50"/>
      <c r="Q40" s="1557" t="str">
        <f t="shared" si="11"/>
        <v>单套建筑面积</v>
      </c>
      <c r="R40" s="1558" t="s">
        <v>8</v>
      </c>
      <c r="S40" s="1559">
        <f t="shared" si="12"/>
        <v>100</v>
      </c>
      <c r="T40" s="1558" t="s">
        <v>8</v>
      </c>
      <c r="U40" s="1559">
        <f t="shared" si="13"/>
        <v>100</v>
      </c>
      <c r="V40" s="1558" t="s">
        <v>8</v>
      </c>
      <c r="W40" s="1559">
        <f t="shared" si="14"/>
        <v>100</v>
      </c>
      <c r="X40" s="1552"/>
      <c r="Y40" s="3450"/>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50"/>
      <c r="Q41" s="1589" t="str">
        <f t="shared" si="11"/>
        <v>进深比</v>
      </c>
      <c r="R41" s="1562" t="s">
        <v>8</v>
      </c>
      <c r="S41" s="1563">
        <f t="shared" si="12"/>
        <v>100</v>
      </c>
      <c r="T41" s="1562" t="s">
        <v>8</v>
      </c>
      <c r="U41" s="1563">
        <f t="shared" si="13"/>
        <v>100</v>
      </c>
      <c r="V41" s="1562" t="s">
        <v>8</v>
      </c>
      <c r="W41" s="1563">
        <f t="shared" si="14"/>
        <v>100</v>
      </c>
      <c r="X41" s="1564"/>
      <c r="Y41" s="3450"/>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50"/>
      <c r="Q42" s="1557" t="str">
        <f t="shared" si="11"/>
        <v>内部装修</v>
      </c>
      <c r="R42" s="1558" t="s">
        <v>8</v>
      </c>
      <c r="S42" s="1559">
        <f t="shared" si="12"/>
        <v>100</v>
      </c>
      <c r="T42" s="1558" t="s">
        <v>8</v>
      </c>
      <c r="U42" s="1559">
        <f t="shared" si="13"/>
        <v>100</v>
      </c>
      <c r="V42" s="1558" t="s">
        <v>8</v>
      </c>
      <c r="W42" s="1559">
        <f t="shared" si="14"/>
        <v>100</v>
      </c>
      <c r="X42" s="1552"/>
      <c r="Y42" s="3450"/>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50"/>
      <c r="Q43" s="1557" t="str">
        <f t="shared" si="11"/>
        <v>内部装修维护情况</v>
      </c>
      <c r="R43" s="1558" t="s">
        <v>8</v>
      </c>
      <c r="S43" s="1559">
        <f t="shared" si="12"/>
        <v>100</v>
      </c>
      <c r="T43" s="1558" t="s">
        <v>8</v>
      </c>
      <c r="U43" s="1559">
        <f t="shared" si="13"/>
        <v>100</v>
      </c>
      <c r="V43" s="1558" t="s">
        <v>8</v>
      </c>
      <c r="W43" s="1559">
        <f t="shared" si="14"/>
        <v>100</v>
      </c>
      <c r="X43" s="1552"/>
      <c r="Y43" s="3450"/>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50"/>
      <c r="Q44" s="1145">
        <f t="shared" si="11"/>
        <v>111</v>
      </c>
      <c r="R44" s="1553" t="s">
        <v>8</v>
      </c>
      <c r="S44" s="1554">
        <f t="shared" si="12"/>
        <v>100</v>
      </c>
      <c r="T44" s="1553" t="s">
        <v>8</v>
      </c>
      <c r="U44" s="1554">
        <f t="shared" si="13"/>
        <v>100</v>
      </c>
      <c r="V44" s="1553" t="s">
        <v>8</v>
      </c>
      <c r="W44" s="1554">
        <f t="shared" si="14"/>
        <v>100</v>
      </c>
      <c r="X44" s="1555"/>
      <c r="Y44" s="3450"/>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50"/>
      <c r="Q45" s="1557">
        <f t="shared" si="11"/>
        <v>111</v>
      </c>
      <c r="R45" s="1558" t="s">
        <v>8</v>
      </c>
      <c r="S45" s="1559">
        <f t="shared" si="12"/>
        <v>100</v>
      </c>
      <c r="T45" s="1558" t="s">
        <v>8</v>
      </c>
      <c r="U45" s="1559">
        <f t="shared" si="13"/>
        <v>100</v>
      </c>
      <c r="V45" s="1558" t="s">
        <v>8</v>
      </c>
      <c r="W45" s="1559">
        <f t="shared" si="14"/>
        <v>100</v>
      </c>
      <c r="X45" s="1552"/>
      <c r="Y45" s="3450"/>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31"/>
      <c r="Q46" s="1557">
        <f t="shared" si="11"/>
        <v>111</v>
      </c>
      <c r="R46" s="1558" t="s">
        <v>8</v>
      </c>
      <c r="S46" s="1559">
        <f t="shared" si="12"/>
        <v>100</v>
      </c>
      <c r="T46" s="1558" t="s">
        <v>8</v>
      </c>
      <c r="U46" s="1559">
        <f t="shared" si="13"/>
        <v>100</v>
      </c>
      <c r="V46" s="1558" t="s">
        <v>8</v>
      </c>
      <c r="W46" s="1559">
        <f t="shared" si="14"/>
        <v>100</v>
      </c>
      <c r="X46" s="1552"/>
      <c r="Y46" s="3531"/>
      <c r="Z46" s="1560">
        <f t="shared" si="15"/>
        <v>111</v>
      </c>
      <c r="AA46" s="1561">
        <f t="shared" si="3"/>
        <v>1</v>
      </c>
      <c r="AB46" s="1561">
        <f t="shared" si="4"/>
        <v>1</v>
      </c>
      <c r="AC46" s="1561">
        <f t="shared" si="5"/>
        <v>1</v>
      </c>
    </row>
    <row r="47" spans="1:29" ht="15">
      <c r="A47" s="606" t="s">
        <v>736</v>
      </c>
      <c r="B47" s="885"/>
      <c r="C47" s="2588" t="s">
        <v>1</v>
      </c>
      <c r="D47" s="2589"/>
      <c r="E47" s="2590"/>
      <c r="F47" s="2591"/>
      <c r="G47" s="2592"/>
      <c r="H47" s="2593"/>
      <c r="I47" s="2590"/>
      <c r="J47" s="2593"/>
      <c r="K47" s="1595"/>
      <c r="L47" s="2126"/>
      <c r="M47" s="2127"/>
      <c r="N47" s="2116"/>
      <c r="O47" s="2127"/>
      <c r="P47" s="3413" t="str">
        <f>A47</f>
        <v>成交单价（元/平方米）</v>
      </c>
      <c r="Q47" s="3413"/>
      <c r="R47" s="3530">
        <f>E47</f>
        <v>0</v>
      </c>
      <c r="S47" s="3530"/>
      <c r="T47" s="3530">
        <f>G47</f>
        <v>0</v>
      </c>
      <c r="U47" s="3530"/>
      <c r="V47" s="3530">
        <f>I47</f>
        <v>0</v>
      </c>
      <c r="W47" s="3530"/>
      <c r="X47" s="1544"/>
      <c r="Y47" s="1566"/>
      <c r="Z47" s="1544"/>
      <c r="AA47" s="1544"/>
      <c r="AB47" s="1544"/>
      <c r="AC47" s="1544"/>
    </row>
    <row r="48" spans="1:29" ht="15.75" thickBot="1">
      <c r="A48" s="614" t="s">
        <v>2758</v>
      </c>
      <c r="B48" s="886"/>
      <c r="C48" s="2594" t="e">
        <f>R49</f>
        <v>#DIV/0!</v>
      </c>
      <c r="D48" s="2595"/>
      <c r="E48" s="2596" t="e">
        <f>R48</f>
        <v>#DIV/0!</v>
      </c>
      <c r="F48" s="2596"/>
      <c r="G48" s="2594" t="e">
        <f>T48</f>
        <v>#DIV/0!</v>
      </c>
      <c r="H48" s="2595"/>
      <c r="I48" s="2596" t="e">
        <f>V48</f>
        <v>#DIV/0!</v>
      </c>
      <c r="J48" s="2595"/>
      <c r="K48" s="1596"/>
      <c r="L48" s="2126"/>
      <c r="M48" s="2127"/>
      <c r="N48" s="2116"/>
      <c r="O48" s="2127"/>
      <c r="P48" s="3413" t="str">
        <f>A48</f>
        <v>比较价格（元/平方米）</v>
      </c>
      <c r="Q48" s="3413"/>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1544"/>
      <c r="Y48" s="1544"/>
      <c r="Z48" s="1544"/>
      <c r="AA48" s="1544"/>
      <c r="AB48" s="1544"/>
      <c r="AC48" s="1544"/>
    </row>
    <row r="49" spans="1:29" ht="15.75" thickBot="1">
      <c r="A49" s="620" t="s">
        <v>2930</v>
      </c>
      <c r="B49" s="621"/>
      <c r="C49" s="2597" t="e">
        <f>R49</f>
        <v>#DIV/0!</v>
      </c>
      <c r="D49" s="2597"/>
      <c r="E49" s="2597"/>
      <c r="F49" s="2597"/>
      <c r="G49" s="2597"/>
      <c r="H49" s="2597"/>
      <c r="I49" s="2597"/>
      <c r="J49" s="2597"/>
      <c r="K49" s="1597"/>
      <c r="L49" s="2126"/>
      <c r="M49" s="2127"/>
      <c r="N49" s="2116"/>
      <c r="O49" s="2127"/>
      <c r="P49" s="3410" t="str">
        <f>A49</f>
        <v>估价对象XX用房的比较价格（楼面单价，元/平方米）</v>
      </c>
      <c r="Q49" s="3411"/>
      <c r="R49" s="3529" t="e">
        <f>IF(F1="售价",ROUND(AVERAGE(R48:V48),0),ROUND(AVERAGE(R48:V48),1))</f>
        <v>#DIV/0!</v>
      </c>
      <c r="S49" s="3529"/>
      <c r="T49" s="3529"/>
      <c r="U49" s="3529"/>
      <c r="V49" s="3529"/>
      <c r="W49" s="3529"/>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1" customFormat="1" ht="15">
      <c r="A58" s="644" t="s">
        <v>529</v>
      </c>
      <c r="B58" s="645"/>
      <c r="C58" s="2754" t="str">
        <f>YEAR(C7)&amp;"-"&amp;MONTH(C7)</f>
        <v>2019-7</v>
      </c>
      <c r="D58" s="2756">
        <f>EDATE(C58,-1)</f>
        <v>43617</v>
      </c>
      <c r="E58" s="2756">
        <f t="shared" ref="E58:O58" si="16">EDATE(D58,-1)</f>
        <v>43586</v>
      </c>
      <c r="F58" s="2756">
        <f t="shared" si="16"/>
        <v>43556</v>
      </c>
      <c r="G58" s="2756">
        <f t="shared" si="16"/>
        <v>43525</v>
      </c>
      <c r="H58" s="2756">
        <f t="shared" si="16"/>
        <v>43497</v>
      </c>
      <c r="I58" s="2756">
        <f t="shared" si="16"/>
        <v>43466</v>
      </c>
      <c r="J58" s="2756">
        <f t="shared" si="16"/>
        <v>43435</v>
      </c>
      <c r="K58" s="2756">
        <f t="shared" si="16"/>
        <v>43405</v>
      </c>
      <c r="L58" s="2756">
        <f t="shared" si="16"/>
        <v>43374</v>
      </c>
      <c r="M58" s="2756">
        <f t="shared" si="16"/>
        <v>43344</v>
      </c>
      <c r="N58" s="2756">
        <f t="shared" si="16"/>
        <v>43313</v>
      </c>
      <c r="O58" s="2756">
        <f t="shared" si="16"/>
        <v>43282</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2556</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2557</v>
      </c>
      <c r="C82" s="2559" t="s">
        <v>2558</v>
      </c>
      <c r="D82" s="2559" t="s">
        <v>2559</v>
      </c>
      <c r="E82" s="2559" t="s">
        <v>2560</v>
      </c>
      <c r="F82" s="2559" t="s">
        <v>2561</v>
      </c>
      <c r="G82" s="2559" t="s">
        <v>2562</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672" t="s">
        <v>771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2555</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59"/>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419" t="s">
        <v>522</v>
      </c>
      <c r="D4" s="3420"/>
      <c r="E4" s="3453" t="s">
        <v>523</v>
      </c>
      <c r="F4" s="3454"/>
      <c r="G4" s="3419" t="s">
        <v>524</v>
      </c>
      <c r="H4" s="3420"/>
      <c r="I4" s="3419" t="s">
        <v>525</v>
      </c>
      <c r="J4" s="3420"/>
      <c r="K4" s="513" t="s">
        <v>526</v>
      </c>
      <c r="L4" s="2115"/>
      <c r="M4" s="2116"/>
      <c r="N4" s="2116"/>
      <c r="O4" s="2116"/>
      <c r="P4" s="3537" t="s">
        <v>527</v>
      </c>
      <c r="Q4" s="3422"/>
      <c r="R4" s="3427" t="s">
        <v>523</v>
      </c>
      <c r="S4" s="3428"/>
      <c r="T4" s="3427" t="s">
        <v>524</v>
      </c>
      <c r="U4" s="3428"/>
      <c r="V4" s="3414" t="s">
        <v>525</v>
      </c>
      <c r="W4" s="3414"/>
      <c r="X4" s="1552"/>
      <c r="Y4" s="3427" t="s">
        <v>527</v>
      </c>
      <c r="Z4" s="3428"/>
      <c r="AA4" s="3416" t="s">
        <v>523</v>
      </c>
      <c r="AB4" s="3416" t="s">
        <v>524</v>
      </c>
      <c r="AC4" s="3416" t="s">
        <v>525</v>
      </c>
    </row>
    <row r="5" spans="1:29" ht="15">
      <c r="A5" s="514"/>
      <c r="B5" s="515"/>
      <c r="C5" s="3435" t="s">
        <v>2924</v>
      </c>
      <c r="D5" s="3436"/>
      <c r="E5" s="3455" t="s">
        <v>2925</v>
      </c>
      <c r="F5" s="3456"/>
      <c r="G5" s="3435" t="s">
        <v>2926</v>
      </c>
      <c r="H5" s="3436"/>
      <c r="I5" s="3435" t="s">
        <v>2927</v>
      </c>
      <c r="J5" s="3436"/>
      <c r="K5" s="513"/>
      <c r="L5" s="2115"/>
      <c r="M5" s="2116"/>
      <c r="N5" s="2116"/>
      <c r="O5" s="2116"/>
      <c r="P5" s="3538"/>
      <c r="Q5" s="3424"/>
      <c r="R5" s="3429"/>
      <c r="S5" s="3430"/>
      <c r="T5" s="3429"/>
      <c r="U5" s="3430"/>
      <c r="V5" s="3414"/>
      <c r="W5" s="3414"/>
      <c r="X5" s="1552"/>
      <c r="Y5" s="3429"/>
      <c r="Z5" s="3430"/>
      <c r="AA5" s="3417"/>
      <c r="AB5" s="3417"/>
      <c r="AC5" s="3417"/>
    </row>
    <row r="6" spans="1:29" ht="15.75" thickBot="1">
      <c r="A6" s="516"/>
      <c r="B6" s="517"/>
      <c r="C6" s="3433" t="s">
        <v>2928</v>
      </c>
      <c r="D6" s="3434"/>
      <c r="E6" s="3451" t="s">
        <v>2928</v>
      </c>
      <c r="F6" s="3452"/>
      <c r="G6" s="3433" t="s">
        <v>2928</v>
      </c>
      <c r="H6" s="3434"/>
      <c r="I6" s="3433" t="s">
        <v>2928</v>
      </c>
      <c r="J6" s="3434"/>
      <c r="K6" s="513" t="s">
        <v>528</v>
      </c>
      <c r="L6" s="2115"/>
      <c r="M6" s="2116"/>
      <c r="N6" s="2116"/>
      <c r="O6" s="2116"/>
      <c r="P6" s="3539"/>
      <c r="Q6" s="3426"/>
      <c r="R6" s="3429"/>
      <c r="S6" s="3430"/>
      <c r="T6" s="3431"/>
      <c r="U6" s="3432"/>
      <c r="V6" s="3414"/>
      <c r="W6" s="3414"/>
      <c r="X6" s="1552"/>
      <c r="Y6" s="3431"/>
      <c r="Z6" s="3432"/>
      <c r="AA6" s="3418"/>
      <c r="AB6" s="3418"/>
      <c r="AC6" s="3418"/>
    </row>
    <row r="7" spans="1:29" s="1214" customFormat="1" ht="15.75" thickBot="1">
      <c r="A7" s="2863"/>
      <c r="B7" s="2870" t="s">
        <v>529</v>
      </c>
      <c r="C7" s="518">
        <f>'数据-取费表'!B2</f>
        <v>43656</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46" t="s">
        <v>530</v>
      </c>
      <c r="Q7" s="3446"/>
      <c r="R7" s="1553" t="s">
        <v>8</v>
      </c>
      <c r="S7" s="1554">
        <f t="shared" ref="S7:S15" si="0">F7</f>
        <v>0</v>
      </c>
      <c r="T7" s="1553" t="s">
        <v>8</v>
      </c>
      <c r="U7" s="1554">
        <f t="shared" ref="U7:U15" si="1">H7</f>
        <v>0</v>
      </c>
      <c r="V7" s="1553" t="s">
        <v>8</v>
      </c>
      <c r="W7" s="1554">
        <f t="shared" ref="W7:W15" si="2">J7</f>
        <v>0</v>
      </c>
      <c r="X7" s="1555"/>
      <c r="Y7" s="3444" t="s">
        <v>530</v>
      </c>
      <c r="Z7" s="3445"/>
      <c r="AA7" s="1556" t="e">
        <f>D7/F7</f>
        <v>#DIV/0!</v>
      </c>
      <c r="AB7" s="1556" t="e">
        <f>D7/H7</f>
        <v>#DIV/0!</v>
      </c>
      <c r="AC7" s="1556" t="e">
        <f>D7/J7</f>
        <v>#DIV/0!</v>
      </c>
    </row>
    <row r="8" spans="1:29" s="1214"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46" t="s">
        <v>533</v>
      </c>
      <c r="Q8" s="3445"/>
      <c r="R8" s="1553" t="s">
        <v>8</v>
      </c>
      <c r="S8" s="1554">
        <f t="shared" si="0"/>
        <v>0</v>
      </c>
      <c r="T8" s="1553" t="s">
        <v>8</v>
      </c>
      <c r="U8" s="1554">
        <f t="shared" si="1"/>
        <v>0</v>
      </c>
      <c r="V8" s="1553" t="s">
        <v>8</v>
      </c>
      <c r="W8" s="1554">
        <f t="shared" si="2"/>
        <v>0</v>
      </c>
      <c r="X8" s="1555"/>
      <c r="Y8" s="3444" t="s">
        <v>533</v>
      </c>
      <c r="Z8" s="3445"/>
      <c r="AA8" s="1556" t="e">
        <f t="shared" ref="AA8:AA47" si="3">D8/F8</f>
        <v>#DIV/0!</v>
      </c>
      <c r="AB8" s="1556" t="e">
        <f t="shared" ref="AB8:AB47" si="4">D8/H8</f>
        <v>#DIV/0!</v>
      </c>
      <c r="AC8" s="1556" t="e">
        <f t="shared" ref="AC8:AC47" si="5">D8/J8</f>
        <v>#DIV/0!</v>
      </c>
    </row>
    <row r="9" spans="1:29" s="1214" customFormat="1" ht="15">
      <c r="A9" s="2865"/>
      <c r="B9" s="2872" t="s">
        <v>2754</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13" t="s">
        <v>535</v>
      </c>
      <c r="Q9" s="1145" t="str">
        <f t="shared" ref="Q9:Q15" si="6">B9</f>
        <v>用途</v>
      </c>
      <c r="R9" s="1553" t="s">
        <v>8</v>
      </c>
      <c r="S9" s="1554">
        <f t="shared" si="0"/>
        <v>100</v>
      </c>
      <c r="T9" s="1553" t="s">
        <v>8</v>
      </c>
      <c r="U9" s="1554">
        <f t="shared" si="1"/>
        <v>100</v>
      </c>
      <c r="V9" s="1553" t="s">
        <v>8</v>
      </c>
      <c r="W9" s="1554">
        <f t="shared" si="2"/>
        <v>100</v>
      </c>
      <c r="X9" s="1555"/>
      <c r="Y9" s="3359" t="s">
        <v>536</v>
      </c>
      <c r="Z9" s="1144" t="str">
        <f t="shared" ref="Z9:Z15" si="7">Q9</f>
        <v>用途</v>
      </c>
      <c r="AA9" s="1556">
        <f t="shared" si="3"/>
        <v>1</v>
      </c>
      <c r="AB9" s="1556">
        <f t="shared" si="4"/>
        <v>1</v>
      </c>
      <c r="AC9" s="1556">
        <f t="shared" si="5"/>
        <v>1</v>
      </c>
    </row>
    <row r="10" spans="1:29" s="1332" customFormat="1" ht="27">
      <c r="A10" s="2866"/>
      <c r="B10" s="2871" t="s">
        <v>2755</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13"/>
      <c r="Q10" s="1145" t="str">
        <f t="shared" si="6"/>
        <v>土地使用年限（年）</v>
      </c>
      <c r="R10" s="1553" t="s">
        <v>8</v>
      </c>
      <c r="S10" s="1554">
        <f t="shared" si="0"/>
        <v>100</v>
      </c>
      <c r="T10" s="1553" t="s">
        <v>8</v>
      </c>
      <c r="U10" s="1554">
        <f t="shared" si="1"/>
        <v>100</v>
      </c>
      <c r="V10" s="1553" t="s">
        <v>8</v>
      </c>
      <c r="W10" s="1554">
        <f t="shared" si="2"/>
        <v>100</v>
      </c>
      <c r="X10" s="1555"/>
      <c r="Y10" s="3359"/>
      <c r="Z10" s="1144" t="str">
        <f t="shared" si="7"/>
        <v>土地使用年限（年）</v>
      </c>
      <c r="AA10" s="1556">
        <f t="shared" si="3"/>
        <v>1</v>
      </c>
      <c r="AB10" s="1556">
        <f t="shared" si="4"/>
        <v>1</v>
      </c>
      <c r="AC10" s="1556">
        <f t="shared" si="5"/>
        <v>1</v>
      </c>
    </row>
    <row r="11" spans="1:29" ht="15">
      <c r="A11" s="2867"/>
      <c r="B11" s="2871"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13"/>
      <c r="Q11" s="1145" t="str">
        <f t="shared" si="6"/>
        <v>容积率</v>
      </c>
      <c r="R11" s="1553" t="s">
        <v>8</v>
      </c>
      <c r="S11" s="1554" t="e">
        <f t="shared" si="0"/>
        <v>#N/A</v>
      </c>
      <c r="T11" s="1553" t="s">
        <v>8</v>
      </c>
      <c r="U11" s="1554" t="e">
        <f t="shared" si="1"/>
        <v>#N/A</v>
      </c>
      <c r="V11" s="1553" t="s">
        <v>8</v>
      </c>
      <c r="W11" s="1554" t="e">
        <f t="shared" si="2"/>
        <v>#N/A</v>
      </c>
      <c r="X11" s="1555"/>
      <c r="Y11" s="3359"/>
      <c r="Z11" s="1144" t="str">
        <f t="shared" si="7"/>
        <v>容积率</v>
      </c>
      <c r="AA11" s="1556" t="e">
        <f t="shared" si="3"/>
        <v>#N/A</v>
      </c>
      <c r="AB11" s="1556" t="e">
        <f t="shared" si="4"/>
        <v>#N/A</v>
      </c>
      <c r="AC11" s="1556" t="e">
        <f t="shared" si="5"/>
        <v>#N/A</v>
      </c>
    </row>
    <row r="12" spans="1:29" s="1214"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13"/>
      <c r="Q12" s="1145">
        <f t="shared" si="6"/>
        <v>111</v>
      </c>
      <c r="R12" s="1553" t="s">
        <v>8</v>
      </c>
      <c r="S12" s="1554">
        <f t="shared" si="0"/>
        <v>100</v>
      </c>
      <c r="T12" s="1553" t="s">
        <v>8</v>
      </c>
      <c r="U12" s="1554">
        <f t="shared" si="1"/>
        <v>100</v>
      </c>
      <c r="V12" s="1553" t="s">
        <v>8</v>
      </c>
      <c r="W12" s="1554">
        <f t="shared" si="2"/>
        <v>100</v>
      </c>
      <c r="X12" s="1555"/>
      <c r="Y12" s="3359"/>
      <c r="Z12" s="1144">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13"/>
      <c r="Q13" s="1145">
        <f t="shared" si="6"/>
        <v>111</v>
      </c>
      <c r="R13" s="1553" t="s">
        <v>8</v>
      </c>
      <c r="S13" s="1554">
        <f t="shared" si="0"/>
        <v>100</v>
      </c>
      <c r="T13" s="1553" t="s">
        <v>8</v>
      </c>
      <c r="U13" s="1554">
        <f t="shared" si="1"/>
        <v>100</v>
      </c>
      <c r="V13" s="1553" t="s">
        <v>8</v>
      </c>
      <c r="W13" s="1554">
        <f t="shared" si="2"/>
        <v>100</v>
      </c>
      <c r="X13" s="1555"/>
      <c r="Y13" s="3359"/>
      <c r="Z13" s="1144">
        <f t="shared" si="7"/>
        <v>111</v>
      </c>
      <c r="AA13" s="1556">
        <f t="shared" si="3"/>
        <v>1</v>
      </c>
      <c r="AB13" s="1556">
        <f t="shared" si="4"/>
        <v>1</v>
      </c>
      <c r="AC13" s="1556">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13"/>
      <c r="Q14" s="1145">
        <f t="shared" si="6"/>
        <v>111</v>
      </c>
      <c r="R14" s="1553" t="s">
        <v>8</v>
      </c>
      <c r="S14" s="1554">
        <f t="shared" si="0"/>
        <v>100</v>
      </c>
      <c r="T14" s="1553" t="s">
        <v>8</v>
      </c>
      <c r="U14" s="1554">
        <f t="shared" si="1"/>
        <v>100</v>
      </c>
      <c r="V14" s="1553" t="s">
        <v>8</v>
      </c>
      <c r="W14" s="1554">
        <f t="shared" si="2"/>
        <v>100</v>
      </c>
      <c r="X14" s="1555"/>
      <c r="Y14" s="3359"/>
      <c r="Z14" s="1144">
        <f t="shared" si="7"/>
        <v>111</v>
      </c>
      <c r="AA14" s="1556">
        <f t="shared" si="3"/>
        <v>1</v>
      </c>
      <c r="AB14" s="1556">
        <f t="shared" si="4"/>
        <v>1</v>
      </c>
      <c r="AC14" s="1556">
        <f t="shared" si="5"/>
        <v>1</v>
      </c>
    </row>
    <row r="15" spans="1:29" ht="71.25">
      <c r="A15" s="2861"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47" t="s">
        <v>540</v>
      </c>
      <c r="Q15" s="1557" t="str">
        <f t="shared" si="6"/>
        <v>办公集聚程度</v>
      </c>
      <c r="R15" s="1558" t="s">
        <v>8</v>
      </c>
      <c r="S15" s="1559">
        <f t="shared" si="0"/>
        <v>100</v>
      </c>
      <c r="T15" s="1558" t="s">
        <v>8</v>
      </c>
      <c r="U15" s="1559">
        <f t="shared" si="1"/>
        <v>100</v>
      </c>
      <c r="V15" s="1558" t="s">
        <v>8</v>
      </c>
      <c r="W15" s="1559">
        <f t="shared" si="2"/>
        <v>100</v>
      </c>
      <c r="X15" s="1552"/>
      <c r="Y15" s="3447"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4"/>
      <c r="M16" s="2116"/>
      <c r="N16" s="2116"/>
      <c r="O16" s="2116"/>
      <c r="P16" s="3448"/>
      <c r="Q16" s="1557"/>
      <c r="R16" s="1558"/>
      <c r="S16" s="1559"/>
      <c r="T16" s="1558"/>
      <c r="U16" s="1559"/>
      <c r="V16" s="1558"/>
      <c r="W16" s="1559"/>
      <c r="X16" s="1552"/>
      <c r="Y16" s="3448"/>
      <c r="Z16" s="1560"/>
      <c r="AA16" s="1561">
        <v>1</v>
      </c>
      <c r="AB16" s="1561">
        <v>1</v>
      </c>
      <c r="AC16" s="1561">
        <v>1</v>
      </c>
    </row>
    <row r="17" spans="1:29" ht="185.25">
      <c r="A17" s="531"/>
      <c r="B17" s="559" t="s">
        <v>296</v>
      </c>
      <c r="C17" s="572" t="str">
        <f>估价对象房地状况!C6</f>
        <v>估价对象临近省道S124，周边多为乡级公路，道路密集度较差；周边有413路、612路、407路、513路等公交线路，距S3线一期终点高家冲站5.5公里，公共交通通达情况一般；综合评价交通便捷度一般。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48"/>
      <c r="Q17" s="1557" t="str">
        <f>B17</f>
        <v>交通便捷度</v>
      </c>
      <c r="R17" s="1558" t="s">
        <v>8</v>
      </c>
      <c r="S17" s="1559">
        <f>F17</f>
        <v>100</v>
      </c>
      <c r="T17" s="1558" t="s">
        <v>8</v>
      </c>
      <c r="U17" s="1559">
        <f>H17</f>
        <v>100</v>
      </c>
      <c r="V17" s="1558" t="s">
        <v>8</v>
      </c>
      <c r="W17" s="1559">
        <f>J17</f>
        <v>100</v>
      </c>
      <c r="X17" s="1552"/>
      <c r="Y17" s="3448"/>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4"/>
      <c r="M18" s="2116"/>
      <c r="N18" s="2116"/>
      <c r="O18" s="2116"/>
      <c r="P18" s="3448"/>
      <c r="Q18" s="1557"/>
      <c r="R18" s="1558"/>
      <c r="S18" s="1559"/>
      <c r="T18" s="1558"/>
      <c r="U18" s="1559"/>
      <c r="V18" s="1558"/>
      <c r="W18" s="1559"/>
      <c r="X18" s="1552"/>
      <c r="Y18" s="3448"/>
      <c r="Z18" s="1560"/>
      <c r="AA18" s="1561">
        <v>1</v>
      </c>
      <c r="AB18" s="1561">
        <v>1</v>
      </c>
      <c r="AC18" s="1561">
        <v>1</v>
      </c>
    </row>
    <row r="19" spans="1:29" ht="199.5">
      <c r="A19" s="531"/>
      <c r="B19" s="2564" t="s">
        <v>2545</v>
      </c>
      <c r="C19" s="572"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48"/>
      <c r="Q19" s="1557" t="str">
        <f>B19</f>
        <v>公共配套设施</v>
      </c>
      <c r="R19" s="1558" t="s">
        <v>8</v>
      </c>
      <c r="S19" s="1559">
        <f>F19</f>
        <v>100</v>
      </c>
      <c r="T19" s="1558" t="s">
        <v>8</v>
      </c>
      <c r="U19" s="1559">
        <f>H19</f>
        <v>100</v>
      </c>
      <c r="V19" s="1558" t="s">
        <v>8</v>
      </c>
      <c r="W19" s="1559">
        <f>J19</f>
        <v>100</v>
      </c>
      <c r="X19" s="1552"/>
      <c r="Y19" s="3448"/>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4"/>
      <c r="M20" s="2116"/>
      <c r="N20" s="2116"/>
      <c r="O20" s="2116"/>
      <c r="P20" s="3448"/>
      <c r="Q20" s="1557"/>
      <c r="R20" s="1558"/>
      <c r="S20" s="1559"/>
      <c r="T20" s="1558"/>
      <c r="U20" s="1559"/>
      <c r="V20" s="1558"/>
      <c r="W20" s="1559"/>
      <c r="X20" s="1552"/>
      <c r="Y20" s="3448"/>
      <c r="Z20" s="1560"/>
      <c r="AA20" s="1561">
        <v>1</v>
      </c>
      <c r="AB20" s="1561">
        <v>1</v>
      </c>
      <c r="AC20" s="1561">
        <v>1</v>
      </c>
    </row>
    <row r="21" spans="1:29" ht="28.5">
      <c r="A21" s="531"/>
      <c r="B21" s="255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48"/>
      <c r="Q21" s="2540" t="str">
        <f>B21</f>
        <v>基础设施水平</v>
      </c>
      <c r="R21" s="1558" t="s">
        <v>8</v>
      </c>
      <c r="S21" s="1559">
        <f>F21</f>
        <v>100</v>
      </c>
      <c r="T21" s="1558" t="s">
        <v>8</v>
      </c>
      <c r="U21" s="1559">
        <f>H21</f>
        <v>100</v>
      </c>
      <c r="V21" s="1558" t="s">
        <v>8</v>
      </c>
      <c r="W21" s="1559">
        <f>J21</f>
        <v>100</v>
      </c>
      <c r="X21" s="2542"/>
      <c r="Y21" s="3448"/>
      <c r="Z21" s="2541"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3"/>
      <c r="L22" s="2124"/>
      <c r="M22" s="2116"/>
      <c r="N22" s="2116"/>
      <c r="O22" s="2116"/>
      <c r="P22" s="3448"/>
      <c r="Q22" s="2540"/>
      <c r="R22" s="1558"/>
      <c r="S22" s="1559"/>
      <c r="T22" s="1558"/>
      <c r="U22" s="1559"/>
      <c r="V22" s="1558"/>
      <c r="W22" s="1559"/>
      <c r="X22" s="2542"/>
      <c r="Y22" s="3448"/>
      <c r="Z22" s="2541"/>
      <c r="AA22" s="1561">
        <v>1</v>
      </c>
      <c r="AB22" s="1561">
        <v>1</v>
      </c>
      <c r="AC22" s="1561">
        <v>1</v>
      </c>
    </row>
    <row r="23" spans="1:29" ht="156.75">
      <c r="A23" s="531"/>
      <c r="B23" s="559" t="s">
        <v>778</v>
      </c>
      <c r="C23" s="572" t="str">
        <f>估价对象房地状况!C9</f>
        <v>估价对象所在区域内无公园、水系、湖泊，自然环境较差；无博物馆、科技馆、体育馆、高等学府等人文设施，人文环境较差；综合评价自然及人文环境环境较差。</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48"/>
      <c r="Q23" s="1557" t="str">
        <f>B23</f>
        <v>环境质量</v>
      </c>
      <c r="R23" s="1558" t="s">
        <v>8</v>
      </c>
      <c r="S23" s="1559">
        <f>F23</f>
        <v>100</v>
      </c>
      <c r="T23" s="1558" t="s">
        <v>8</v>
      </c>
      <c r="U23" s="1559">
        <f>H23</f>
        <v>100</v>
      </c>
      <c r="V23" s="1558" t="s">
        <v>8</v>
      </c>
      <c r="W23" s="1559">
        <f>J23</f>
        <v>100</v>
      </c>
      <c r="X23" s="1552"/>
      <c r="Y23" s="3448"/>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4"/>
      <c r="M24" s="2116"/>
      <c r="N24" s="2116"/>
      <c r="O24" s="2116"/>
      <c r="P24" s="3448"/>
      <c r="Q24" s="1557"/>
      <c r="R24" s="1558"/>
      <c r="S24" s="1559"/>
      <c r="T24" s="1558"/>
      <c r="U24" s="1559"/>
      <c r="V24" s="1558"/>
      <c r="W24" s="1559"/>
      <c r="X24" s="1552"/>
      <c r="Y24" s="3448"/>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48"/>
      <c r="Q25" s="1557" t="str">
        <f>B25</f>
        <v>毗邻道路的类型与等级</v>
      </c>
      <c r="R25" s="1558" t="s">
        <v>8</v>
      </c>
      <c r="S25" s="1559">
        <f>F25</f>
        <v>100</v>
      </c>
      <c r="T25" s="1558" t="s">
        <v>8</v>
      </c>
      <c r="U25" s="1559">
        <f>H25</f>
        <v>100</v>
      </c>
      <c r="V25" s="1558" t="s">
        <v>8</v>
      </c>
      <c r="W25" s="1559">
        <f>J25</f>
        <v>100</v>
      </c>
      <c r="X25" s="1552"/>
      <c r="Y25" s="3448"/>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4"/>
      <c r="M26" s="2116"/>
      <c r="N26" s="2116"/>
      <c r="O26" s="2116"/>
      <c r="P26" s="3448"/>
      <c r="Q26" s="1557"/>
      <c r="R26" s="1558"/>
      <c r="S26" s="1559"/>
      <c r="T26" s="1558"/>
      <c r="U26" s="1559"/>
      <c r="V26" s="1558"/>
      <c r="W26" s="1559"/>
      <c r="X26" s="1552"/>
      <c r="Y26" s="3448"/>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48"/>
      <c r="Q27" s="1557" t="str">
        <f t="shared" ref="Q27:Q47" si="11">B27</f>
        <v>楼层</v>
      </c>
      <c r="R27" s="1558" t="s">
        <v>8</v>
      </c>
      <c r="S27" s="1559">
        <f>F27</f>
        <v>100</v>
      </c>
      <c r="T27" s="1558" t="s">
        <v>8</v>
      </c>
      <c r="U27" s="1559">
        <f>H27</f>
        <v>100</v>
      </c>
      <c r="V27" s="1558" t="s">
        <v>8</v>
      </c>
      <c r="W27" s="1559">
        <f>J27</f>
        <v>100</v>
      </c>
      <c r="X27" s="1552"/>
      <c r="Y27" s="3448"/>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48"/>
      <c r="Q28" s="1145" t="str">
        <f t="shared" si="11"/>
        <v>朝向</v>
      </c>
      <c r="R28" s="1553" t="s">
        <v>8</v>
      </c>
      <c r="S28" s="1554">
        <f>F28</f>
        <v>100</v>
      </c>
      <c r="T28" s="1553" t="s">
        <v>8</v>
      </c>
      <c r="U28" s="1554">
        <f>H28</f>
        <v>100</v>
      </c>
      <c r="V28" s="1553" t="s">
        <v>8</v>
      </c>
      <c r="W28" s="1554">
        <f>J28</f>
        <v>100</v>
      </c>
      <c r="X28" s="1555"/>
      <c r="Y28" s="3448"/>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48"/>
      <c r="Q29" s="1557">
        <f t="shared" si="11"/>
        <v>111</v>
      </c>
      <c r="R29" s="1558" t="s">
        <v>8</v>
      </c>
      <c r="S29" s="1559">
        <f t="shared" ref="S29:S47" si="12">F29</f>
        <v>100</v>
      </c>
      <c r="T29" s="1558" t="s">
        <v>8</v>
      </c>
      <c r="U29" s="1559">
        <f t="shared" ref="U29:U47" si="13">H29</f>
        <v>100</v>
      </c>
      <c r="V29" s="1558" t="s">
        <v>8</v>
      </c>
      <c r="W29" s="1559">
        <f t="shared" ref="W29:W47" si="14">J29</f>
        <v>100</v>
      </c>
      <c r="X29" s="1552"/>
      <c r="Y29" s="3448"/>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48"/>
      <c r="Q30" s="1557">
        <f t="shared" si="11"/>
        <v>111</v>
      </c>
      <c r="R30" s="1558" t="s">
        <v>8</v>
      </c>
      <c r="S30" s="1559">
        <f t="shared" si="12"/>
        <v>100</v>
      </c>
      <c r="T30" s="1558" t="s">
        <v>8</v>
      </c>
      <c r="U30" s="1559">
        <f t="shared" si="13"/>
        <v>100</v>
      </c>
      <c r="V30" s="1558" t="s">
        <v>8</v>
      </c>
      <c r="W30" s="1559">
        <f t="shared" si="14"/>
        <v>100</v>
      </c>
      <c r="X30" s="1552"/>
      <c r="Y30" s="3448"/>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48"/>
      <c r="Q31" s="1557">
        <f t="shared" si="11"/>
        <v>111</v>
      </c>
      <c r="R31" s="1558" t="s">
        <v>8</v>
      </c>
      <c r="S31" s="1559">
        <f t="shared" si="12"/>
        <v>100</v>
      </c>
      <c r="T31" s="1558" t="s">
        <v>8</v>
      </c>
      <c r="U31" s="1559">
        <f t="shared" si="13"/>
        <v>100</v>
      </c>
      <c r="V31" s="1558" t="s">
        <v>8</v>
      </c>
      <c r="W31" s="1559">
        <f t="shared" si="14"/>
        <v>100</v>
      </c>
      <c r="X31" s="1552"/>
      <c r="Y31" s="3448"/>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48"/>
      <c r="Q32" s="1557">
        <f t="shared" si="11"/>
        <v>111</v>
      </c>
      <c r="R32" s="1558" t="s">
        <v>8</v>
      </c>
      <c r="S32" s="1559">
        <f t="shared" si="12"/>
        <v>100</v>
      </c>
      <c r="T32" s="1558" t="s">
        <v>8</v>
      </c>
      <c r="U32" s="1559">
        <f t="shared" si="13"/>
        <v>100</v>
      </c>
      <c r="V32" s="1558" t="s">
        <v>8</v>
      </c>
      <c r="W32" s="1559">
        <f t="shared" si="14"/>
        <v>100</v>
      </c>
      <c r="X32" s="1552"/>
      <c r="Y32" s="3448"/>
      <c r="Z32" s="1560">
        <f t="shared" si="15"/>
        <v>111</v>
      </c>
      <c r="AA32" s="1561">
        <f t="shared" si="3"/>
        <v>1</v>
      </c>
      <c r="AB32" s="1561">
        <f t="shared" si="4"/>
        <v>1</v>
      </c>
      <c r="AC32" s="1561">
        <f t="shared" si="5"/>
        <v>1</v>
      </c>
    </row>
    <row r="33" spans="1:29" ht="15">
      <c r="A33" s="2859"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49" t="s">
        <v>550</v>
      </c>
      <c r="Q33" s="1557" t="str">
        <f t="shared" si="11"/>
        <v>建筑类型</v>
      </c>
      <c r="R33" s="1558" t="s">
        <v>8</v>
      </c>
      <c r="S33" s="1559">
        <f t="shared" si="12"/>
        <v>100</v>
      </c>
      <c r="T33" s="1558" t="s">
        <v>8</v>
      </c>
      <c r="U33" s="1559">
        <f t="shared" si="13"/>
        <v>100</v>
      </c>
      <c r="V33" s="1558" t="s">
        <v>8</v>
      </c>
      <c r="W33" s="1559">
        <f t="shared" si="14"/>
        <v>100</v>
      </c>
      <c r="X33" s="1552"/>
      <c r="Y33" s="3450"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50"/>
      <c r="Q34" s="1589" t="str">
        <f t="shared" si="11"/>
        <v>项目建筑规模</v>
      </c>
      <c r="R34" s="1562" t="s">
        <v>8</v>
      </c>
      <c r="S34" s="1563" t="e">
        <f t="shared" si="12"/>
        <v>#N/A</v>
      </c>
      <c r="T34" s="1562" t="s">
        <v>8</v>
      </c>
      <c r="U34" s="1563" t="e">
        <f t="shared" si="13"/>
        <v>#N/A</v>
      </c>
      <c r="V34" s="1562" t="s">
        <v>8</v>
      </c>
      <c r="W34" s="1563" t="e">
        <f t="shared" si="14"/>
        <v>#N/A</v>
      </c>
      <c r="X34" s="1564"/>
      <c r="Y34" s="3450"/>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50"/>
      <c r="Q35" s="1557" t="str">
        <f t="shared" si="11"/>
        <v>建筑结构</v>
      </c>
      <c r="R35" s="1558" t="s">
        <v>8</v>
      </c>
      <c r="S35" s="1559">
        <f t="shared" si="12"/>
        <v>100</v>
      </c>
      <c r="T35" s="1558" t="s">
        <v>8</v>
      </c>
      <c r="U35" s="1559">
        <f t="shared" si="13"/>
        <v>100</v>
      </c>
      <c r="V35" s="1558" t="s">
        <v>8</v>
      </c>
      <c r="W35" s="1559">
        <f t="shared" si="14"/>
        <v>100</v>
      </c>
      <c r="X35" s="1552"/>
      <c r="Y35" s="3450"/>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50"/>
      <c r="Q36" s="1557" t="str">
        <f t="shared" si="11"/>
        <v>公共部分装修</v>
      </c>
      <c r="R36" s="1558" t="s">
        <v>8</v>
      </c>
      <c r="S36" s="1559">
        <f t="shared" si="12"/>
        <v>100</v>
      </c>
      <c r="T36" s="1558" t="s">
        <v>8</v>
      </c>
      <c r="U36" s="1559">
        <f t="shared" si="13"/>
        <v>100</v>
      </c>
      <c r="V36" s="1558" t="s">
        <v>8</v>
      </c>
      <c r="W36" s="1559">
        <f t="shared" si="14"/>
        <v>100</v>
      </c>
      <c r="X36" s="1552"/>
      <c r="Y36" s="3450"/>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50"/>
      <c r="Q37" s="1557" t="str">
        <f t="shared" si="11"/>
        <v>成新度</v>
      </c>
      <c r="R37" s="1558" t="s">
        <v>8</v>
      </c>
      <c r="S37" s="1559" t="e">
        <f t="shared" si="12"/>
        <v>#N/A</v>
      </c>
      <c r="T37" s="1558" t="s">
        <v>8</v>
      </c>
      <c r="U37" s="1559" t="e">
        <f t="shared" si="13"/>
        <v>#N/A</v>
      </c>
      <c r="V37" s="1558" t="s">
        <v>8</v>
      </c>
      <c r="W37" s="1559" t="e">
        <f t="shared" si="14"/>
        <v>#N/A</v>
      </c>
      <c r="X37" s="1552"/>
      <c r="Y37" s="3450"/>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50"/>
      <c r="Q38" s="1145" t="str">
        <f t="shared" si="11"/>
        <v>写字楼等级</v>
      </c>
      <c r="R38" s="1553" t="s">
        <v>8</v>
      </c>
      <c r="S38" s="1554">
        <f t="shared" si="12"/>
        <v>100</v>
      </c>
      <c r="T38" s="1553" t="s">
        <v>8</v>
      </c>
      <c r="U38" s="1554">
        <f t="shared" si="13"/>
        <v>100</v>
      </c>
      <c r="V38" s="1553" t="s">
        <v>8</v>
      </c>
      <c r="W38" s="1554">
        <f t="shared" si="14"/>
        <v>100</v>
      </c>
      <c r="X38" s="1555"/>
      <c r="Y38" s="3450"/>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50" t="s">
        <v>550</v>
      </c>
      <c r="Q39" s="1557" t="str">
        <f t="shared" si="11"/>
        <v>物业管理</v>
      </c>
      <c r="R39" s="1558" t="s">
        <v>8</v>
      </c>
      <c r="S39" s="1559">
        <f t="shared" si="12"/>
        <v>100</v>
      </c>
      <c r="T39" s="1558" t="s">
        <v>8</v>
      </c>
      <c r="U39" s="1559">
        <f t="shared" si="13"/>
        <v>100</v>
      </c>
      <c r="V39" s="1558" t="s">
        <v>8</v>
      </c>
      <c r="W39" s="1559">
        <f t="shared" si="14"/>
        <v>100</v>
      </c>
      <c r="X39" s="1552"/>
      <c r="Y39" s="3450" t="s">
        <v>550</v>
      </c>
      <c r="Z39" s="1560" t="str">
        <f t="shared" si="15"/>
        <v>物业管理</v>
      </c>
      <c r="AA39" s="1561">
        <f t="shared" si="3"/>
        <v>1</v>
      </c>
      <c r="AB39" s="1561">
        <f t="shared" si="4"/>
        <v>1</v>
      </c>
      <c r="AC39" s="1561">
        <f t="shared" si="5"/>
        <v>1</v>
      </c>
    </row>
    <row r="40" spans="1:29" ht="15">
      <c r="A40" s="593"/>
      <c r="B40" s="1877"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50"/>
      <c r="Q40" s="1557" t="str">
        <f t="shared" si="11"/>
        <v>市政基础设施</v>
      </c>
      <c r="R40" s="1558" t="s">
        <v>8</v>
      </c>
      <c r="S40" s="1559">
        <f t="shared" si="12"/>
        <v>100</v>
      </c>
      <c r="T40" s="1558" t="s">
        <v>8</v>
      </c>
      <c r="U40" s="1559">
        <f t="shared" si="13"/>
        <v>100</v>
      </c>
      <c r="V40" s="1558" t="s">
        <v>8</v>
      </c>
      <c r="W40" s="1559">
        <f t="shared" si="14"/>
        <v>100</v>
      </c>
      <c r="X40" s="1552"/>
      <c r="Y40" s="3450"/>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50"/>
      <c r="Q41" s="1557" t="str">
        <f t="shared" si="11"/>
        <v>层高</v>
      </c>
      <c r="R41" s="1558" t="s">
        <v>8</v>
      </c>
      <c r="S41" s="1559">
        <f t="shared" si="12"/>
        <v>100</v>
      </c>
      <c r="T41" s="1558" t="s">
        <v>8</v>
      </c>
      <c r="U41" s="1559">
        <f t="shared" si="13"/>
        <v>100</v>
      </c>
      <c r="V41" s="1558" t="s">
        <v>8</v>
      </c>
      <c r="W41" s="1559">
        <f t="shared" si="14"/>
        <v>100</v>
      </c>
      <c r="X41" s="1552"/>
      <c r="Y41" s="3450"/>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50"/>
      <c r="Q42" s="1589" t="str">
        <f t="shared" si="11"/>
        <v>单套建筑面积</v>
      </c>
      <c r="R42" s="1562" t="s">
        <v>8</v>
      </c>
      <c r="S42" s="1563">
        <f t="shared" si="12"/>
        <v>100</v>
      </c>
      <c r="T42" s="1562" t="s">
        <v>8</v>
      </c>
      <c r="U42" s="1563">
        <f t="shared" si="13"/>
        <v>100</v>
      </c>
      <c r="V42" s="1562" t="s">
        <v>8</v>
      </c>
      <c r="W42" s="1563">
        <f t="shared" si="14"/>
        <v>100</v>
      </c>
      <c r="X42" s="1564"/>
      <c r="Y42" s="3450"/>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50"/>
      <c r="Q43" s="1557" t="str">
        <f t="shared" si="11"/>
        <v>内部装修</v>
      </c>
      <c r="R43" s="1558" t="s">
        <v>8</v>
      </c>
      <c r="S43" s="1559">
        <f t="shared" si="12"/>
        <v>100</v>
      </c>
      <c r="T43" s="1558" t="s">
        <v>8</v>
      </c>
      <c r="U43" s="1559">
        <f t="shared" si="13"/>
        <v>100</v>
      </c>
      <c r="V43" s="1558" t="s">
        <v>8</v>
      </c>
      <c r="W43" s="1559">
        <f t="shared" si="14"/>
        <v>100</v>
      </c>
      <c r="X43" s="1552"/>
      <c r="Y43" s="3450"/>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50"/>
      <c r="Q44" s="1557" t="str">
        <f t="shared" si="11"/>
        <v>内部装修维护情况</v>
      </c>
      <c r="R44" s="1558" t="s">
        <v>8</v>
      </c>
      <c r="S44" s="1559">
        <f t="shared" si="12"/>
        <v>100</v>
      </c>
      <c r="T44" s="1558" t="s">
        <v>8</v>
      </c>
      <c r="U44" s="1559">
        <f t="shared" si="13"/>
        <v>100</v>
      </c>
      <c r="V44" s="1558" t="s">
        <v>8</v>
      </c>
      <c r="W44" s="1559">
        <f t="shared" si="14"/>
        <v>100</v>
      </c>
      <c r="X44" s="1552"/>
      <c r="Y44" s="3450"/>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50"/>
      <c r="Q45" s="1145">
        <f t="shared" si="11"/>
        <v>111</v>
      </c>
      <c r="R45" s="1553" t="s">
        <v>8</v>
      </c>
      <c r="S45" s="1554">
        <f t="shared" si="12"/>
        <v>100</v>
      </c>
      <c r="T45" s="1553" t="s">
        <v>8</v>
      </c>
      <c r="U45" s="1554">
        <f t="shared" si="13"/>
        <v>100</v>
      </c>
      <c r="V45" s="1553" t="s">
        <v>8</v>
      </c>
      <c r="W45" s="1554">
        <f t="shared" si="14"/>
        <v>100</v>
      </c>
      <c r="X45" s="1555"/>
      <c r="Y45" s="3450"/>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50"/>
      <c r="Q46" s="1557">
        <f t="shared" si="11"/>
        <v>111</v>
      </c>
      <c r="R46" s="1558" t="s">
        <v>8</v>
      </c>
      <c r="S46" s="1559">
        <f t="shared" si="12"/>
        <v>100</v>
      </c>
      <c r="T46" s="1558" t="s">
        <v>8</v>
      </c>
      <c r="U46" s="1559">
        <f t="shared" si="13"/>
        <v>100</v>
      </c>
      <c r="V46" s="1558" t="s">
        <v>8</v>
      </c>
      <c r="W46" s="1559">
        <f t="shared" si="14"/>
        <v>100</v>
      </c>
      <c r="X46" s="1552"/>
      <c r="Y46" s="3450"/>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31"/>
      <c r="Q47" s="1557">
        <f t="shared" si="11"/>
        <v>111</v>
      </c>
      <c r="R47" s="1558" t="s">
        <v>8</v>
      </c>
      <c r="S47" s="1559">
        <f t="shared" si="12"/>
        <v>100</v>
      </c>
      <c r="T47" s="1558" t="s">
        <v>8</v>
      </c>
      <c r="U47" s="1559">
        <f t="shared" si="13"/>
        <v>100</v>
      </c>
      <c r="V47" s="1558" t="s">
        <v>8</v>
      </c>
      <c r="W47" s="1559">
        <f t="shared" si="14"/>
        <v>100</v>
      </c>
      <c r="X47" s="1552"/>
      <c r="Y47" s="3531"/>
      <c r="Z47" s="1560">
        <f t="shared" si="15"/>
        <v>111</v>
      </c>
      <c r="AA47" s="1561">
        <f t="shared" si="3"/>
        <v>1</v>
      </c>
      <c r="AB47" s="1561">
        <f t="shared" si="4"/>
        <v>1</v>
      </c>
      <c r="AC47" s="1561">
        <f t="shared" si="5"/>
        <v>1</v>
      </c>
    </row>
    <row r="48" spans="1:29" ht="15">
      <c r="A48" s="606" t="s">
        <v>736</v>
      </c>
      <c r="B48" s="885"/>
      <c r="C48" s="2588" t="s">
        <v>1</v>
      </c>
      <c r="D48" s="2589"/>
      <c r="E48" s="2590"/>
      <c r="F48" s="2591"/>
      <c r="G48" s="2592"/>
      <c r="H48" s="2593"/>
      <c r="I48" s="2590"/>
      <c r="J48" s="2593"/>
      <c r="K48" s="1595"/>
      <c r="L48" s="2126"/>
      <c r="M48" s="2116"/>
      <c r="N48" s="2116"/>
      <c r="O48" s="2116"/>
      <c r="P48" s="3411" t="str">
        <f>A48</f>
        <v>成交单价（元/平方米）</v>
      </c>
      <c r="Q48" s="3413"/>
      <c r="R48" s="3530">
        <f>E48</f>
        <v>0</v>
      </c>
      <c r="S48" s="3530"/>
      <c r="T48" s="3530">
        <f>G48</f>
        <v>0</v>
      </c>
      <c r="U48" s="3530"/>
      <c r="V48" s="3530">
        <f>I48</f>
        <v>0</v>
      </c>
      <c r="W48" s="3530"/>
      <c r="X48" s="1544"/>
      <c r="Y48" s="1566"/>
      <c r="Z48" s="1544"/>
      <c r="AA48" s="1544"/>
      <c r="AB48" s="1544"/>
      <c r="AC48" s="1544"/>
    </row>
    <row r="49" spans="1:29" ht="15.75" thickBot="1">
      <c r="A49" s="614" t="s">
        <v>2758</v>
      </c>
      <c r="B49" s="886"/>
      <c r="C49" s="2594" t="e">
        <f>R50</f>
        <v>#DIV/0!</v>
      </c>
      <c r="D49" s="2595"/>
      <c r="E49" s="2596" t="e">
        <f>R49</f>
        <v>#DIV/0!</v>
      </c>
      <c r="F49" s="2596"/>
      <c r="G49" s="2594" t="e">
        <f>T49</f>
        <v>#DIV/0!</v>
      </c>
      <c r="H49" s="2595"/>
      <c r="I49" s="2596" t="e">
        <f>V49</f>
        <v>#DIV/0!</v>
      </c>
      <c r="J49" s="2595"/>
      <c r="K49" s="1596"/>
      <c r="L49" s="2126"/>
      <c r="M49" s="2116"/>
      <c r="N49" s="2116"/>
      <c r="O49" s="2116"/>
      <c r="P49" s="3411" t="str">
        <f>A49</f>
        <v>比较价格（元/平方米）</v>
      </c>
      <c r="Q49" s="3413"/>
      <c r="R49" s="3530" t="e">
        <f>IF(F1="售价",ROUND(PRODUCT(R48,AA7:AA47),0),ROUND(PRODUCT(R48,AA7:AA47),1))</f>
        <v>#DIV/0!</v>
      </c>
      <c r="S49" s="3530"/>
      <c r="T49" s="3530" t="e">
        <f>IF(F1="售价",ROUND(PRODUCT(T48,AB7:AB47),0),ROUND(PRODUCT(T48,AB7:AB47),1))</f>
        <v>#DIV/0!</v>
      </c>
      <c r="U49" s="3530"/>
      <c r="V49" s="3530" t="e">
        <f>IF(F1="售价",ROUND(PRODUCT(V48,AC7:AC47),0),ROUND(PRODUCT(V48,AC7:AC47),1))</f>
        <v>#DIV/0!</v>
      </c>
      <c r="W49" s="3530"/>
      <c r="X49" s="1544"/>
      <c r="Y49" s="1544"/>
      <c r="Z49" s="1544"/>
      <c r="AA49" s="1544"/>
      <c r="AB49" s="1544"/>
      <c r="AC49" s="1544"/>
    </row>
    <row r="50" spans="1:29" ht="15.75" thickBot="1">
      <c r="A50" s="620" t="s">
        <v>2930</v>
      </c>
      <c r="B50" s="621"/>
      <c r="C50" s="2597" t="e">
        <f>R50</f>
        <v>#DIV/0!</v>
      </c>
      <c r="D50" s="2597"/>
      <c r="E50" s="2597"/>
      <c r="F50" s="2597"/>
      <c r="G50" s="2597"/>
      <c r="H50" s="2597"/>
      <c r="I50" s="2597"/>
      <c r="J50" s="2597"/>
      <c r="K50" s="1597"/>
      <c r="L50" s="2126"/>
      <c r="M50" s="2116"/>
      <c r="N50" s="2116"/>
      <c r="O50" s="2116"/>
      <c r="P50" s="3536" t="str">
        <f>A50</f>
        <v>估价对象XX用房的比较价格（楼面单价，元/平方米）</v>
      </c>
      <c r="Q50" s="3411"/>
      <c r="R50" s="3529" t="e">
        <f>IF(F1="售价",ROUND(AVERAGE(R49:V49),0),ROUND(AVERAGE(R49:V49),1))</f>
        <v>#DIV/0!</v>
      </c>
      <c r="S50" s="3529"/>
      <c r="T50" s="3529"/>
      <c r="U50" s="3529"/>
      <c r="V50" s="3529"/>
      <c r="W50" s="3529"/>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1" customFormat="1" ht="15">
      <c r="A59" s="644" t="s">
        <v>529</v>
      </c>
      <c r="B59" s="645"/>
      <c r="C59" s="2754" t="str">
        <f>YEAR(C7)&amp;"-"&amp;MONTH(C7)</f>
        <v>2019-7</v>
      </c>
      <c r="D59" s="2756">
        <f>EDATE(C59,-1)</f>
        <v>43617</v>
      </c>
      <c r="E59" s="2756">
        <f t="shared" ref="E59:O59" si="16">EDATE(D59,-1)</f>
        <v>43586</v>
      </c>
      <c r="F59" s="2756">
        <f t="shared" si="16"/>
        <v>43556</v>
      </c>
      <c r="G59" s="2756">
        <f t="shared" si="16"/>
        <v>43525</v>
      </c>
      <c r="H59" s="2756">
        <f t="shared" si="16"/>
        <v>43497</v>
      </c>
      <c r="I59" s="2756">
        <f t="shared" si="16"/>
        <v>43466</v>
      </c>
      <c r="J59" s="2756">
        <f t="shared" si="16"/>
        <v>43435</v>
      </c>
      <c r="K59" s="2756">
        <f t="shared" si="16"/>
        <v>43405</v>
      </c>
      <c r="L59" s="2756">
        <f t="shared" si="16"/>
        <v>43374</v>
      </c>
      <c r="M59" s="2756">
        <f t="shared" si="16"/>
        <v>43344</v>
      </c>
      <c r="N59" s="2756">
        <f t="shared" si="16"/>
        <v>43313</v>
      </c>
      <c r="O59" s="2756">
        <f t="shared" si="16"/>
        <v>43282</v>
      </c>
      <c r="P59" s="2193"/>
      <c r="Q59" s="2143"/>
      <c r="R59" s="2143"/>
      <c r="S59" s="2143"/>
      <c r="T59" s="2143"/>
      <c r="U59" s="2143"/>
      <c r="V59" s="2143"/>
      <c r="W59" s="2143"/>
      <c r="X59" s="2143"/>
      <c r="Y59" s="2143"/>
      <c r="Z59" s="2143"/>
      <c r="AA59" s="2143"/>
      <c r="AB59" s="2143"/>
      <c r="AC59" s="2143"/>
    </row>
    <row r="60" spans="1:29" s="1214"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2556</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2557</v>
      </c>
      <c r="C83" s="2559" t="s">
        <v>2558</v>
      </c>
      <c r="D83" s="2559" t="s">
        <v>2559</v>
      </c>
      <c r="E83" s="2559" t="s">
        <v>2560</v>
      </c>
      <c r="F83" s="2559" t="s">
        <v>2561</v>
      </c>
      <c r="G83" s="2559" t="s">
        <v>2562</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2555</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59"/>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419" t="s">
        <v>522</v>
      </c>
      <c r="D4" s="3420"/>
      <c r="E4" s="3453" t="s">
        <v>523</v>
      </c>
      <c r="F4" s="3454"/>
      <c r="G4" s="3419" t="s">
        <v>524</v>
      </c>
      <c r="H4" s="3420"/>
      <c r="I4" s="3419" t="s">
        <v>525</v>
      </c>
      <c r="J4" s="3420"/>
      <c r="K4" s="513" t="s">
        <v>526</v>
      </c>
      <c r="L4" s="2115"/>
      <c r="M4" s="2116"/>
      <c r="N4" s="2116"/>
      <c r="O4" s="2116"/>
      <c r="P4" s="3421" t="s">
        <v>527</v>
      </c>
      <c r="Q4" s="3422"/>
      <c r="R4" s="3427" t="s">
        <v>523</v>
      </c>
      <c r="S4" s="3428"/>
      <c r="T4" s="3427" t="s">
        <v>524</v>
      </c>
      <c r="U4" s="3428"/>
      <c r="V4" s="3414" t="s">
        <v>525</v>
      </c>
      <c r="W4" s="3414"/>
      <c r="X4" s="1552"/>
      <c r="Y4" s="3427" t="s">
        <v>527</v>
      </c>
      <c r="Z4" s="3428"/>
      <c r="AA4" s="3416" t="s">
        <v>523</v>
      </c>
      <c r="AB4" s="3417" t="s">
        <v>524</v>
      </c>
      <c r="AC4" s="3416" t="s">
        <v>525</v>
      </c>
    </row>
    <row r="5" spans="1:29" ht="15">
      <c r="A5" s="514"/>
      <c r="B5" s="515"/>
      <c r="C5" s="3435" t="s">
        <v>2924</v>
      </c>
      <c r="D5" s="3436"/>
      <c r="E5" s="3455" t="s">
        <v>2925</v>
      </c>
      <c r="F5" s="3456"/>
      <c r="G5" s="3435" t="s">
        <v>2926</v>
      </c>
      <c r="H5" s="3436"/>
      <c r="I5" s="3435" t="s">
        <v>2927</v>
      </c>
      <c r="J5" s="3436"/>
      <c r="K5" s="513"/>
      <c r="L5" s="2115"/>
      <c r="M5" s="2116"/>
      <c r="N5" s="2116"/>
      <c r="O5" s="2116"/>
      <c r="P5" s="3423"/>
      <c r="Q5" s="3424"/>
      <c r="R5" s="3429"/>
      <c r="S5" s="3430"/>
      <c r="T5" s="3429"/>
      <c r="U5" s="3430"/>
      <c r="V5" s="3414"/>
      <c r="W5" s="3414"/>
      <c r="X5" s="1552"/>
      <c r="Y5" s="3429"/>
      <c r="Z5" s="3430"/>
      <c r="AA5" s="3417"/>
      <c r="AB5" s="3417"/>
      <c r="AC5" s="3417"/>
    </row>
    <row r="6" spans="1:29" ht="15.75" thickBot="1">
      <c r="A6" s="516"/>
      <c r="B6" s="517"/>
      <c r="C6" s="3433" t="s">
        <v>2928</v>
      </c>
      <c r="D6" s="3434"/>
      <c r="E6" s="3451" t="s">
        <v>2928</v>
      </c>
      <c r="F6" s="3452"/>
      <c r="G6" s="3433" t="s">
        <v>2928</v>
      </c>
      <c r="H6" s="3434"/>
      <c r="I6" s="3433" t="s">
        <v>2928</v>
      </c>
      <c r="J6" s="3434"/>
      <c r="K6" s="513" t="s">
        <v>528</v>
      </c>
      <c r="L6" s="2115"/>
      <c r="M6" s="2116"/>
      <c r="N6" s="2116"/>
      <c r="O6" s="2116"/>
      <c r="P6" s="3425"/>
      <c r="Q6" s="3426"/>
      <c r="R6" s="3429"/>
      <c r="S6" s="3430"/>
      <c r="T6" s="3431"/>
      <c r="U6" s="3432"/>
      <c r="V6" s="3414"/>
      <c r="W6" s="3414"/>
      <c r="X6" s="1552"/>
      <c r="Y6" s="3431"/>
      <c r="Z6" s="3432"/>
      <c r="AA6" s="3418"/>
      <c r="AB6" s="3418"/>
      <c r="AC6" s="3418"/>
    </row>
    <row r="7" spans="1:29" s="1214" customFormat="1" ht="15.75" thickBot="1">
      <c r="A7" s="2863"/>
      <c r="B7" s="2870" t="s">
        <v>529</v>
      </c>
      <c r="C7" s="518">
        <f>'数据-取费表'!B2</f>
        <v>43656</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44" t="s">
        <v>530</v>
      </c>
      <c r="Q7" s="3446"/>
      <c r="R7" s="1553" t="s">
        <v>8</v>
      </c>
      <c r="S7" s="1554">
        <f t="shared" ref="S7:S15" si="0">F7</f>
        <v>0</v>
      </c>
      <c r="T7" s="1553" t="s">
        <v>8</v>
      </c>
      <c r="U7" s="1554">
        <f t="shared" ref="U7:U15" si="1">H7</f>
        <v>0</v>
      </c>
      <c r="V7" s="1553" t="s">
        <v>8</v>
      </c>
      <c r="W7" s="1554">
        <f t="shared" ref="W7:W15" si="2">J7</f>
        <v>0</v>
      </c>
      <c r="X7" s="1555"/>
      <c r="Y7" s="3444" t="s">
        <v>530</v>
      </c>
      <c r="Z7" s="3445"/>
      <c r="AA7" s="1556" t="e">
        <f>D7/F7</f>
        <v>#DIV/0!</v>
      </c>
      <c r="AB7" s="1556" t="e">
        <f>D7/H7</f>
        <v>#DIV/0!</v>
      </c>
      <c r="AC7" s="1556" t="e">
        <f>D7/J7</f>
        <v>#DIV/0!</v>
      </c>
    </row>
    <row r="8" spans="1:29" s="1214"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44" t="s">
        <v>533</v>
      </c>
      <c r="Q8" s="3445"/>
      <c r="R8" s="1553" t="s">
        <v>8</v>
      </c>
      <c r="S8" s="1554">
        <f t="shared" si="0"/>
        <v>0</v>
      </c>
      <c r="T8" s="1553" t="s">
        <v>8</v>
      </c>
      <c r="U8" s="1554">
        <f t="shared" si="1"/>
        <v>0</v>
      </c>
      <c r="V8" s="1553" t="s">
        <v>8</v>
      </c>
      <c r="W8" s="1554">
        <f t="shared" si="2"/>
        <v>0</v>
      </c>
      <c r="X8" s="1555"/>
      <c r="Y8" s="3444" t="s">
        <v>533</v>
      </c>
      <c r="Z8" s="3445"/>
      <c r="AA8" s="1556" t="e">
        <f t="shared" ref="AA8:AA40" si="3">D8/F8</f>
        <v>#DIV/0!</v>
      </c>
      <c r="AB8" s="1556" t="e">
        <f t="shared" ref="AB8:AB40" si="4">D8/H8</f>
        <v>#DIV/0!</v>
      </c>
      <c r="AC8" s="1556" t="e">
        <f t="shared" ref="AC8:AC40" si="5">D8/J8</f>
        <v>#DIV/0!</v>
      </c>
    </row>
    <row r="9" spans="1:29" s="1214" customFormat="1" ht="15">
      <c r="A9" s="2865"/>
      <c r="B9" s="2872" t="s">
        <v>2754</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13" t="s">
        <v>535</v>
      </c>
      <c r="Q9" s="1145" t="str">
        <f t="shared" ref="Q9:Q15" si="6">B9</f>
        <v>用途</v>
      </c>
      <c r="R9" s="1553" t="s">
        <v>8</v>
      </c>
      <c r="S9" s="1554">
        <f t="shared" si="0"/>
        <v>100</v>
      </c>
      <c r="T9" s="1553" t="s">
        <v>8</v>
      </c>
      <c r="U9" s="1554">
        <f t="shared" si="1"/>
        <v>100</v>
      </c>
      <c r="V9" s="1553" t="s">
        <v>8</v>
      </c>
      <c r="W9" s="1554">
        <f t="shared" si="2"/>
        <v>100</v>
      </c>
      <c r="X9" s="1555"/>
      <c r="Y9" s="3359" t="s">
        <v>536</v>
      </c>
      <c r="Z9" s="1144" t="str">
        <f t="shared" ref="Z9:Z15" si="7">Q9</f>
        <v>用途</v>
      </c>
      <c r="AA9" s="1556">
        <f t="shared" si="3"/>
        <v>1</v>
      </c>
      <c r="AB9" s="1556">
        <f t="shared" si="4"/>
        <v>1</v>
      </c>
      <c r="AC9" s="1556">
        <f t="shared" si="5"/>
        <v>1</v>
      </c>
    </row>
    <row r="10" spans="1:29" s="1332" customFormat="1" ht="27">
      <c r="A10" s="2866"/>
      <c r="B10" s="2871" t="s">
        <v>2755</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13"/>
      <c r="Q10" s="1145" t="str">
        <f t="shared" si="6"/>
        <v>土地使用年限（年）</v>
      </c>
      <c r="R10" s="1553" t="s">
        <v>8</v>
      </c>
      <c r="S10" s="1554">
        <f t="shared" si="0"/>
        <v>100</v>
      </c>
      <c r="T10" s="1553" t="s">
        <v>8</v>
      </c>
      <c r="U10" s="1554">
        <f t="shared" si="1"/>
        <v>100</v>
      </c>
      <c r="V10" s="1553" t="s">
        <v>8</v>
      </c>
      <c r="W10" s="1554">
        <f t="shared" si="2"/>
        <v>100</v>
      </c>
      <c r="X10" s="1555"/>
      <c r="Y10" s="3359"/>
      <c r="Z10" s="1144" t="str">
        <f t="shared" si="7"/>
        <v>土地使用年限（年）</v>
      </c>
      <c r="AA10" s="1556">
        <f t="shared" si="3"/>
        <v>1</v>
      </c>
      <c r="AB10" s="1556">
        <f t="shared" si="4"/>
        <v>1</v>
      </c>
      <c r="AC10" s="1556">
        <f t="shared" si="5"/>
        <v>1</v>
      </c>
    </row>
    <row r="11" spans="1:29" ht="15">
      <c r="A11" s="2867"/>
      <c r="B11" s="2871"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13"/>
      <c r="Q11" s="1145" t="str">
        <f t="shared" si="6"/>
        <v>容积率</v>
      </c>
      <c r="R11" s="1553" t="s">
        <v>8</v>
      </c>
      <c r="S11" s="1554" t="e">
        <f t="shared" si="0"/>
        <v>#N/A</v>
      </c>
      <c r="T11" s="1553" t="s">
        <v>8</v>
      </c>
      <c r="U11" s="1554" t="e">
        <f t="shared" si="1"/>
        <v>#N/A</v>
      </c>
      <c r="V11" s="1553" t="s">
        <v>8</v>
      </c>
      <c r="W11" s="1554" t="e">
        <f t="shared" si="2"/>
        <v>#N/A</v>
      </c>
      <c r="X11" s="1555"/>
      <c r="Y11" s="3359"/>
      <c r="Z11" s="1144" t="str">
        <f t="shared" si="7"/>
        <v>容积率</v>
      </c>
      <c r="AA11" s="1556" t="e">
        <f t="shared" si="3"/>
        <v>#N/A</v>
      </c>
      <c r="AB11" s="1556" t="e">
        <f t="shared" si="4"/>
        <v>#N/A</v>
      </c>
      <c r="AC11" s="1556" t="e">
        <f t="shared" si="5"/>
        <v>#N/A</v>
      </c>
    </row>
    <row r="12" spans="1:29" s="1214"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13"/>
      <c r="Q12" s="1145">
        <f t="shared" si="6"/>
        <v>111</v>
      </c>
      <c r="R12" s="1553" t="s">
        <v>8</v>
      </c>
      <c r="S12" s="1554">
        <f t="shared" si="0"/>
        <v>100</v>
      </c>
      <c r="T12" s="1553" t="s">
        <v>8</v>
      </c>
      <c r="U12" s="1554">
        <f t="shared" si="1"/>
        <v>100</v>
      </c>
      <c r="V12" s="1553" t="s">
        <v>8</v>
      </c>
      <c r="W12" s="1554">
        <f t="shared" si="2"/>
        <v>100</v>
      </c>
      <c r="X12" s="1555"/>
      <c r="Y12" s="3359"/>
      <c r="Z12" s="1144">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13"/>
      <c r="Q13" s="1145">
        <f t="shared" si="6"/>
        <v>111</v>
      </c>
      <c r="R13" s="1553" t="s">
        <v>8</v>
      </c>
      <c r="S13" s="1554">
        <f t="shared" si="0"/>
        <v>100</v>
      </c>
      <c r="T13" s="1553" t="s">
        <v>8</v>
      </c>
      <c r="U13" s="1554">
        <f t="shared" si="1"/>
        <v>100</v>
      </c>
      <c r="V13" s="1553" t="s">
        <v>8</v>
      </c>
      <c r="W13" s="1554">
        <f t="shared" si="2"/>
        <v>100</v>
      </c>
      <c r="X13" s="1555"/>
      <c r="Y13" s="3359"/>
      <c r="Z13" s="1144">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13"/>
      <c r="Q14" s="1145">
        <f t="shared" si="6"/>
        <v>111</v>
      </c>
      <c r="R14" s="1553" t="s">
        <v>8</v>
      </c>
      <c r="S14" s="1554">
        <f t="shared" si="0"/>
        <v>100</v>
      </c>
      <c r="T14" s="1553" t="s">
        <v>8</v>
      </c>
      <c r="U14" s="1554">
        <f t="shared" si="1"/>
        <v>100</v>
      </c>
      <c r="V14" s="1553" t="s">
        <v>8</v>
      </c>
      <c r="W14" s="1554">
        <f t="shared" si="2"/>
        <v>100</v>
      </c>
      <c r="X14" s="1555"/>
      <c r="Y14" s="3359"/>
      <c r="Z14" s="1144">
        <f t="shared" si="7"/>
        <v>111</v>
      </c>
      <c r="AA14" s="1556">
        <f t="shared" si="3"/>
        <v>1</v>
      </c>
      <c r="AB14" s="1556">
        <f t="shared" si="4"/>
        <v>1</v>
      </c>
      <c r="AC14" s="1556">
        <f t="shared" si="5"/>
        <v>1</v>
      </c>
    </row>
    <row r="15" spans="1:29" ht="57">
      <c r="A15" s="2861"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47" t="s">
        <v>540</v>
      </c>
      <c r="Q15" s="1557" t="str">
        <f t="shared" si="6"/>
        <v>产业集聚程度</v>
      </c>
      <c r="R15" s="1558" t="s">
        <v>8</v>
      </c>
      <c r="S15" s="1559">
        <f t="shared" si="0"/>
        <v>100</v>
      </c>
      <c r="T15" s="1558" t="s">
        <v>8</v>
      </c>
      <c r="U15" s="1559">
        <f t="shared" si="1"/>
        <v>100</v>
      </c>
      <c r="V15" s="1558" t="s">
        <v>8</v>
      </c>
      <c r="W15" s="1559">
        <f t="shared" si="2"/>
        <v>100</v>
      </c>
      <c r="X15" s="1552"/>
      <c r="Y15" s="3447"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4"/>
      <c r="M16" s="2116"/>
      <c r="N16" s="2116"/>
      <c r="O16" s="2123"/>
      <c r="P16" s="3448"/>
      <c r="Q16" s="1557"/>
      <c r="R16" s="1558"/>
      <c r="S16" s="1559"/>
      <c r="T16" s="1558"/>
      <c r="U16" s="1559"/>
      <c r="V16" s="1558"/>
      <c r="W16" s="1559"/>
      <c r="X16" s="1552"/>
      <c r="Y16" s="3448"/>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48"/>
      <c r="Q17" s="1557" t="str">
        <f>B17</f>
        <v>交通便捷度</v>
      </c>
      <c r="R17" s="1558" t="s">
        <v>8</v>
      </c>
      <c r="S17" s="1559">
        <f>F17</f>
        <v>100</v>
      </c>
      <c r="T17" s="1558" t="s">
        <v>8</v>
      </c>
      <c r="U17" s="1559">
        <f>H17</f>
        <v>100</v>
      </c>
      <c r="V17" s="1558" t="s">
        <v>8</v>
      </c>
      <c r="W17" s="1559">
        <f>J17</f>
        <v>100</v>
      </c>
      <c r="X17" s="1552"/>
      <c r="Y17" s="344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4"/>
      <c r="M18" s="2116"/>
      <c r="N18" s="2116"/>
      <c r="O18" s="2123"/>
      <c r="P18" s="3448"/>
      <c r="Q18" s="1557"/>
      <c r="R18" s="1558"/>
      <c r="S18" s="1559"/>
      <c r="T18" s="1558"/>
      <c r="U18" s="1559"/>
      <c r="V18" s="1558"/>
      <c r="W18" s="1559"/>
      <c r="X18" s="1552"/>
      <c r="Y18" s="3448"/>
      <c r="Z18" s="1560"/>
      <c r="AA18" s="1561">
        <v>1</v>
      </c>
      <c r="AB18" s="1561">
        <v>1</v>
      </c>
      <c r="AC18" s="1561">
        <v>1</v>
      </c>
    </row>
    <row r="19" spans="1:29" ht="42.75">
      <c r="A19" s="531"/>
      <c r="B19" s="256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48"/>
      <c r="Q19" s="1557" t="str">
        <f>B19</f>
        <v>公共配套设施</v>
      </c>
      <c r="R19" s="1558" t="s">
        <v>8</v>
      </c>
      <c r="S19" s="1559">
        <f>F19</f>
        <v>100</v>
      </c>
      <c r="T19" s="1558" t="s">
        <v>8</v>
      </c>
      <c r="U19" s="1559">
        <f>H19</f>
        <v>100</v>
      </c>
      <c r="V19" s="1558" t="s">
        <v>8</v>
      </c>
      <c r="W19" s="1559">
        <f>J19</f>
        <v>100</v>
      </c>
      <c r="X19" s="1552"/>
      <c r="Y19" s="3448"/>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4"/>
      <c r="M20" s="2116"/>
      <c r="N20" s="2116"/>
      <c r="O20" s="2123"/>
      <c r="P20" s="3448"/>
      <c r="Q20" s="1557"/>
      <c r="R20" s="1558"/>
      <c r="S20" s="1559"/>
      <c r="T20" s="1558"/>
      <c r="U20" s="1559"/>
      <c r="V20" s="1558"/>
      <c r="W20" s="1559"/>
      <c r="X20" s="1552"/>
      <c r="Y20" s="3448"/>
      <c r="Z20" s="1560"/>
      <c r="AA20" s="1561">
        <v>1</v>
      </c>
      <c r="AB20" s="1561">
        <v>1</v>
      </c>
      <c r="AC20" s="1561">
        <v>1</v>
      </c>
    </row>
    <row r="21" spans="1:29" ht="28.5">
      <c r="A21" s="531"/>
      <c r="B21" s="255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48"/>
      <c r="Q21" s="2540" t="str">
        <f>B21</f>
        <v>基础设施水平</v>
      </c>
      <c r="R21" s="1558" t="s">
        <v>8</v>
      </c>
      <c r="S21" s="1559">
        <f>F21</f>
        <v>100</v>
      </c>
      <c r="T21" s="1558" t="s">
        <v>8</v>
      </c>
      <c r="U21" s="1559">
        <f>H21</f>
        <v>100</v>
      </c>
      <c r="V21" s="1558" t="s">
        <v>8</v>
      </c>
      <c r="W21" s="1559">
        <f>J21</f>
        <v>100</v>
      </c>
      <c r="X21" s="2542"/>
      <c r="Y21" s="3448"/>
      <c r="Z21" s="2541"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3"/>
      <c r="L22" s="2124"/>
      <c r="M22" s="2116"/>
      <c r="N22" s="2116"/>
      <c r="O22" s="2123"/>
      <c r="P22" s="3448"/>
      <c r="Q22" s="2540"/>
      <c r="R22" s="1558"/>
      <c r="S22" s="1559"/>
      <c r="T22" s="1558"/>
      <c r="U22" s="1559"/>
      <c r="V22" s="1558"/>
      <c r="W22" s="1559"/>
      <c r="X22" s="2542"/>
      <c r="Y22" s="3448"/>
      <c r="Z22" s="2541"/>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48"/>
      <c r="Q23" s="1557" t="str">
        <f>B23</f>
        <v>环境质量</v>
      </c>
      <c r="R23" s="1558" t="s">
        <v>8</v>
      </c>
      <c r="S23" s="1559">
        <f>F23</f>
        <v>100</v>
      </c>
      <c r="T23" s="1558" t="s">
        <v>8</v>
      </c>
      <c r="U23" s="1559">
        <f>H23</f>
        <v>100</v>
      </c>
      <c r="V23" s="1558" t="s">
        <v>8</v>
      </c>
      <c r="W23" s="1559">
        <f>J23</f>
        <v>100</v>
      </c>
      <c r="X23" s="1552"/>
      <c r="Y23" s="3448"/>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4"/>
      <c r="M24" s="2116"/>
      <c r="N24" s="2116"/>
      <c r="O24" s="2123"/>
      <c r="P24" s="3448"/>
      <c r="Q24" s="1557"/>
      <c r="R24" s="1558"/>
      <c r="S24" s="1559"/>
      <c r="T24" s="1558"/>
      <c r="U24" s="1559"/>
      <c r="V24" s="1558"/>
      <c r="W24" s="1559"/>
      <c r="X24" s="1552"/>
      <c r="Y24" s="3448"/>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48"/>
      <c r="Q25" s="1557">
        <f>B25</f>
        <v>111</v>
      </c>
      <c r="R25" s="1558" t="s">
        <v>8</v>
      </c>
      <c r="S25" s="1559">
        <f>F25</f>
        <v>100</v>
      </c>
      <c r="T25" s="1558" t="s">
        <v>8</v>
      </c>
      <c r="U25" s="1559">
        <f>H25</f>
        <v>100</v>
      </c>
      <c r="V25" s="1558" t="s">
        <v>8</v>
      </c>
      <c r="W25" s="1559">
        <f>J25</f>
        <v>100</v>
      </c>
      <c r="X25" s="1552"/>
      <c r="Y25" s="3448"/>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48"/>
      <c r="Q26" s="1557">
        <f t="shared" ref="Q26:Q40" si="11">B26</f>
        <v>111</v>
      </c>
      <c r="R26" s="1558" t="s">
        <v>8</v>
      </c>
      <c r="S26" s="1559">
        <f>F26</f>
        <v>100</v>
      </c>
      <c r="T26" s="1558" t="s">
        <v>8</v>
      </c>
      <c r="U26" s="1559">
        <f>H26</f>
        <v>100</v>
      </c>
      <c r="V26" s="1558" t="s">
        <v>8</v>
      </c>
      <c r="W26" s="1559">
        <f>J26</f>
        <v>100</v>
      </c>
      <c r="X26" s="1552"/>
      <c r="Y26" s="3448"/>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48"/>
      <c r="Q27" s="1145">
        <f t="shared" si="11"/>
        <v>111</v>
      </c>
      <c r="R27" s="1553" t="s">
        <v>8</v>
      </c>
      <c r="S27" s="1554">
        <f>F27</f>
        <v>100</v>
      </c>
      <c r="T27" s="1553" t="s">
        <v>8</v>
      </c>
      <c r="U27" s="1554">
        <f>H27</f>
        <v>100</v>
      </c>
      <c r="V27" s="1553" t="s">
        <v>8</v>
      </c>
      <c r="W27" s="1554">
        <f>J27</f>
        <v>100</v>
      </c>
      <c r="X27" s="1555"/>
      <c r="Y27" s="3448"/>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48"/>
      <c r="Q28" s="1557">
        <f t="shared" si="11"/>
        <v>111</v>
      </c>
      <c r="R28" s="1558" t="s">
        <v>8</v>
      </c>
      <c r="S28" s="1559">
        <f t="shared" ref="S28:S40" si="12">F28</f>
        <v>100</v>
      </c>
      <c r="T28" s="1558" t="s">
        <v>8</v>
      </c>
      <c r="U28" s="1559">
        <f t="shared" ref="U28:U40" si="13">H28</f>
        <v>100</v>
      </c>
      <c r="V28" s="1558" t="s">
        <v>8</v>
      </c>
      <c r="W28" s="1559">
        <f t="shared" ref="W28:W40" si="14">J28</f>
        <v>100</v>
      </c>
      <c r="X28" s="1552"/>
      <c r="Y28" s="3448"/>
      <c r="Z28" s="1560">
        <f t="shared" ref="Z28:Z40" si="15">Q28</f>
        <v>111</v>
      </c>
      <c r="AA28" s="1561">
        <f t="shared" si="3"/>
        <v>1</v>
      </c>
      <c r="AB28" s="1561">
        <f t="shared" si="4"/>
        <v>1</v>
      </c>
      <c r="AC28" s="1561">
        <f t="shared" si="5"/>
        <v>1</v>
      </c>
    </row>
    <row r="29" spans="1:29" ht="15">
      <c r="A29" s="2859"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49" t="s">
        <v>550</v>
      </c>
      <c r="Q29" s="1557" t="str">
        <f t="shared" si="11"/>
        <v>建筑类型</v>
      </c>
      <c r="R29" s="1558" t="s">
        <v>8</v>
      </c>
      <c r="S29" s="1559">
        <f t="shared" si="12"/>
        <v>100</v>
      </c>
      <c r="T29" s="1558" t="s">
        <v>8</v>
      </c>
      <c r="U29" s="1559">
        <f t="shared" si="13"/>
        <v>100</v>
      </c>
      <c r="V29" s="1558" t="s">
        <v>8</v>
      </c>
      <c r="W29" s="1559">
        <f t="shared" si="14"/>
        <v>100</v>
      </c>
      <c r="X29" s="1552"/>
      <c r="Y29" s="3450"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50"/>
      <c r="Q30" s="1589" t="str">
        <f t="shared" si="11"/>
        <v>项目建筑规模</v>
      </c>
      <c r="R30" s="1562" t="s">
        <v>8</v>
      </c>
      <c r="S30" s="1563" t="e">
        <f t="shared" si="12"/>
        <v>#N/A</v>
      </c>
      <c r="T30" s="1562" t="s">
        <v>8</v>
      </c>
      <c r="U30" s="1563" t="e">
        <f t="shared" si="13"/>
        <v>#N/A</v>
      </c>
      <c r="V30" s="1562" t="s">
        <v>8</v>
      </c>
      <c r="W30" s="1563" t="e">
        <f t="shared" si="14"/>
        <v>#N/A</v>
      </c>
      <c r="X30" s="1564"/>
      <c r="Y30" s="3450"/>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50"/>
      <c r="Q31" s="1557" t="str">
        <f t="shared" si="11"/>
        <v>建筑结构</v>
      </c>
      <c r="R31" s="1558" t="s">
        <v>8</v>
      </c>
      <c r="S31" s="1559">
        <f t="shared" si="12"/>
        <v>100</v>
      </c>
      <c r="T31" s="1558" t="s">
        <v>8</v>
      </c>
      <c r="U31" s="1559">
        <f t="shared" si="13"/>
        <v>100</v>
      </c>
      <c r="V31" s="1558" t="s">
        <v>8</v>
      </c>
      <c r="W31" s="1559">
        <f t="shared" si="14"/>
        <v>100</v>
      </c>
      <c r="X31" s="1552"/>
      <c r="Y31" s="3450"/>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50"/>
      <c r="Q32" s="1557" t="str">
        <f t="shared" si="11"/>
        <v>公共部分装修</v>
      </c>
      <c r="R32" s="1558" t="s">
        <v>8</v>
      </c>
      <c r="S32" s="1559">
        <f t="shared" si="12"/>
        <v>100</v>
      </c>
      <c r="T32" s="1558" t="s">
        <v>8</v>
      </c>
      <c r="U32" s="1559">
        <f t="shared" si="13"/>
        <v>100</v>
      </c>
      <c r="V32" s="1558" t="s">
        <v>8</v>
      </c>
      <c r="W32" s="1559">
        <f t="shared" si="14"/>
        <v>100</v>
      </c>
      <c r="X32" s="1552"/>
      <c r="Y32" s="3450"/>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50"/>
      <c r="Q33" s="1557" t="str">
        <f t="shared" si="11"/>
        <v>成新度</v>
      </c>
      <c r="R33" s="1558" t="s">
        <v>8</v>
      </c>
      <c r="S33" s="1559" t="e">
        <f t="shared" si="12"/>
        <v>#N/A</v>
      </c>
      <c r="T33" s="1558" t="s">
        <v>8</v>
      </c>
      <c r="U33" s="1559" t="e">
        <f t="shared" si="13"/>
        <v>#N/A</v>
      </c>
      <c r="V33" s="1558" t="s">
        <v>8</v>
      </c>
      <c r="W33" s="1559" t="e">
        <f t="shared" si="14"/>
        <v>#N/A</v>
      </c>
      <c r="X33" s="1552"/>
      <c r="Y33" s="3450"/>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50"/>
      <c r="Q34" s="1145" t="str">
        <f t="shared" si="11"/>
        <v>物业管理</v>
      </c>
      <c r="R34" s="1553" t="s">
        <v>8</v>
      </c>
      <c r="S34" s="1554">
        <f t="shared" si="12"/>
        <v>100</v>
      </c>
      <c r="T34" s="1553" t="s">
        <v>8</v>
      </c>
      <c r="U34" s="1554">
        <f t="shared" si="13"/>
        <v>100</v>
      </c>
      <c r="V34" s="1553" t="s">
        <v>8</v>
      </c>
      <c r="W34" s="1554">
        <f t="shared" si="14"/>
        <v>100</v>
      </c>
      <c r="X34" s="1555"/>
      <c r="Y34" s="3450"/>
      <c r="Z34" s="1144" t="str">
        <f t="shared" si="15"/>
        <v>物业管理</v>
      </c>
      <c r="AA34" s="1556">
        <f t="shared" si="3"/>
        <v>1</v>
      </c>
      <c r="AB34" s="1556">
        <f t="shared" si="4"/>
        <v>1</v>
      </c>
      <c r="AC34" s="1556">
        <f t="shared" si="5"/>
        <v>1</v>
      </c>
    </row>
    <row r="35" spans="1:29" ht="15">
      <c r="A35" s="593"/>
      <c r="B35" s="1877"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50" t="s">
        <v>550</v>
      </c>
      <c r="Q35" s="1557" t="str">
        <f t="shared" si="11"/>
        <v>市政基础设施</v>
      </c>
      <c r="R35" s="1558" t="s">
        <v>8</v>
      </c>
      <c r="S35" s="1559">
        <f t="shared" si="12"/>
        <v>100</v>
      </c>
      <c r="T35" s="1558" t="s">
        <v>8</v>
      </c>
      <c r="U35" s="1559">
        <f t="shared" si="13"/>
        <v>100</v>
      </c>
      <c r="V35" s="1558" t="s">
        <v>8</v>
      </c>
      <c r="W35" s="1559">
        <f t="shared" si="14"/>
        <v>100</v>
      </c>
      <c r="X35" s="1552"/>
      <c r="Y35" s="3450"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50"/>
      <c r="Q36" s="1557" t="str">
        <f t="shared" si="11"/>
        <v>内部装修</v>
      </c>
      <c r="R36" s="1558" t="s">
        <v>8</v>
      </c>
      <c r="S36" s="1559">
        <f t="shared" si="12"/>
        <v>100</v>
      </c>
      <c r="T36" s="1558" t="s">
        <v>8</v>
      </c>
      <c r="U36" s="1559">
        <f t="shared" si="13"/>
        <v>100</v>
      </c>
      <c r="V36" s="1558" t="s">
        <v>8</v>
      </c>
      <c r="W36" s="1559">
        <f t="shared" si="14"/>
        <v>100</v>
      </c>
      <c r="X36" s="1552"/>
      <c r="Y36" s="3450"/>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50"/>
      <c r="Q37" s="1557" t="str">
        <f t="shared" si="11"/>
        <v>内部装修状况</v>
      </c>
      <c r="R37" s="1558" t="s">
        <v>8</v>
      </c>
      <c r="S37" s="1559">
        <f t="shared" si="12"/>
        <v>100</v>
      </c>
      <c r="T37" s="1558" t="s">
        <v>8</v>
      </c>
      <c r="U37" s="1559">
        <f t="shared" si="13"/>
        <v>100</v>
      </c>
      <c r="V37" s="1558" t="s">
        <v>8</v>
      </c>
      <c r="W37" s="1559">
        <f t="shared" si="14"/>
        <v>100</v>
      </c>
      <c r="X37" s="1552"/>
      <c r="Y37" s="3450"/>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50"/>
      <c r="Q38" s="1589">
        <f t="shared" si="11"/>
        <v>111</v>
      </c>
      <c r="R38" s="1562" t="s">
        <v>8</v>
      </c>
      <c r="S38" s="1563">
        <f t="shared" si="12"/>
        <v>100</v>
      </c>
      <c r="T38" s="1562" t="s">
        <v>8</v>
      </c>
      <c r="U38" s="1563">
        <f t="shared" si="13"/>
        <v>100</v>
      </c>
      <c r="V38" s="1562" t="s">
        <v>8</v>
      </c>
      <c r="W38" s="1563">
        <f t="shared" si="14"/>
        <v>100</v>
      </c>
      <c r="X38" s="1564"/>
      <c r="Y38" s="3450"/>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50"/>
      <c r="Q39" s="1557">
        <f t="shared" si="11"/>
        <v>111</v>
      </c>
      <c r="R39" s="1558" t="s">
        <v>8</v>
      </c>
      <c r="S39" s="1559">
        <f t="shared" si="12"/>
        <v>100</v>
      </c>
      <c r="T39" s="1558" t="s">
        <v>8</v>
      </c>
      <c r="U39" s="1559">
        <f t="shared" si="13"/>
        <v>100</v>
      </c>
      <c r="V39" s="1558" t="s">
        <v>8</v>
      </c>
      <c r="W39" s="1559">
        <f t="shared" si="14"/>
        <v>100</v>
      </c>
      <c r="X39" s="1552"/>
      <c r="Y39" s="3450"/>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31"/>
      <c r="Q40" s="1557">
        <f t="shared" si="11"/>
        <v>111</v>
      </c>
      <c r="R40" s="1558" t="s">
        <v>8</v>
      </c>
      <c r="S40" s="1559">
        <f t="shared" si="12"/>
        <v>100</v>
      </c>
      <c r="T40" s="1558" t="s">
        <v>8</v>
      </c>
      <c r="U40" s="1559">
        <f t="shared" si="13"/>
        <v>100</v>
      </c>
      <c r="V40" s="1558" t="s">
        <v>8</v>
      </c>
      <c r="W40" s="1559">
        <f t="shared" si="14"/>
        <v>100</v>
      </c>
      <c r="X40" s="1552"/>
      <c r="Y40" s="3531"/>
      <c r="Z40" s="1560">
        <f t="shared" si="15"/>
        <v>111</v>
      </c>
      <c r="AA40" s="1561">
        <f t="shared" si="3"/>
        <v>1</v>
      </c>
      <c r="AB40" s="1561">
        <f t="shared" si="4"/>
        <v>1</v>
      </c>
      <c r="AC40" s="1561">
        <f t="shared" si="5"/>
        <v>1</v>
      </c>
    </row>
    <row r="41" spans="1:29" ht="15">
      <c r="A41" s="606" t="s">
        <v>736</v>
      </c>
      <c r="B41" s="885"/>
      <c r="C41" s="2588" t="s">
        <v>1</v>
      </c>
      <c r="D41" s="2589"/>
      <c r="E41" s="2590"/>
      <c r="F41" s="2591"/>
      <c r="G41" s="2592"/>
      <c r="H41" s="2593"/>
      <c r="I41" s="2590"/>
      <c r="J41" s="2593"/>
      <c r="K41" s="1595"/>
      <c r="L41" s="2126"/>
      <c r="M41" s="2127"/>
      <c r="N41" s="2116"/>
      <c r="O41" s="2127"/>
      <c r="P41" s="3413" t="str">
        <f>A41</f>
        <v>成交单价（元/平方米）</v>
      </c>
      <c r="Q41" s="3413"/>
      <c r="R41" s="3530">
        <f>E41</f>
        <v>0</v>
      </c>
      <c r="S41" s="3530"/>
      <c r="T41" s="3530">
        <f>G41</f>
        <v>0</v>
      </c>
      <c r="U41" s="3530"/>
      <c r="V41" s="3530">
        <f>I41</f>
        <v>0</v>
      </c>
      <c r="W41" s="3530"/>
      <c r="X41" s="1544"/>
      <c r="Y41" s="1566"/>
      <c r="Z41" s="1544"/>
      <c r="AA41" s="1544"/>
      <c r="AB41" s="1544"/>
      <c r="AC41" s="1544"/>
    </row>
    <row r="42" spans="1:29" ht="15.75" thickBot="1">
      <c r="A42" s="614" t="s">
        <v>2758</v>
      </c>
      <c r="B42" s="886"/>
      <c r="C42" s="2594" t="e">
        <f>R43</f>
        <v>#DIV/0!</v>
      </c>
      <c r="D42" s="2595"/>
      <c r="E42" s="2596" t="e">
        <f>R42</f>
        <v>#DIV/0!</v>
      </c>
      <c r="F42" s="2596"/>
      <c r="G42" s="2594" t="e">
        <f>T42</f>
        <v>#DIV/0!</v>
      </c>
      <c r="H42" s="2595"/>
      <c r="I42" s="2596" t="e">
        <f>V42</f>
        <v>#DIV/0!</v>
      </c>
      <c r="J42" s="2595"/>
      <c r="K42" s="1596"/>
      <c r="L42" s="2126"/>
      <c r="M42" s="2127"/>
      <c r="N42" s="2116"/>
      <c r="O42" s="2127"/>
      <c r="P42" s="3413" t="str">
        <f>A42</f>
        <v>比较价格（元/平方米）</v>
      </c>
      <c r="Q42" s="3413"/>
      <c r="R42" s="3530" t="e">
        <f>IF(F1="售价",ROUND(PRODUCT(R41,AA7:AA40),0),ROUND(PRODUCT(R41,AA7:AA40),1))</f>
        <v>#DIV/0!</v>
      </c>
      <c r="S42" s="3530"/>
      <c r="T42" s="3530" t="e">
        <f>IF(F1="售价",ROUND(PRODUCT(T41,AB7:AB40),0),ROUND(PRODUCT(T41,AB7:AB40),1))</f>
        <v>#DIV/0!</v>
      </c>
      <c r="U42" s="3530"/>
      <c r="V42" s="3530" t="e">
        <f>IF(F1="售价",ROUND(PRODUCT(V41,AC7:AC40),0),ROUND(PRODUCT(V41,AC7:AC40),1))</f>
        <v>#DIV/0!</v>
      </c>
      <c r="W42" s="3530"/>
      <c r="X42" s="1544"/>
      <c r="Y42" s="1544"/>
      <c r="Z42" s="1544"/>
      <c r="AA42" s="1544"/>
      <c r="AB42" s="1544"/>
      <c r="AC42" s="1544"/>
    </row>
    <row r="43" spans="1:29" ht="15.75" thickBot="1">
      <c r="A43" s="620" t="s">
        <v>2930</v>
      </c>
      <c r="B43" s="621"/>
      <c r="C43" s="2597" t="e">
        <f>R43</f>
        <v>#DIV/0!</v>
      </c>
      <c r="D43" s="2597"/>
      <c r="E43" s="2597"/>
      <c r="F43" s="2597"/>
      <c r="G43" s="2597"/>
      <c r="H43" s="2597"/>
      <c r="I43" s="2597"/>
      <c r="J43" s="2597"/>
      <c r="K43" s="1597"/>
      <c r="L43" s="2126"/>
      <c r="M43" s="2127"/>
      <c r="N43" s="2127"/>
      <c r="O43" s="2127"/>
      <c r="P43" s="3410" t="str">
        <f>A43</f>
        <v>估价对象XX用房的比较价格（楼面单价，元/平方米）</v>
      </c>
      <c r="Q43" s="3411"/>
      <c r="R43" s="3529" t="e">
        <f>IF(F1="售价",ROUND(AVERAGE(R42:V42),0),ROUND(AVERAGE(R42:V42),1))</f>
        <v>#DIV/0!</v>
      </c>
      <c r="S43" s="3529"/>
      <c r="T43" s="3529"/>
      <c r="U43" s="3529"/>
      <c r="V43" s="3529"/>
      <c r="W43" s="3529"/>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1" customFormat="1" ht="15">
      <c r="A52" s="644" t="s">
        <v>529</v>
      </c>
      <c r="B52" s="645"/>
      <c r="C52" s="2754" t="str">
        <f>YEAR(C7)&amp;"-"&amp;MONTH(C7)</f>
        <v>2019-7</v>
      </c>
      <c r="D52" s="2756">
        <f>EDATE(C52,-1)</f>
        <v>43617</v>
      </c>
      <c r="E52" s="2756">
        <f t="shared" ref="E52:O52" si="16">EDATE(D52,-1)</f>
        <v>43586</v>
      </c>
      <c r="F52" s="2756">
        <f t="shared" si="16"/>
        <v>43556</v>
      </c>
      <c r="G52" s="2756">
        <f t="shared" si="16"/>
        <v>43525</v>
      </c>
      <c r="H52" s="2756">
        <f t="shared" si="16"/>
        <v>43497</v>
      </c>
      <c r="I52" s="2756">
        <f t="shared" si="16"/>
        <v>43466</v>
      </c>
      <c r="J52" s="2756">
        <f t="shared" si="16"/>
        <v>43435</v>
      </c>
      <c r="K52" s="2756">
        <f t="shared" si="16"/>
        <v>43405</v>
      </c>
      <c r="L52" s="2756">
        <f t="shared" si="16"/>
        <v>43374</v>
      </c>
      <c r="M52" s="2756">
        <f t="shared" si="16"/>
        <v>43344</v>
      </c>
      <c r="N52" s="2756">
        <f t="shared" si="16"/>
        <v>43313</v>
      </c>
      <c r="O52" s="2756">
        <f t="shared" si="16"/>
        <v>43282</v>
      </c>
      <c r="P52" s="2142"/>
      <c r="Q52" s="2143"/>
      <c r="R52" s="2143"/>
      <c r="S52" s="2143"/>
      <c r="T52" s="2143"/>
      <c r="U52" s="2143"/>
      <c r="V52" s="2143"/>
      <c r="W52" s="2143"/>
      <c r="X52" s="2143"/>
      <c r="Y52" s="2143"/>
      <c r="Z52" s="2143"/>
      <c r="AA52" s="2143"/>
      <c r="AB52" s="2143"/>
      <c r="AC52" s="2143"/>
    </row>
    <row r="53" spans="1:29" s="1214"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2556</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2557</v>
      </c>
      <c r="C76" s="2559" t="s">
        <v>2558</v>
      </c>
      <c r="D76" s="2559" t="s">
        <v>2559</v>
      </c>
      <c r="E76" s="2559" t="s">
        <v>2560</v>
      </c>
      <c r="F76" s="2559" t="s">
        <v>2561</v>
      </c>
      <c r="G76" s="2559" t="s">
        <v>2562</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2555</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国通信托有限责任公司：</v>
      </c>
    </row>
    <row r="4" spans="1:4" ht="37.5">
      <c r="A4" s="1773" t="str">
        <f>"受贵公司委托，我公司对"&amp;项目基本情况!K2&amp;项目基本情况!B9&amp;"进行了预评估。"</f>
        <v>受贵公司委托，我公司对安徽省马鞍山市和县乌江镇四联社区十宗住宅用地出让国有建设用地使用权抵押价格进行了预评估。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使用的、位于安徽省马鞍山市和县乌江镇四联社区十宗住宅用地出让国有建设用地使用权。根据《国有土地使用证》[]，估价对象（分摊）出让国有建设用地使用权面积为27011.59平方米。根据《建设工程规划许可证》[]、《出让合同》[]，估价对象规划建筑面积为67528.97平方米。</v>
      </c>
    </row>
    <row r="7" spans="1:4" ht="93.75">
      <c r="A7" s="2825" t="s">
        <v>2746</v>
      </c>
    </row>
    <row r="8" spans="1:4" ht="18.75">
      <c r="A8" s="1776" t="s">
        <v>1905</v>
      </c>
    </row>
    <row r="9" spans="1:4" ht="93.75">
      <c r="A9" s="1778" t="str">
        <f>IF(项目基本情况!B8="抵押",IF(项目基本情况!B5=项目基本情况!B6,定义!C51,定义!B51),定义!D51)</f>
        <v>马鞍山明坤实业有限公司拟使用安徽省马鞍山市和县乌江镇四联社区十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2019年7月10日（评估专业人员勘察现场之日）</v>
      </c>
    </row>
    <row r="12" spans="1:4" ht="18.75">
      <c r="A12" s="1779" t="s">
        <v>2024</v>
      </c>
    </row>
    <row r="13" spans="1:4" ht="18.75">
      <c r="A13" s="1773" t="s">
        <v>2070</v>
      </c>
    </row>
    <row r="14" spans="1:4" ht="18.75">
      <c r="A14" s="1773" t="str">
        <f>"根据"&amp;项目基本情况!F12&amp;"，本次评估估价对象证载（地类）用途为"&amp;项目基本情况!B12&amp;"。"</f>
        <v>根据《国有土地使用证》[]，本次评估估价对象证载（地类）用途为住宅。</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2072</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2073</v>
      </c>
    </row>
    <row r="23" spans="1:1" ht="18.75">
      <c r="A23" s="2827" t="s">
        <v>2747</v>
      </c>
    </row>
    <row r="24" spans="1:1" ht="18.75">
      <c r="A24" s="1773" t="s">
        <v>2074</v>
      </c>
    </row>
    <row r="25" spans="1:1" ht="93.75">
      <c r="A25" s="1773"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59"/>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9" t="s">
        <v>798</v>
      </c>
      <c r="D4" s="3420"/>
      <c r="E4" s="3419" t="s">
        <v>799</v>
      </c>
      <c r="F4" s="3420"/>
      <c r="G4" s="3419" t="s">
        <v>800</v>
      </c>
      <c r="H4" s="3420"/>
      <c r="I4" s="3419" t="s">
        <v>801</v>
      </c>
      <c r="J4" s="3420"/>
      <c r="K4" s="513" t="s">
        <v>802</v>
      </c>
      <c r="L4" s="2115"/>
      <c r="M4" s="2116"/>
      <c r="N4" s="2116"/>
      <c r="O4" s="2116"/>
      <c r="P4" s="3421" t="s">
        <v>803</v>
      </c>
      <c r="Q4" s="3422"/>
      <c r="R4" s="3427" t="s">
        <v>799</v>
      </c>
      <c r="S4" s="3428"/>
      <c r="T4" s="3427" t="s">
        <v>800</v>
      </c>
      <c r="U4" s="3428"/>
      <c r="V4" s="3414" t="s">
        <v>801</v>
      </c>
      <c r="W4" s="3414"/>
      <c r="X4" s="1552"/>
      <c r="Y4" s="3427" t="s">
        <v>803</v>
      </c>
      <c r="Z4" s="3428"/>
      <c r="AA4" s="3416" t="s">
        <v>799</v>
      </c>
      <c r="AB4" s="3417" t="s">
        <v>800</v>
      </c>
      <c r="AC4" s="3416" t="s">
        <v>801</v>
      </c>
    </row>
    <row r="5" spans="1:29" ht="15">
      <c r="A5" s="514"/>
      <c r="B5" s="515"/>
      <c r="C5" s="3435" t="s">
        <v>2924</v>
      </c>
      <c r="D5" s="3436"/>
      <c r="E5" s="3435" t="s">
        <v>2925</v>
      </c>
      <c r="F5" s="3436"/>
      <c r="G5" s="3435" t="s">
        <v>2926</v>
      </c>
      <c r="H5" s="3436"/>
      <c r="I5" s="3435" t="s">
        <v>2927</v>
      </c>
      <c r="J5" s="3436"/>
      <c r="K5" s="513"/>
      <c r="L5" s="2115"/>
      <c r="M5" s="2116"/>
      <c r="N5" s="2116"/>
      <c r="O5" s="2116"/>
      <c r="P5" s="3423"/>
      <c r="Q5" s="3424"/>
      <c r="R5" s="3429"/>
      <c r="S5" s="3430"/>
      <c r="T5" s="3429"/>
      <c r="U5" s="3430"/>
      <c r="V5" s="3414"/>
      <c r="W5" s="3414"/>
      <c r="X5" s="1552"/>
      <c r="Y5" s="3429"/>
      <c r="Z5" s="3430"/>
      <c r="AA5" s="3417"/>
      <c r="AB5" s="3417"/>
      <c r="AC5" s="3417"/>
    </row>
    <row r="6" spans="1:29" ht="15.75" thickBot="1">
      <c r="A6" s="516"/>
      <c r="B6" s="517"/>
      <c r="C6" s="3433" t="s">
        <v>2928</v>
      </c>
      <c r="D6" s="3434"/>
      <c r="E6" s="3437" t="s">
        <v>2928</v>
      </c>
      <c r="F6" s="3438"/>
      <c r="G6" s="3433" t="s">
        <v>2928</v>
      </c>
      <c r="H6" s="3434"/>
      <c r="I6" s="3433" t="s">
        <v>2928</v>
      </c>
      <c r="J6" s="3434"/>
      <c r="K6" s="513" t="s">
        <v>528</v>
      </c>
      <c r="L6" s="2115"/>
      <c r="M6" s="2116"/>
      <c r="N6" s="2116"/>
      <c r="O6" s="2116"/>
      <c r="P6" s="3425"/>
      <c r="Q6" s="3426"/>
      <c r="R6" s="3429"/>
      <c r="S6" s="3430"/>
      <c r="T6" s="3431"/>
      <c r="U6" s="3432"/>
      <c r="V6" s="3414"/>
      <c r="W6" s="3414"/>
      <c r="X6" s="1552"/>
      <c r="Y6" s="3431"/>
      <c r="Z6" s="3432"/>
      <c r="AA6" s="3418"/>
      <c r="AB6" s="3418"/>
      <c r="AC6" s="3418"/>
    </row>
    <row r="7" spans="1:29" s="1214" customFormat="1" ht="15.75" thickBot="1">
      <c r="A7" s="2863"/>
      <c r="B7" s="2870" t="s">
        <v>529</v>
      </c>
      <c r="C7" s="518">
        <f>'数据-取费表'!B2</f>
        <v>43656</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44" t="s">
        <v>530</v>
      </c>
      <c r="Q7" s="3446"/>
      <c r="R7" s="1553" t="s">
        <v>8</v>
      </c>
      <c r="S7" s="1554">
        <f t="shared" ref="S7:S14" si="0">F7</f>
        <v>0</v>
      </c>
      <c r="T7" s="1553" t="s">
        <v>8</v>
      </c>
      <c r="U7" s="1554">
        <f t="shared" ref="U7:U14" si="1">H7</f>
        <v>0</v>
      </c>
      <c r="V7" s="1553" t="s">
        <v>8</v>
      </c>
      <c r="W7" s="1554">
        <f t="shared" ref="W7:W14" si="2">J7</f>
        <v>0</v>
      </c>
      <c r="X7" s="1555"/>
      <c r="Y7" s="3444" t="s">
        <v>530</v>
      </c>
      <c r="Z7" s="3445"/>
      <c r="AA7" s="1556" t="e">
        <f>D7/F7</f>
        <v>#DIV/0!</v>
      </c>
      <c r="AB7" s="1556" t="e">
        <f>D7/H7</f>
        <v>#DIV/0!</v>
      </c>
      <c r="AC7" s="1556" t="e">
        <f>D7/J7</f>
        <v>#DIV/0!</v>
      </c>
    </row>
    <row r="8" spans="1:29" s="1214"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44" t="s">
        <v>533</v>
      </c>
      <c r="Q8" s="3445"/>
      <c r="R8" s="1553" t="s">
        <v>8</v>
      </c>
      <c r="S8" s="1554">
        <f t="shared" si="0"/>
        <v>0</v>
      </c>
      <c r="T8" s="1553" t="s">
        <v>8</v>
      </c>
      <c r="U8" s="1554">
        <f t="shared" si="1"/>
        <v>0</v>
      </c>
      <c r="V8" s="1553" t="s">
        <v>8</v>
      </c>
      <c r="W8" s="1554">
        <f t="shared" si="2"/>
        <v>0</v>
      </c>
      <c r="X8" s="1555"/>
      <c r="Y8" s="3444" t="s">
        <v>533</v>
      </c>
      <c r="Z8" s="3445"/>
      <c r="AA8" s="1556" t="e">
        <f t="shared" ref="AA8:AA36" si="3">D8/F8</f>
        <v>#DIV/0!</v>
      </c>
      <c r="AB8" s="1556" t="e">
        <f t="shared" ref="AB8:AB36" si="4">D8/H8</f>
        <v>#DIV/0!</v>
      </c>
      <c r="AC8" s="1556" t="e">
        <f t="shared" ref="AC8:AC36" si="5">D8/J8</f>
        <v>#DIV/0!</v>
      </c>
    </row>
    <row r="9" spans="1:29" s="1214" customFormat="1" ht="15">
      <c r="A9" s="2865"/>
      <c r="B9" s="2872" t="s">
        <v>2754</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13" t="s">
        <v>535</v>
      </c>
      <c r="Q9" s="1145" t="str">
        <f t="shared" ref="Q9:Q14" si="6">B9</f>
        <v>用途</v>
      </c>
      <c r="R9" s="1553" t="s">
        <v>8</v>
      </c>
      <c r="S9" s="1554">
        <f t="shared" si="0"/>
        <v>100</v>
      </c>
      <c r="T9" s="1553" t="s">
        <v>8</v>
      </c>
      <c r="U9" s="1554">
        <f t="shared" si="1"/>
        <v>100</v>
      </c>
      <c r="V9" s="1553" t="s">
        <v>8</v>
      </c>
      <c r="W9" s="1554">
        <f t="shared" si="2"/>
        <v>100</v>
      </c>
      <c r="X9" s="1555"/>
      <c r="Y9" s="3359" t="s">
        <v>536</v>
      </c>
      <c r="Z9" s="1144" t="str">
        <f t="shared" ref="Z9:Z14" si="7">Q9</f>
        <v>用途</v>
      </c>
      <c r="AA9" s="1556">
        <f t="shared" si="3"/>
        <v>1</v>
      </c>
      <c r="AB9" s="1556">
        <f t="shared" si="4"/>
        <v>1</v>
      </c>
      <c r="AC9" s="1556">
        <f t="shared" si="5"/>
        <v>1</v>
      </c>
    </row>
    <row r="10" spans="1:29" s="1332" customFormat="1" ht="27">
      <c r="A10" s="2866"/>
      <c r="B10" s="2871" t="s">
        <v>2755</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13"/>
      <c r="Q10" s="1145" t="str">
        <f t="shared" si="6"/>
        <v>土地使用年限（年）</v>
      </c>
      <c r="R10" s="1553" t="s">
        <v>8</v>
      </c>
      <c r="S10" s="1554">
        <f t="shared" si="0"/>
        <v>100</v>
      </c>
      <c r="T10" s="1553" t="s">
        <v>8</v>
      </c>
      <c r="U10" s="1554">
        <f t="shared" si="1"/>
        <v>100</v>
      </c>
      <c r="V10" s="1553" t="s">
        <v>8</v>
      </c>
      <c r="W10" s="1554">
        <f t="shared" si="2"/>
        <v>100</v>
      </c>
      <c r="X10" s="1555"/>
      <c r="Y10" s="3359"/>
      <c r="Z10" s="1144"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13"/>
      <c r="Q11" s="1145">
        <f t="shared" si="6"/>
        <v>111</v>
      </c>
      <c r="R11" s="1553" t="s">
        <v>8</v>
      </c>
      <c r="S11" s="1554">
        <f t="shared" si="0"/>
        <v>100</v>
      </c>
      <c r="T11" s="1553" t="s">
        <v>8</v>
      </c>
      <c r="U11" s="1554">
        <f t="shared" si="1"/>
        <v>100</v>
      </c>
      <c r="V11" s="1553" t="s">
        <v>8</v>
      </c>
      <c r="W11" s="1554">
        <f t="shared" si="2"/>
        <v>100</v>
      </c>
      <c r="X11" s="1555"/>
      <c r="Y11" s="3359"/>
      <c r="Z11" s="1144">
        <f t="shared" si="7"/>
        <v>111</v>
      </c>
      <c r="AA11" s="1556">
        <f t="shared" si="3"/>
        <v>1</v>
      </c>
      <c r="AB11" s="1556">
        <f t="shared" si="4"/>
        <v>1</v>
      </c>
      <c r="AC11" s="1556">
        <f t="shared" si="5"/>
        <v>1</v>
      </c>
    </row>
    <row r="12" spans="1:29" s="1214"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13"/>
      <c r="Q12" s="1145">
        <f t="shared" si="6"/>
        <v>111</v>
      </c>
      <c r="R12" s="1553" t="s">
        <v>8</v>
      </c>
      <c r="S12" s="1554">
        <f t="shared" si="0"/>
        <v>100</v>
      </c>
      <c r="T12" s="1553" t="s">
        <v>8</v>
      </c>
      <c r="U12" s="1554">
        <f t="shared" si="1"/>
        <v>100</v>
      </c>
      <c r="V12" s="1553" t="s">
        <v>8</v>
      </c>
      <c r="W12" s="1554">
        <f t="shared" si="2"/>
        <v>100</v>
      </c>
      <c r="X12" s="1555"/>
      <c r="Y12" s="3359"/>
      <c r="Z12" s="1144">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13"/>
      <c r="Q13" s="1145">
        <f t="shared" si="6"/>
        <v>111</v>
      </c>
      <c r="R13" s="1553" t="s">
        <v>8</v>
      </c>
      <c r="S13" s="1554">
        <f t="shared" si="0"/>
        <v>100</v>
      </c>
      <c r="T13" s="1553" t="s">
        <v>8</v>
      </c>
      <c r="U13" s="1554">
        <f t="shared" si="1"/>
        <v>100</v>
      </c>
      <c r="V13" s="1553" t="s">
        <v>8</v>
      </c>
      <c r="W13" s="1554">
        <f t="shared" si="2"/>
        <v>100</v>
      </c>
      <c r="X13" s="1555"/>
      <c r="Y13" s="3359"/>
      <c r="Z13" s="1144">
        <f t="shared" si="7"/>
        <v>111</v>
      </c>
      <c r="AA13" s="1556">
        <f t="shared" si="3"/>
        <v>1</v>
      </c>
      <c r="AB13" s="1556">
        <f t="shared" si="4"/>
        <v>1</v>
      </c>
      <c r="AC13" s="1556">
        <f t="shared" si="5"/>
        <v>1</v>
      </c>
    </row>
    <row r="14" spans="1:29" ht="185.25">
      <c r="A14" s="2861" t="s">
        <v>2752</v>
      </c>
      <c r="B14" s="546" t="s">
        <v>543</v>
      </c>
      <c r="C14" s="919"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47" t="s">
        <v>540</v>
      </c>
      <c r="Q14" s="1557" t="str">
        <f t="shared" si="6"/>
        <v>交通便捷度</v>
      </c>
      <c r="R14" s="1558" t="s">
        <v>8</v>
      </c>
      <c r="S14" s="1559">
        <f t="shared" si="0"/>
        <v>100</v>
      </c>
      <c r="T14" s="1558" t="s">
        <v>8</v>
      </c>
      <c r="U14" s="1559">
        <f t="shared" si="1"/>
        <v>100</v>
      </c>
      <c r="V14" s="1558" t="s">
        <v>8</v>
      </c>
      <c r="W14" s="1559">
        <f t="shared" si="2"/>
        <v>100</v>
      </c>
      <c r="X14" s="1552"/>
      <c r="Y14" s="3447"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4"/>
      <c r="M15" s="2116"/>
      <c r="N15" s="2116"/>
      <c r="O15" s="2123"/>
      <c r="P15" s="3448"/>
      <c r="Q15" s="1557"/>
      <c r="R15" s="1558"/>
      <c r="S15" s="1559"/>
      <c r="T15" s="1558"/>
      <c r="U15" s="1559"/>
      <c r="V15" s="1558"/>
      <c r="W15" s="1559"/>
      <c r="X15" s="1552"/>
      <c r="Y15" s="3448"/>
      <c r="Z15" s="1560"/>
      <c r="AA15" s="1561">
        <v>1</v>
      </c>
      <c r="AB15" s="1561">
        <v>1</v>
      </c>
      <c r="AC15" s="1561">
        <v>1</v>
      </c>
    </row>
    <row r="16" spans="1:29" ht="199.5">
      <c r="A16" s="514"/>
      <c r="B16" s="2564" t="s">
        <v>2545</v>
      </c>
      <c r="C16" s="871"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48"/>
      <c r="Q16" s="1557" t="str">
        <f>B16</f>
        <v>公共配套设施</v>
      </c>
      <c r="R16" s="1558" t="s">
        <v>8</v>
      </c>
      <c r="S16" s="1559">
        <f>F16</f>
        <v>100</v>
      </c>
      <c r="T16" s="1558" t="s">
        <v>8</v>
      </c>
      <c r="U16" s="1559">
        <f>H16</f>
        <v>100</v>
      </c>
      <c r="V16" s="1558" t="s">
        <v>8</v>
      </c>
      <c r="W16" s="1559">
        <f>J16</f>
        <v>100</v>
      </c>
      <c r="X16" s="1552"/>
      <c r="Y16" s="3448"/>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4"/>
      <c r="M17" s="2116"/>
      <c r="N17" s="2116"/>
      <c r="O17" s="2123"/>
      <c r="P17" s="3448"/>
      <c r="Q17" s="1557"/>
      <c r="R17" s="1558"/>
      <c r="S17" s="1559"/>
      <c r="T17" s="1558"/>
      <c r="U17" s="1559"/>
      <c r="V17" s="1558"/>
      <c r="W17" s="1559"/>
      <c r="X17" s="1552"/>
      <c r="Y17" s="3448"/>
      <c r="Z17" s="1560"/>
      <c r="AA17" s="1561">
        <v>1</v>
      </c>
      <c r="AB17" s="1561">
        <v>1</v>
      </c>
      <c r="AC17" s="1561">
        <v>1</v>
      </c>
    </row>
    <row r="18" spans="1:29" ht="28.5">
      <c r="A18" s="514"/>
      <c r="B18" s="255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48"/>
      <c r="Q18" s="2540" t="str">
        <f>B18</f>
        <v>基础设施水平</v>
      </c>
      <c r="R18" s="1558" t="s">
        <v>8</v>
      </c>
      <c r="S18" s="1559">
        <f>F18</f>
        <v>100</v>
      </c>
      <c r="T18" s="1558" t="s">
        <v>8</v>
      </c>
      <c r="U18" s="1559">
        <f>H18</f>
        <v>100</v>
      </c>
      <c r="V18" s="1558" t="s">
        <v>8</v>
      </c>
      <c r="W18" s="1559">
        <f>J18</f>
        <v>100</v>
      </c>
      <c r="X18" s="2542"/>
      <c r="Y18" s="3448"/>
      <c r="Z18" s="2541"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3"/>
      <c r="L19" s="2124"/>
      <c r="M19" s="2116"/>
      <c r="N19" s="2116"/>
      <c r="O19" s="2123"/>
      <c r="P19" s="3448"/>
      <c r="Q19" s="2540"/>
      <c r="R19" s="1558"/>
      <c r="S19" s="1559"/>
      <c r="T19" s="1558"/>
      <c r="U19" s="1559"/>
      <c r="V19" s="1558"/>
      <c r="W19" s="1559"/>
      <c r="X19" s="2542"/>
      <c r="Y19" s="3448"/>
      <c r="Z19" s="2541"/>
      <c r="AA19" s="1561">
        <v>1</v>
      </c>
      <c r="AB19" s="1561">
        <v>1</v>
      </c>
      <c r="AC19" s="1561">
        <v>1</v>
      </c>
    </row>
    <row r="20" spans="1:29" ht="156.75">
      <c r="A20" s="514"/>
      <c r="B20" s="559" t="s">
        <v>804</v>
      </c>
      <c r="C20" s="871" t="str">
        <f>IF(B1="工业",估价对象房地状况!G7,估价对象房地状况!C9)</f>
        <v>估价对象所在区域内无公园、水系、湖泊，自然环境较差；无博物馆、科技馆、体育馆、高等学府等人文设施，人文环境较差；综合评价自然及人文环境环境较差。</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48"/>
      <c r="Q20" s="1557" t="str">
        <f>B20</f>
        <v>自然及人文环境</v>
      </c>
      <c r="R20" s="1558" t="s">
        <v>8</v>
      </c>
      <c r="S20" s="1559">
        <f>F20</f>
        <v>100</v>
      </c>
      <c r="T20" s="1558" t="s">
        <v>8</v>
      </c>
      <c r="U20" s="1559">
        <f>H20</f>
        <v>100</v>
      </c>
      <c r="V20" s="1558" t="s">
        <v>8</v>
      </c>
      <c r="W20" s="1559">
        <f>J20</f>
        <v>100</v>
      </c>
      <c r="X20" s="1552"/>
      <c r="Y20" s="3448"/>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4"/>
      <c r="M21" s="2116"/>
      <c r="N21" s="2116"/>
      <c r="O21" s="2123"/>
      <c r="P21" s="3448"/>
      <c r="Q21" s="1557"/>
      <c r="R21" s="1558"/>
      <c r="S21" s="1559"/>
      <c r="T21" s="1558"/>
      <c r="U21" s="1559"/>
      <c r="V21" s="1558"/>
      <c r="W21" s="1559"/>
      <c r="X21" s="1552"/>
      <c r="Y21" s="3448"/>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48"/>
      <c r="Q22" s="1557" t="str">
        <f>B22</f>
        <v>楼层</v>
      </c>
      <c r="R22" s="1558" t="s">
        <v>8</v>
      </c>
      <c r="S22" s="1559">
        <f>F22</f>
        <v>100</v>
      </c>
      <c r="T22" s="1558" t="s">
        <v>8</v>
      </c>
      <c r="U22" s="1559">
        <f>H22</f>
        <v>100</v>
      </c>
      <c r="V22" s="1558" t="s">
        <v>8</v>
      </c>
      <c r="W22" s="1559">
        <f>J22</f>
        <v>100</v>
      </c>
      <c r="X22" s="1552"/>
      <c r="Y22" s="3448"/>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48"/>
      <c r="Q23" s="1557">
        <f>B23</f>
        <v>111</v>
      </c>
      <c r="R23" s="1558" t="s">
        <v>8</v>
      </c>
      <c r="S23" s="1559">
        <f>F23</f>
        <v>100</v>
      </c>
      <c r="T23" s="1558" t="s">
        <v>8</v>
      </c>
      <c r="U23" s="1559">
        <f>H23</f>
        <v>100</v>
      </c>
      <c r="V23" s="1558" t="s">
        <v>8</v>
      </c>
      <c r="W23" s="1559">
        <f>J23</f>
        <v>100</v>
      </c>
      <c r="X23" s="1552"/>
      <c r="Y23" s="3448"/>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48"/>
      <c r="Q24" s="1557">
        <f t="shared" ref="Q24:Q36" si="11">B24</f>
        <v>111</v>
      </c>
      <c r="R24" s="1558" t="s">
        <v>8</v>
      </c>
      <c r="S24" s="1559">
        <f>F24</f>
        <v>100</v>
      </c>
      <c r="T24" s="1558" t="s">
        <v>8</v>
      </c>
      <c r="U24" s="1559">
        <f>H24</f>
        <v>100</v>
      </c>
      <c r="V24" s="1558" t="s">
        <v>8</v>
      </c>
      <c r="W24" s="1559">
        <f>J24</f>
        <v>100</v>
      </c>
      <c r="X24" s="1552"/>
      <c r="Y24" s="3448"/>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48"/>
      <c r="Q25" s="1145">
        <f t="shared" si="11"/>
        <v>111</v>
      </c>
      <c r="R25" s="1553" t="s">
        <v>8</v>
      </c>
      <c r="S25" s="1554">
        <f>F25</f>
        <v>100</v>
      </c>
      <c r="T25" s="1553" t="s">
        <v>8</v>
      </c>
      <c r="U25" s="1554">
        <f>H25</f>
        <v>100</v>
      </c>
      <c r="V25" s="1553" t="s">
        <v>8</v>
      </c>
      <c r="W25" s="1554">
        <f>J25</f>
        <v>100</v>
      </c>
      <c r="X25" s="1555"/>
      <c r="Y25" s="3448"/>
      <c r="Z25" s="1144">
        <f>Q25</f>
        <v>111</v>
      </c>
      <c r="AA25" s="1561">
        <f>D25/F25</f>
        <v>1</v>
      </c>
      <c r="AB25" s="1561">
        <f>D25/H25</f>
        <v>1</v>
      </c>
      <c r="AC25" s="1561">
        <f>D25/J25</f>
        <v>1</v>
      </c>
    </row>
    <row r="26" spans="1:29" ht="15">
      <c r="A26" s="2859"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4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50"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50"/>
      <c r="Q27" s="1589" t="str">
        <f t="shared" si="11"/>
        <v>项目停车位配比</v>
      </c>
      <c r="R27" s="1562" t="s">
        <v>8</v>
      </c>
      <c r="S27" s="1563">
        <f t="shared" si="12"/>
        <v>100</v>
      </c>
      <c r="T27" s="1562" t="s">
        <v>8</v>
      </c>
      <c r="U27" s="1563">
        <f t="shared" si="13"/>
        <v>100</v>
      </c>
      <c r="V27" s="1562" t="s">
        <v>8</v>
      </c>
      <c r="W27" s="1563">
        <f t="shared" si="14"/>
        <v>100</v>
      </c>
      <c r="X27" s="1564"/>
      <c r="Y27" s="3450"/>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50"/>
      <c r="Q28" s="1557" t="str">
        <f t="shared" si="11"/>
        <v>公共部分装修</v>
      </c>
      <c r="R28" s="1558" t="s">
        <v>8</v>
      </c>
      <c r="S28" s="1559">
        <f t="shared" si="12"/>
        <v>100</v>
      </c>
      <c r="T28" s="1558" t="s">
        <v>8</v>
      </c>
      <c r="U28" s="1559">
        <f t="shared" si="13"/>
        <v>100</v>
      </c>
      <c r="V28" s="1558" t="s">
        <v>8</v>
      </c>
      <c r="W28" s="1559">
        <f t="shared" si="14"/>
        <v>100</v>
      </c>
      <c r="X28" s="1552"/>
      <c r="Y28" s="3450"/>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50"/>
      <c r="Q29" s="1557" t="str">
        <f t="shared" si="11"/>
        <v>成新率</v>
      </c>
      <c r="R29" s="1558" t="s">
        <v>8</v>
      </c>
      <c r="S29" s="1559" t="e">
        <f t="shared" si="12"/>
        <v>#N/A</v>
      </c>
      <c r="T29" s="1558" t="s">
        <v>8</v>
      </c>
      <c r="U29" s="1559" t="e">
        <f t="shared" si="13"/>
        <v>#N/A</v>
      </c>
      <c r="V29" s="1558" t="s">
        <v>8</v>
      </c>
      <c r="W29" s="1559" t="e">
        <f t="shared" si="14"/>
        <v>#N/A</v>
      </c>
      <c r="X29" s="1552"/>
      <c r="Y29" s="3450"/>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50"/>
      <c r="Q30" s="1557" t="str">
        <f t="shared" si="11"/>
        <v>物业等级</v>
      </c>
      <c r="R30" s="1558" t="s">
        <v>8</v>
      </c>
      <c r="S30" s="1559">
        <f t="shared" si="12"/>
        <v>100</v>
      </c>
      <c r="T30" s="1558" t="s">
        <v>8</v>
      </c>
      <c r="U30" s="1559">
        <f t="shared" si="13"/>
        <v>100</v>
      </c>
      <c r="V30" s="1558" t="s">
        <v>8</v>
      </c>
      <c r="W30" s="1559">
        <f t="shared" si="14"/>
        <v>100</v>
      </c>
      <c r="X30" s="1552"/>
      <c r="Y30" s="3450"/>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450"/>
      <c r="Q31" s="1145" t="str">
        <f t="shared" si="11"/>
        <v>停车位面积</v>
      </c>
      <c r="R31" s="1553" t="s">
        <v>8</v>
      </c>
      <c r="S31" s="1554" t="e">
        <f t="shared" si="12"/>
        <v>#N/A</v>
      </c>
      <c r="T31" s="1553" t="s">
        <v>8</v>
      </c>
      <c r="U31" s="1554" t="e">
        <f t="shared" si="13"/>
        <v>#N/A</v>
      </c>
      <c r="V31" s="1553" t="s">
        <v>8</v>
      </c>
      <c r="W31" s="1554" t="e">
        <f t="shared" si="14"/>
        <v>#N/A</v>
      </c>
      <c r="X31" s="1555"/>
      <c r="Y31" s="3450"/>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50" t="s">
        <v>550</v>
      </c>
      <c r="Q32" s="1557" t="str">
        <f t="shared" si="11"/>
        <v>车位类型</v>
      </c>
      <c r="R32" s="1558" t="s">
        <v>8</v>
      </c>
      <c r="S32" s="1559">
        <f t="shared" si="12"/>
        <v>100</v>
      </c>
      <c r="T32" s="1558" t="s">
        <v>8</v>
      </c>
      <c r="U32" s="1559">
        <f t="shared" si="13"/>
        <v>100</v>
      </c>
      <c r="V32" s="1558" t="s">
        <v>8</v>
      </c>
      <c r="W32" s="1559">
        <f t="shared" si="14"/>
        <v>100</v>
      </c>
      <c r="X32" s="1552"/>
      <c r="Y32" s="3450"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50"/>
      <c r="Q33" s="1557" t="str">
        <f t="shared" si="11"/>
        <v>是否直接入户</v>
      </c>
      <c r="R33" s="1558" t="s">
        <v>8</v>
      </c>
      <c r="S33" s="1559">
        <f t="shared" si="12"/>
        <v>100</v>
      </c>
      <c r="T33" s="1558" t="s">
        <v>8</v>
      </c>
      <c r="U33" s="1559">
        <f t="shared" si="13"/>
        <v>100</v>
      </c>
      <c r="V33" s="1558" t="s">
        <v>8</v>
      </c>
      <c r="W33" s="1559">
        <f t="shared" si="14"/>
        <v>100</v>
      </c>
      <c r="X33" s="1552"/>
      <c r="Y33" s="3450"/>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50"/>
      <c r="Q34" s="1557">
        <f t="shared" si="11"/>
        <v>111</v>
      </c>
      <c r="R34" s="1558" t="s">
        <v>8</v>
      </c>
      <c r="S34" s="1559">
        <f t="shared" si="12"/>
        <v>100</v>
      </c>
      <c r="T34" s="1558" t="s">
        <v>8</v>
      </c>
      <c r="U34" s="1559">
        <f t="shared" si="13"/>
        <v>100</v>
      </c>
      <c r="V34" s="1558" t="s">
        <v>8</v>
      </c>
      <c r="W34" s="1559">
        <f t="shared" si="14"/>
        <v>100</v>
      </c>
      <c r="X34" s="1552"/>
      <c r="Y34" s="3450"/>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50"/>
      <c r="Q35" s="1589">
        <f t="shared" si="11"/>
        <v>111</v>
      </c>
      <c r="R35" s="1562" t="s">
        <v>8</v>
      </c>
      <c r="S35" s="1563">
        <f t="shared" si="12"/>
        <v>100</v>
      </c>
      <c r="T35" s="1562" t="s">
        <v>8</v>
      </c>
      <c r="U35" s="1563">
        <f t="shared" si="13"/>
        <v>100</v>
      </c>
      <c r="V35" s="1562" t="s">
        <v>8</v>
      </c>
      <c r="W35" s="1563">
        <f t="shared" si="14"/>
        <v>100</v>
      </c>
      <c r="X35" s="1564"/>
      <c r="Y35" s="3450"/>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50"/>
      <c r="Q36" s="1557">
        <f t="shared" si="11"/>
        <v>111</v>
      </c>
      <c r="R36" s="1558" t="s">
        <v>8</v>
      </c>
      <c r="S36" s="1559">
        <f t="shared" si="12"/>
        <v>100</v>
      </c>
      <c r="T36" s="1558" t="s">
        <v>8</v>
      </c>
      <c r="U36" s="1559">
        <f t="shared" si="13"/>
        <v>100</v>
      </c>
      <c r="V36" s="1558" t="s">
        <v>8</v>
      </c>
      <c r="W36" s="1559">
        <f t="shared" si="14"/>
        <v>100</v>
      </c>
      <c r="X36" s="1552"/>
      <c r="Y36" s="3450"/>
      <c r="Z36" s="1560">
        <f t="shared" si="15"/>
        <v>111</v>
      </c>
      <c r="AA36" s="1561">
        <f t="shared" si="3"/>
        <v>1</v>
      </c>
      <c r="AB36" s="1561">
        <f t="shared" si="4"/>
        <v>1</v>
      </c>
      <c r="AC36" s="1561">
        <f t="shared" si="5"/>
        <v>1</v>
      </c>
    </row>
    <row r="37" spans="1:29" ht="15">
      <c r="A37" s="1828" t="s">
        <v>2076</v>
      </c>
      <c r="B37" s="1829" t="s">
        <v>2077</v>
      </c>
      <c r="C37" s="2588" t="s">
        <v>1</v>
      </c>
      <c r="D37" s="2589"/>
      <c r="E37" s="2590"/>
      <c r="F37" s="2591"/>
      <c r="G37" s="2592"/>
      <c r="H37" s="2593"/>
      <c r="I37" s="2590"/>
      <c r="J37" s="2593"/>
      <c r="K37" s="1595"/>
      <c r="L37" s="2126"/>
      <c r="M37" s="2127"/>
      <c r="N37" s="2116"/>
      <c r="O37" s="2127"/>
      <c r="P37" s="3413" t="str">
        <f>A37</f>
        <v>成交单价</v>
      </c>
      <c r="Q37" s="3413"/>
      <c r="R37" s="3530">
        <f>E37</f>
        <v>0</v>
      </c>
      <c r="S37" s="3530"/>
      <c r="T37" s="3530">
        <f>G37</f>
        <v>0</v>
      </c>
      <c r="U37" s="3530"/>
      <c r="V37" s="3530">
        <f>I37</f>
        <v>0</v>
      </c>
      <c r="W37" s="3530"/>
      <c r="X37" s="1544"/>
      <c r="Y37" s="1566"/>
      <c r="Z37" s="1544"/>
      <c r="AA37" s="1544"/>
      <c r="AB37" s="1544"/>
      <c r="AC37" s="1544"/>
    </row>
    <row r="38" spans="1:29" ht="15.75" thickBot="1">
      <c r="A38" s="614" t="s">
        <v>2758</v>
      </c>
      <c r="B38" s="886"/>
      <c r="C38" s="2594" t="e">
        <f>R39</f>
        <v>#DIV/0!</v>
      </c>
      <c r="D38" s="2595"/>
      <c r="E38" s="2596" t="e">
        <f>R38</f>
        <v>#DIV/0!</v>
      </c>
      <c r="F38" s="2596"/>
      <c r="G38" s="2594" t="e">
        <f>T38</f>
        <v>#DIV/0!</v>
      </c>
      <c r="H38" s="2595"/>
      <c r="I38" s="2596" t="e">
        <f>V38</f>
        <v>#DIV/0!</v>
      </c>
      <c r="J38" s="2595"/>
      <c r="K38" s="1596"/>
      <c r="L38" s="2126"/>
      <c r="M38" s="2127"/>
      <c r="N38" s="2127"/>
      <c r="O38" s="2127"/>
      <c r="P38" s="3413" t="str">
        <f>A38</f>
        <v>比较价格（元/平方米）</v>
      </c>
      <c r="Q38" s="3413"/>
      <c r="R38" s="3530" t="e">
        <f>IF(F1="售价",ROUND(PRODUCT(R37,AA7:AA36),0),ROUND(PRODUCT(R37,AA7:AA36),1))</f>
        <v>#DIV/0!</v>
      </c>
      <c r="S38" s="3530"/>
      <c r="T38" s="3530" t="e">
        <f>IF(F1="售价",ROUND(PRODUCT(T37,AB7:AB36),0),ROUND(PRODUCT(T37,AB7:AB36),1))</f>
        <v>#DIV/0!</v>
      </c>
      <c r="U38" s="3530"/>
      <c r="V38" s="3530" t="e">
        <f>IF(F1="售价",ROUND(PRODUCT(V37,AC7:AC36),0),ROUND(PRODUCT(V37,AC7:AC36),1))</f>
        <v>#DIV/0!</v>
      </c>
      <c r="W38" s="3530"/>
      <c r="X38" s="1544"/>
      <c r="Y38" s="1544"/>
      <c r="Z38" s="1544"/>
      <c r="AA38" s="1544"/>
      <c r="AB38" s="1544"/>
      <c r="AC38" s="1544"/>
    </row>
    <row r="39" spans="1:29" ht="15.75" thickBot="1">
      <c r="A39" s="620" t="s">
        <v>2930</v>
      </c>
      <c r="B39" s="621"/>
      <c r="C39" s="2597" t="e">
        <f>R39</f>
        <v>#DIV/0!</v>
      </c>
      <c r="D39" s="2597"/>
      <c r="E39" s="2597"/>
      <c r="F39" s="2597"/>
      <c r="G39" s="2597"/>
      <c r="H39" s="2597"/>
      <c r="I39" s="2597"/>
      <c r="J39" s="2597"/>
      <c r="K39" s="1597"/>
      <c r="L39" s="2126"/>
      <c r="M39" s="2127"/>
      <c r="N39" s="2127"/>
      <c r="O39" s="2127"/>
      <c r="P39" s="3410" t="str">
        <f>A39</f>
        <v>估价对象XX用房的比较价格（楼面单价，元/平方米）</v>
      </c>
      <c r="Q39" s="3411"/>
      <c r="R39" s="3529" t="e">
        <f>IF(F1="售价",ROUND(AVERAGE(R38:V38),0),ROUND(AVERAGE(R38:V38),1))</f>
        <v>#DIV/0!</v>
      </c>
      <c r="S39" s="3529"/>
      <c r="T39" s="3529"/>
      <c r="U39" s="3529"/>
      <c r="V39" s="3529"/>
      <c r="W39" s="3529"/>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4" t="s">
        <v>529</v>
      </c>
      <c r="B48" s="645"/>
      <c r="C48" s="2754" t="str">
        <f>YEAR(C7)&amp;"-"&amp;MONTH(C7)</f>
        <v>2019-7</v>
      </c>
      <c r="D48" s="2756">
        <f>EDATE(C48,-1)</f>
        <v>43617</v>
      </c>
      <c r="E48" s="2756">
        <f t="shared" ref="E48:O48" si="16">EDATE(D48,-1)</f>
        <v>43586</v>
      </c>
      <c r="F48" s="2756">
        <f t="shared" si="16"/>
        <v>43556</v>
      </c>
      <c r="G48" s="2756">
        <f t="shared" si="16"/>
        <v>43525</v>
      </c>
      <c r="H48" s="2756">
        <f t="shared" si="16"/>
        <v>43497</v>
      </c>
      <c r="I48" s="2756">
        <f t="shared" si="16"/>
        <v>43466</v>
      </c>
      <c r="J48" s="2756">
        <f t="shared" si="16"/>
        <v>43435</v>
      </c>
      <c r="K48" s="2756">
        <f t="shared" si="16"/>
        <v>43405</v>
      </c>
      <c r="L48" s="2756">
        <f t="shared" si="16"/>
        <v>43374</v>
      </c>
      <c r="M48" s="2756">
        <f t="shared" si="16"/>
        <v>43344</v>
      </c>
      <c r="N48" s="2756">
        <f t="shared" si="16"/>
        <v>43313</v>
      </c>
      <c r="O48" s="2756">
        <f t="shared" si="16"/>
        <v>43282</v>
      </c>
      <c r="P48" s="2142"/>
      <c r="Q48" s="2143"/>
      <c r="R48" s="2143"/>
      <c r="S48" s="2143"/>
      <c r="T48" s="2143"/>
      <c r="U48" s="2143"/>
      <c r="V48" s="2143"/>
      <c r="W48" s="2143"/>
      <c r="X48" s="2143"/>
      <c r="Y48" s="2143"/>
      <c r="Z48" s="2143"/>
      <c r="AA48" s="2143"/>
      <c r="AB48" s="2143"/>
      <c r="AC48" s="2143"/>
    </row>
    <row r="49" spans="1:29" s="1214"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2556</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2557</v>
      </c>
      <c r="C67" s="2559" t="s">
        <v>2558</v>
      </c>
      <c r="D67" s="2559" t="s">
        <v>2559</v>
      </c>
      <c r="E67" s="2559" t="s">
        <v>2560</v>
      </c>
      <c r="F67" s="2559" t="s">
        <v>2561</v>
      </c>
      <c r="G67" s="2559" t="s">
        <v>2562</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59"/>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9" t="s">
        <v>798</v>
      </c>
      <c r="D4" s="3420"/>
      <c r="E4" s="3453" t="s">
        <v>799</v>
      </c>
      <c r="F4" s="3454"/>
      <c r="G4" s="3419" t="s">
        <v>800</v>
      </c>
      <c r="H4" s="3420"/>
      <c r="I4" s="3419" t="s">
        <v>801</v>
      </c>
      <c r="J4" s="3420"/>
      <c r="K4" s="513" t="s">
        <v>802</v>
      </c>
      <c r="L4" s="2115"/>
      <c r="M4" s="2116"/>
      <c r="N4" s="2116"/>
      <c r="O4" s="2116"/>
      <c r="P4" s="3421" t="s">
        <v>803</v>
      </c>
      <c r="Q4" s="3422"/>
      <c r="R4" s="3427" t="s">
        <v>799</v>
      </c>
      <c r="S4" s="3428"/>
      <c r="T4" s="3427" t="s">
        <v>800</v>
      </c>
      <c r="U4" s="3428"/>
      <c r="V4" s="3414" t="s">
        <v>801</v>
      </c>
      <c r="W4" s="3414"/>
      <c r="X4" s="1552"/>
      <c r="Y4" s="3427" t="s">
        <v>803</v>
      </c>
      <c r="Z4" s="3428"/>
      <c r="AA4" s="3416" t="s">
        <v>799</v>
      </c>
      <c r="AB4" s="3417" t="s">
        <v>800</v>
      </c>
      <c r="AC4" s="3416" t="s">
        <v>801</v>
      </c>
    </row>
    <row r="5" spans="1:29" ht="15">
      <c r="A5" s="514"/>
      <c r="B5" s="515"/>
      <c r="C5" s="3435" t="s">
        <v>2924</v>
      </c>
      <c r="D5" s="3436"/>
      <c r="E5" s="3455" t="s">
        <v>2925</v>
      </c>
      <c r="F5" s="3456"/>
      <c r="G5" s="3435" t="s">
        <v>2926</v>
      </c>
      <c r="H5" s="3436"/>
      <c r="I5" s="3435" t="s">
        <v>2927</v>
      </c>
      <c r="J5" s="3436"/>
      <c r="K5" s="513"/>
      <c r="L5" s="2115"/>
      <c r="M5" s="2116"/>
      <c r="N5" s="2116"/>
      <c r="O5" s="2116"/>
      <c r="P5" s="3423"/>
      <c r="Q5" s="3424"/>
      <c r="R5" s="3429"/>
      <c r="S5" s="3430"/>
      <c r="T5" s="3429"/>
      <c r="U5" s="3430"/>
      <c r="V5" s="3414"/>
      <c r="W5" s="3414"/>
      <c r="X5" s="1552"/>
      <c r="Y5" s="3429"/>
      <c r="Z5" s="3430"/>
      <c r="AA5" s="3417"/>
      <c r="AB5" s="3417"/>
      <c r="AC5" s="3417"/>
    </row>
    <row r="6" spans="1:29" ht="15.75" thickBot="1">
      <c r="A6" s="516"/>
      <c r="B6" s="517"/>
      <c r="C6" s="3433" t="s">
        <v>2928</v>
      </c>
      <c r="D6" s="3434"/>
      <c r="E6" s="3451" t="s">
        <v>2928</v>
      </c>
      <c r="F6" s="3452"/>
      <c r="G6" s="3433" t="s">
        <v>2928</v>
      </c>
      <c r="H6" s="3434"/>
      <c r="I6" s="3433" t="s">
        <v>2928</v>
      </c>
      <c r="J6" s="3434"/>
      <c r="K6" s="513" t="s">
        <v>528</v>
      </c>
      <c r="L6" s="2115"/>
      <c r="M6" s="2116"/>
      <c r="N6" s="2116"/>
      <c r="O6" s="2116"/>
      <c r="P6" s="3425"/>
      <c r="Q6" s="3426"/>
      <c r="R6" s="3429"/>
      <c r="S6" s="3430"/>
      <c r="T6" s="3431"/>
      <c r="U6" s="3432"/>
      <c r="V6" s="3414"/>
      <c r="W6" s="3414"/>
      <c r="X6" s="1552"/>
      <c r="Y6" s="3431"/>
      <c r="Z6" s="3432"/>
      <c r="AA6" s="3418"/>
      <c r="AB6" s="3418"/>
      <c r="AC6" s="3418"/>
    </row>
    <row r="7" spans="1:29" s="1214" customFormat="1" ht="15.75" thickBot="1">
      <c r="A7" s="2863"/>
      <c r="B7" s="2870" t="s">
        <v>529</v>
      </c>
      <c r="C7" s="518">
        <f>'数据-取费表'!B2</f>
        <v>43656</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44" t="s">
        <v>530</v>
      </c>
      <c r="Q7" s="3446"/>
      <c r="R7" s="1553" t="s">
        <v>8</v>
      </c>
      <c r="S7" s="1554">
        <f t="shared" ref="S7:S14" si="0">F7</f>
        <v>0</v>
      </c>
      <c r="T7" s="1553" t="s">
        <v>8</v>
      </c>
      <c r="U7" s="1554">
        <f t="shared" ref="U7:U14" si="1">H7</f>
        <v>0</v>
      </c>
      <c r="V7" s="1553" t="s">
        <v>8</v>
      </c>
      <c r="W7" s="1554">
        <f t="shared" ref="W7:W14" si="2">J7</f>
        <v>0</v>
      </c>
      <c r="X7" s="1555"/>
      <c r="Y7" s="3444" t="s">
        <v>530</v>
      </c>
      <c r="Z7" s="3445"/>
      <c r="AA7" s="1556" t="e">
        <f>D7/F7</f>
        <v>#DIV/0!</v>
      </c>
      <c r="AB7" s="1556" t="e">
        <f>D7/H7</f>
        <v>#DIV/0!</v>
      </c>
      <c r="AC7" s="1556" t="e">
        <f>D7/J7</f>
        <v>#DIV/0!</v>
      </c>
    </row>
    <row r="8" spans="1:29" s="1214"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44" t="s">
        <v>533</v>
      </c>
      <c r="Q8" s="3445"/>
      <c r="R8" s="1553" t="s">
        <v>8</v>
      </c>
      <c r="S8" s="1554">
        <f t="shared" si="0"/>
        <v>0</v>
      </c>
      <c r="T8" s="1553" t="s">
        <v>8</v>
      </c>
      <c r="U8" s="1554">
        <f t="shared" si="1"/>
        <v>0</v>
      </c>
      <c r="V8" s="1553" t="s">
        <v>8</v>
      </c>
      <c r="W8" s="1554">
        <f t="shared" si="2"/>
        <v>0</v>
      </c>
      <c r="X8" s="1555"/>
      <c r="Y8" s="3444" t="s">
        <v>533</v>
      </c>
      <c r="Z8" s="3445"/>
      <c r="AA8" s="1556" t="e">
        <f t="shared" ref="AA8:AA34" si="3">D8/F8</f>
        <v>#DIV/0!</v>
      </c>
      <c r="AB8" s="1556" t="e">
        <f t="shared" ref="AB8:AB34" si="4">D8/H8</f>
        <v>#DIV/0!</v>
      </c>
      <c r="AC8" s="1556" t="e">
        <f t="shared" ref="AC8:AC34" si="5">D8/J8</f>
        <v>#DIV/0!</v>
      </c>
    </row>
    <row r="9" spans="1:29" s="1214" customFormat="1" ht="15">
      <c r="A9" s="2865"/>
      <c r="B9" s="2872" t="s">
        <v>2754</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13" t="s">
        <v>535</v>
      </c>
      <c r="Q9" s="1145" t="str">
        <f t="shared" ref="Q9:Q14" si="6">B9</f>
        <v>用途</v>
      </c>
      <c r="R9" s="1553" t="s">
        <v>8</v>
      </c>
      <c r="S9" s="1554">
        <f t="shared" si="0"/>
        <v>100</v>
      </c>
      <c r="T9" s="1553" t="s">
        <v>8</v>
      </c>
      <c r="U9" s="1554">
        <f t="shared" si="1"/>
        <v>100</v>
      </c>
      <c r="V9" s="1553" t="s">
        <v>8</v>
      </c>
      <c r="W9" s="1554">
        <f t="shared" si="2"/>
        <v>100</v>
      </c>
      <c r="X9" s="1555"/>
      <c r="Y9" s="3359" t="s">
        <v>536</v>
      </c>
      <c r="Z9" s="1144" t="str">
        <f t="shared" ref="Z9:Z14" si="7">Q9</f>
        <v>用途</v>
      </c>
      <c r="AA9" s="1556">
        <f t="shared" si="3"/>
        <v>1</v>
      </c>
      <c r="AB9" s="1556">
        <f t="shared" si="4"/>
        <v>1</v>
      </c>
      <c r="AC9" s="1556">
        <f t="shared" si="5"/>
        <v>1</v>
      </c>
    </row>
    <row r="10" spans="1:29" s="1332" customFormat="1" ht="27">
      <c r="A10" s="2866"/>
      <c r="B10" s="2871" t="s">
        <v>2755</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13"/>
      <c r="Q10" s="1145" t="str">
        <f t="shared" si="6"/>
        <v>土地使用年限（年）</v>
      </c>
      <c r="R10" s="1553" t="s">
        <v>8</v>
      </c>
      <c r="S10" s="1554">
        <f t="shared" si="0"/>
        <v>100</v>
      </c>
      <c r="T10" s="1553" t="s">
        <v>8</v>
      </c>
      <c r="U10" s="1554">
        <f t="shared" si="1"/>
        <v>100</v>
      </c>
      <c r="V10" s="1553" t="s">
        <v>8</v>
      </c>
      <c r="W10" s="1554">
        <f t="shared" si="2"/>
        <v>100</v>
      </c>
      <c r="X10" s="1555"/>
      <c r="Y10" s="3359"/>
      <c r="Z10" s="1144" t="str">
        <f t="shared" si="7"/>
        <v>土地使用年限（年）</v>
      </c>
      <c r="AA10" s="1556">
        <f t="shared" si="3"/>
        <v>1</v>
      </c>
      <c r="AB10" s="1556">
        <f t="shared" si="4"/>
        <v>1</v>
      </c>
      <c r="AC10" s="1556">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13"/>
      <c r="Q11" s="1145">
        <f t="shared" si="6"/>
        <v>111</v>
      </c>
      <c r="R11" s="1553" t="s">
        <v>8</v>
      </c>
      <c r="S11" s="1554">
        <f t="shared" si="0"/>
        <v>100</v>
      </c>
      <c r="T11" s="1553" t="s">
        <v>8</v>
      </c>
      <c r="U11" s="1554">
        <f t="shared" si="1"/>
        <v>100</v>
      </c>
      <c r="V11" s="1553" t="s">
        <v>8</v>
      </c>
      <c r="W11" s="1554">
        <f t="shared" si="2"/>
        <v>100</v>
      </c>
      <c r="X11" s="1555"/>
      <c r="Y11" s="3359"/>
      <c r="Z11" s="1144">
        <f t="shared" si="7"/>
        <v>111</v>
      </c>
      <c r="AA11" s="1556">
        <f t="shared" si="3"/>
        <v>1</v>
      </c>
      <c r="AB11" s="1556">
        <f t="shared" si="4"/>
        <v>1</v>
      </c>
      <c r="AC11" s="1556">
        <f t="shared" si="5"/>
        <v>1</v>
      </c>
    </row>
    <row r="12" spans="1:29" s="1214"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13"/>
      <c r="Q12" s="1145">
        <f t="shared" si="6"/>
        <v>111</v>
      </c>
      <c r="R12" s="1553" t="s">
        <v>8</v>
      </c>
      <c r="S12" s="1554">
        <f t="shared" si="0"/>
        <v>100</v>
      </c>
      <c r="T12" s="1553" t="s">
        <v>8</v>
      </c>
      <c r="U12" s="1554">
        <f t="shared" si="1"/>
        <v>100</v>
      </c>
      <c r="V12" s="1553" t="s">
        <v>8</v>
      </c>
      <c r="W12" s="1554">
        <f t="shared" si="2"/>
        <v>100</v>
      </c>
      <c r="X12" s="1555"/>
      <c r="Y12" s="3359"/>
      <c r="Z12" s="1144">
        <f t="shared" si="7"/>
        <v>111</v>
      </c>
      <c r="AA12" s="1556">
        <f>D12/F12</f>
        <v>1</v>
      </c>
      <c r="AB12" s="1556">
        <f>D12/H12</f>
        <v>1</v>
      </c>
      <c r="AC12" s="1556">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13"/>
      <c r="Q13" s="1145">
        <f t="shared" si="6"/>
        <v>111</v>
      </c>
      <c r="R13" s="1553" t="s">
        <v>8</v>
      </c>
      <c r="S13" s="1554">
        <f t="shared" si="0"/>
        <v>100</v>
      </c>
      <c r="T13" s="1553" t="s">
        <v>8</v>
      </c>
      <c r="U13" s="1554">
        <f t="shared" si="1"/>
        <v>100</v>
      </c>
      <c r="V13" s="1553" t="s">
        <v>8</v>
      </c>
      <c r="W13" s="1554">
        <f t="shared" si="2"/>
        <v>100</v>
      </c>
      <c r="X13" s="1555"/>
      <c r="Y13" s="3359"/>
      <c r="Z13" s="1144">
        <f t="shared" si="7"/>
        <v>111</v>
      </c>
      <c r="AA13" s="1556">
        <f t="shared" si="3"/>
        <v>1</v>
      </c>
      <c r="AB13" s="1556">
        <f t="shared" si="4"/>
        <v>1</v>
      </c>
      <c r="AC13" s="1556">
        <f t="shared" si="5"/>
        <v>1</v>
      </c>
    </row>
    <row r="14" spans="1:29" ht="185.25">
      <c r="A14" s="2861" t="s">
        <v>2752</v>
      </c>
      <c r="B14" s="166" t="s">
        <v>543</v>
      </c>
      <c r="C14" s="919"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47" t="s">
        <v>540</v>
      </c>
      <c r="Q14" s="1557" t="str">
        <f t="shared" si="6"/>
        <v>交通便捷度</v>
      </c>
      <c r="R14" s="1558" t="s">
        <v>8</v>
      </c>
      <c r="S14" s="1559">
        <f t="shared" si="0"/>
        <v>100</v>
      </c>
      <c r="T14" s="1558" t="s">
        <v>8</v>
      </c>
      <c r="U14" s="1559">
        <f t="shared" si="1"/>
        <v>100</v>
      </c>
      <c r="V14" s="1558" t="s">
        <v>8</v>
      </c>
      <c r="W14" s="1559">
        <f t="shared" si="2"/>
        <v>100</v>
      </c>
      <c r="X14" s="1552"/>
      <c r="Y14" s="3447"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4"/>
      <c r="M15" s="2116"/>
      <c r="N15" s="2116"/>
      <c r="O15" s="2123"/>
      <c r="P15" s="3448"/>
      <c r="Q15" s="1557"/>
      <c r="R15" s="1558"/>
      <c r="S15" s="1559"/>
      <c r="T15" s="1558"/>
      <c r="U15" s="1559"/>
      <c r="V15" s="1558"/>
      <c r="W15" s="1559"/>
      <c r="X15" s="1552"/>
      <c r="Y15" s="3448"/>
      <c r="Z15" s="1560"/>
      <c r="AA15" s="1561">
        <v>1</v>
      </c>
      <c r="AB15" s="1561">
        <v>1</v>
      </c>
      <c r="AC15" s="1561">
        <v>1</v>
      </c>
    </row>
    <row r="16" spans="1:29" ht="199.5">
      <c r="A16" s="531"/>
      <c r="B16" s="2564" t="s">
        <v>2545</v>
      </c>
      <c r="C16" s="871"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48"/>
      <c r="Q16" s="1557" t="str">
        <f>B16</f>
        <v>公共配套设施</v>
      </c>
      <c r="R16" s="1558" t="s">
        <v>8</v>
      </c>
      <c r="S16" s="1559">
        <f>F16</f>
        <v>100</v>
      </c>
      <c r="T16" s="1558" t="s">
        <v>8</v>
      </c>
      <c r="U16" s="1559">
        <f>H16</f>
        <v>100</v>
      </c>
      <c r="V16" s="1558" t="s">
        <v>8</v>
      </c>
      <c r="W16" s="1559">
        <f>J16</f>
        <v>100</v>
      </c>
      <c r="X16" s="1552"/>
      <c r="Y16" s="3448"/>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4"/>
      <c r="M17" s="2116"/>
      <c r="N17" s="2116"/>
      <c r="O17" s="2123"/>
      <c r="P17" s="3448"/>
      <c r="Q17" s="1557"/>
      <c r="R17" s="1558"/>
      <c r="S17" s="1559"/>
      <c r="T17" s="1558"/>
      <c r="U17" s="1559"/>
      <c r="V17" s="1558"/>
      <c r="W17" s="1559"/>
      <c r="X17" s="1552"/>
      <c r="Y17" s="3448"/>
      <c r="Z17" s="1560"/>
      <c r="AA17" s="1561">
        <v>1</v>
      </c>
      <c r="AB17" s="1561">
        <v>1</v>
      </c>
      <c r="AC17" s="1561">
        <v>1</v>
      </c>
    </row>
    <row r="18" spans="1:29" ht="28.5">
      <c r="A18" s="531"/>
      <c r="B18" s="255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48"/>
      <c r="Q18" s="2540" t="str">
        <f>B18</f>
        <v>基础设施水平</v>
      </c>
      <c r="R18" s="1558" t="s">
        <v>8</v>
      </c>
      <c r="S18" s="1559">
        <f>F18</f>
        <v>100</v>
      </c>
      <c r="T18" s="1558" t="s">
        <v>8</v>
      </c>
      <c r="U18" s="1559">
        <f>H18</f>
        <v>100</v>
      </c>
      <c r="V18" s="1558" t="s">
        <v>8</v>
      </c>
      <c r="W18" s="1559">
        <f>J18</f>
        <v>100</v>
      </c>
      <c r="X18" s="2542"/>
      <c r="Y18" s="3448"/>
      <c r="Z18" s="2541"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3"/>
      <c r="L19" s="2124"/>
      <c r="M19" s="2116"/>
      <c r="N19" s="2116"/>
      <c r="O19" s="2123"/>
      <c r="P19" s="3448"/>
      <c r="Q19" s="2540"/>
      <c r="R19" s="1558"/>
      <c r="S19" s="1559"/>
      <c r="T19" s="1558"/>
      <c r="U19" s="1559"/>
      <c r="V19" s="1558"/>
      <c r="W19" s="1559"/>
      <c r="X19" s="2542"/>
      <c r="Y19" s="3448"/>
      <c r="Z19" s="2541"/>
      <c r="AA19" s="1561">
        <v>1</v>
      </c>
      <c r="AB19" s="1561">
        <v>1</v>
      </c>
      <c r="AC19" s="1561">
        <v>1</v>
      </c>
    </row>
    <row r="20" spans="1:29" ht="156.75">
      <c r="A20" s="531"/>
      <c r="B20" s="870" t="s">
        <v>804</v>
      </c>
      <c r="C20" s="871" t="str">
        <f>IF(B1="工业",估价对象房地状况!G7,估价对象房地状况!C9)</f>
        <v>估价对象所在区域内无公园、水系、湖泊，自然环境较差；无博物馆、科技馆、体育馆、高等学府等人文设施，人文环境较差；综合评价自然及人文环境环境较差。</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48"/>
      <c r="Q20" s="1557" t="str">
        <f>B20</f>
        <v>自然及人文环境</v>
      </c>
      <c r="R20" s="1558" t="s">
        <v>8</v>
      </c>
      <c r="S20" s="1559">
        <f>F20</f>
        <v>100</v>
      </c>
      <c r="T20" s="1558" t="s">
        <v>8</v>
      </c>
      <c r="U20" s="1559">
        <f>H20</f>
        <v>100</v>
      </c>
      <c r="V20" s="1558" t="s">
        <v>8</v>
      </c>
      <c r="W20" s="1559">
        <f>J20</f>
        <v>100</v>
      </c>
      <c r="X20" s="1552"/>
      <c r="Y20" s="3448"/>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4"/>
      <c r="M21" s="2116"/>
      <c r="N21" s="2116"/>
      <c r="O21" s="2123"/>
      <c r="P21" s="3448"/>
      <c r="Q21" s="1557"/>
      <c r="R21" s="1558"/>
      <c r="S21" s="1559"/>
      <c r="T21" s="1558"/>
      <c r="U21" s="1559"/>
      <c r="V21" s="1558"/>
      <c r="W21" s="1559"/>
      <c r="X21" s="1552"/>
      <c r="Y21" s="3448"/>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48"/>
      <c r="Q22" s="1557" t="str">
        <f>B22</f>
        <v>楼层</v>
      </c>
      <c r="R22" s="1558" t="s">
        <v>8</v>
      </c>
      <c r="S22" s="1559">
        <f>F22</f>
        <v>100</v>
      </c>
      <c r="T22" s="1558" t="s">
        <v>8</v>
      </c>
      <c r="U22" s="1559">
        <f>H22</f>
        <v>100</v>
      </c>
      <c r="V22" s="1558" t="s">
        <v>8</v>
      </c>
      <c r="W22" s="1559">
        <f>J22</f>
        <v>100</v>
      </c>
      <c r="X22" s="1552"/>
      <c r="Y22" s="3448"/>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48"/>
      <c r="Q23" s="1557">
        <f>B23</f>
        <v>111</v>
      </c>
      <c r="R23" s="1558" t="s">
        <v>8</v>
      </c>
      <c r="S23" s="1559">
        <f>F23</f>
        <v>100</v>
      </c>
      <c r="T23" s="1558" t="s">
        <v>8</v>
      </c>
      <c r="U23" s="1559">
        <f>H23</f>
        <v>100</v>
      </c>
      <c r="V23" s="1558" t="s">
        <v>8</v>
      </c>
      <c r="W23" s="1559">
        <f>J23</f>
        <v>100</v>
      </c>
      <c r="X23" s="1552"/>
      <c r="Y23" s="3448"/>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48"/>
      <c r="Q24" s="1557">
        <f t="shared" ref="Q24:Q34" si="11">B24</f>
        <v>111</v>
      </c>
      <c r="R24" s="1558" t="s">
        <v>8</v>
      </c>
      <c r="S24" s="1559">
        <f>F24</f>
        <v>100</v>
      </c>
      <c r="T24" s="1558" t="s">
        <v>8</v>
      </c>
      <c r="U24" s="1559">
        <f>H24</f>
        <v>100</v>
      </c>
      <c r="V24" s="1558" t="s">
        <v>8</v>
      </c>
      <c r="W24" s="1559">
        <f>J24</f>
        <v>100</v>
      </c>
      <c r="X24" s="1552"/>
      <c r="Y24" s="3448"/>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48"/>
      <c r="Q25" s="1145">
        <f t="shared" si="11"/>
        <v>111</v>
      </c>
      <c r="R25" s="1553" t="s">
        <v>8</v>
      </c>
      <c r="S25" s="1554">
        <f>F25</f>
        <v>100</v>
      </c>
      <c r="T25" s="1553" t="s">
        <v>8</v>
      </c>
      <c r="U25" s="1554">
        <f>H25</f>
        <v>100</v>
      </c>
      <c r="V25" s="1553" t="s">
        <v>8</v>
      </c>
      <c r="W25" s="1554">
        <f>J25</f>
        <v>100</v>
      </c>
      <c r="X25" s="1555"/>
      <c r="Y25" s="3448"/>
      <c r="Z25" s="1144">
        <f>Q25</f>
        <v>111</v>
      </c>
      <c r="AA25" s="1561">
        <f>D25/F25</f>
        <v>1</v>
      </c>
      <c r="AB25" s="1561">
        <f>D25/H25</f>
        <v>1</v>
      </c>
      <c r="AC25" s="1561">
        <f>D25/J25</f>
        <v>1</v>
      </c>
    </row>
    <row r="26" spans="1:29" ht="15">
      <c r="A26" s="2859"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4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50"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50"/>
      <c r="Q27" s="1589" t="str">
        <f t="shared" si="11"/>
        <v>成新率</v>
      </c>
      <c r="R27" s="1562" t="s">
        <v>8</v>
      </c>
      <c r="S27" s="1563" t="e">
        <f t="shared" si="12"/>
        <v>#N/A</v>
      </c>
      <c r="T27" s="1562" t="s">
        <v>8</v>
      </c>
      <c r="U27" s="1563" t="e">
        <f t="shared" si="13"/>
        <v>#N/A</v>
      </c>
      <c r="V27" s="1562" t="s">
        <v>8</v>
      </c>
      <c r="W27" s="1563" t="e">
        <f t="shared" si="14"/>
        <v>#N/A</v>
      </c>
      <c r="X27" s="1564"/>
      <c r="Y27" s="3450"/>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50"/>
      <c r="Q28" s="1557" t="str">
        <f t="shared" si="11"/>
        <v>物业等级</v>
      </c>
      <c r="R28" s="1558" t="s">
        <v>8</v>
      </c>
      <c r="S28" s="1559">
        <f t="shared" si="12"/>
        <v>100</v>
      </c>
      <c r="T28" s="1558" t="s">
        <v>8</v>
      </c>
      <c r="U28" s="1559">
        <f t="shared" si="13"/>
        <v>100</v>
      </c>
      <c r="V28" s="1558" t="s">
        <v>8</v>
      </c>
      <c r="W28" s="1559">
        <f t="shared" si="14"/>
        <v>100</v>
      </c>
      <c r="X28" s="1552"/>
      <c r="Y28" s="3450"/>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50"/>
      <c r="Q29" s="1557" t="str">
        <f t="shared" si="11"/>
        <v>有无电梯</v>
      </c>
      <c r="R29" s="1558" t="s">
        <v>8</v>
      </c>
      <c r="S29" s="1559">
        <f t="shared" si="12"/>
        <v>100</v>
      </c>
      <c r="T29" s="1558" t="s">
        <v>8</v>
      </c>
      <c r="U29" s="1559">
        <f t="shared" si="13"/>
        <v>100</v>
      </c>
      <c r="V29" s="1558" t="s">
        <v>8</v>
      </c>
      <c r="W29" s="1559">
        <f t="shared" si="14"/>
        <v>100</v>
      </c>
      <c r="X29" s="1552"/>
      <c r="Y29" s="3450"/>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50"/>
      <c r="Q30" s="1557" t="str">
        <f t="shared" si="11"/>
        <v>建筑面积</v>
      </c>
      <c r="R30" s="1558" t="s">
        <v>8</v>
      </c>
      <c r="S30" s="1559" t="e">
        <f t="shared" si="12"/>
        <v>#N/A</v>
      </c>
      <c r="T30" s="1558" t="s">
        <v>8</v>
      </c>
      <c r="U30" s="1559" t="e">
        <f t="shared" si="13"/>
        <v>#N/A</v>
      </c>
      <c r="V30" s="1558" t="s">
        <v>8</v>
      </c>
      <c r="W30" s="1559" t="e">
        <f t="shared" si="14"/>
        <v>#N/A</v>
      </c>
      <c r="X30" s="1552"/>
      <c r="Y30" s="3450"/>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50"/>
      <c r="Q31" s="1145" t="str">
        <f t="shared" si="11"/>
        <v>是否封闭</v>
      </c>
      <c r="R31" s="1553" t="s">
        <v>8</v>
      </c>
      <c r="S31" s="1554">
        <f t="shared" si="12"/>
        <v>100</v>
      </c>
      <c r="T31" s="1553" t="s">
        <v>8</v>
      </c>
      <c r="U31" s="1554">
        <f t="shared" si="13"/>
        <v>100</v>
      </c>
      <c r="V31" s="1553" t="s">
        <v>8</v>
      </c>
      <c r="W31" s="1554">
        <f t="shared" si="14"/>
        <v>100</v>
      </c>
      <c r="X31" s="1555"/>
      <c r="Y31" s="3450"/>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50" t="s">
        <v>550</v>
      </c>
      <c r="Q32" s="1557">
        <f t="shared" si="11"/>
        <v>111</v>
      </c>
      <c r="R32" s="1558" t="s">
        <v>8</v>
      </c>
      <c r="S32" s="1559">
        <f t="shared" si="12"/>
        <v>100</v>
      </c>
      <c r="T32" s="1558" t="s">
        <v>8</v>
      </c>
      <c r="U32" s="1559">
        <f t="shared" si="13"/>
        <v>100</v>
      </c>
      <c r="V32" s="1558" t="s">
        <v>8</v>
      </c>
      <c r="W32" s="1559">
        <f t="shared" si="14"/>
        <v>100</v>
      </c>
      <c r="X32" s="1552"/>
      <c r="Y32" s="3450"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50"/>
      <c r="Q33" s="1557">
        <f t="shared" si="11"/>
        <v>111</v>
      </c>
      <c r="R33" s="1558" t="s">
        <v>8</v>
      </c>
      <c r="S33" s="1559">
        <f t="shared" si="12"/>
        <v>100</v>
      </c>
      <c r="T33" s="1558" t="s">
        <v>8</v>
      </c>
      <c r="U33" s="1559">
        <f t="shared" si="13"/>
        <v>100</v>
      </c>
      <c r="V33" s="1558" t="s">
        <v>8</v>
      </c>
      <c r="W33" s="1559">
        <f t="shared" si="14"/>
        <v>100</v>
      </c>
      <c r="X33" s="1552"/>
      <c r="Y33" s="3450"/>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50"/>
      <c r="Q34" s="1557">
        <f t="shared" si="11"/>
        <v>111</v>
      </c>
      <c r="R34" s="1558" t="s">
        <v>8</v>
      </c>
      <c r="S34" s="1559">
        <f t="shared" si="12"/>
        <v>100</v>
      </c>
      <c r="T34" s="1558" t="s">
        <v>8</v>
      </c>
      <c r="U34" s="1559">
        <f t="shared" si="13"/>
        <v>100</v>
      </c>
      <c r="V34" s="1558" t="s">
        <v>8</v>
      </c>
      <c r="W34" s="1559">
        <f t="shared" si="14"/>
        <v>100</v>
      </c>
      <c r="X34" s="1552"/>
      <c r="Y34" s="3450"/>
      <c r="Z34" s="1560">
        <f t="shared" si="15"/>
        <v>111</v>
      </c>
      <c r="AA34" s="1561">
        <f t="shared" si="3"/>
        <v>1</v>
      </c>
      <c r="AB34" s="1561">
        <f t="shared" si="4"/>
        <v>1</v>
      </c>
      <c r="AC34" s="1561">
        <f t="shared" si="5"/>
        <v>1</v>
      </c>
    </row>
    <row r="35" spans="1:29" ht="15">
      <c r="A35" s="606" t="s">
        <v>736</v>
      </c>
      <c r="B35" s="885"/>
      <c r="C35" s="2588" t="s">
        <v>1</v>
      </c>
      <c r="D35" s="2589"/>
      <c r="E35" s="2590"/>
      <c r="F35" s="2591"/>
      <c r="G35" s="2592"/>
      <c r="H35" s="2593"/>
      <c r="I35" s="2590"/>
      <c r="J35" s="2593"/>
      <c r="K35" s="1595"/>
      <c r="L35" s="2126"/>
      <c r="M35" s="2127"/>
      <c r="N35" s="2116"/>
      <c r="O35" s="2127"/>
      <c r="P35" s="3413" t="str">
        <f>A35</f>
        <v>成交单价（元/平方米）</v>
      </c>
      <c r="Q35" s="3413"/>
      <c r="R35" s="3530">
        <f>E35</f>
        <v>0</v>
      </c>
      <c r="S35" s="3530"/>
      <c r="T35" s="3530">
        <f>G35</f>
        <v>0</v>
      </c>
      <c r="U35" s="3530"/>
      <c r="V35" s="3530">
        <f>I35</f>
        <v>0</v>
      </c>
      <c r="W35" s="3530"/>
      <c r="X35" s="1544"/>
      <c r="Y35" s="1566"/>
      <c r="Z35" s="1544"/>
      <c r="AA35" s="1544"/>
      <c r="AB35" s="1544"/>
      <c r="AC35" s="1544"/>
    </row>
    <row r="36" spans="1:29" ht="15.75" thickBot="1">
      <c r="A36" s="614" t="s">
        <v>2758</v>
      </c>
      <c r="B36" s="886"/>
      <c r="C36" s="2594" t="e">
        <f>R37</f>
        <v>#DIV/0!</v>
      </c>
      <c r="D36" s="2595"/>
      <c r="E36" s="2596" t="e">
        <f>R36</f>
        <v>#DIV/0!</v>
      </c>
      <c r="F36" s="2596"/>
      <c r="G36" s="2594" t="e">
        <f>T36</f>
        <v>#DIV/0!</v>
      </c>
      <c r="H36" s="2595"/>
      <c r="I36" s="2596" t="e">
        <f>V36</f>
        <v>#DIV/0!</v>
      </c>
      <c r="J36" s="2595"/>
      <c r="K36" s="1596"/>
      <c r="L36" s="2126"/>
      <c r="M36" s="2127"/>
      <c r="N36" s="2116"/>
      <c r="O36" s="2127"/>
      <c r="P36" s="3413" t="str">
        <f>A36</f>
        <v>比较价格（元/平方米）</v>
      </c>
      <c r="Q36" s="3413"/>
      <c r="R36" s="3530" t="e">
        <f>IF(F1="售价",ROUND(PRODUCT(R35,AA7:AA34),0),ROUND(PRODUCT(R35,AA7:AA34),1))</f>
        <v>#DIV/0!</v>
      </c>
      <c r="S36" s="3530"/>
      <c r="T36" s="3530" t="e">
        <f>IF(F1="售价",ROUND(PRODUCT(T35,AB7:AB34),0),ROUND(PRODUCT(T35,AB7:AB34),1))</f>
        <v>#DIV/0!</v>
      </c>
      <c r="U36" s="3530"/>
      <c r="V36" s="3530" t="e">
        <f>IF(F1="售价",ROUND(PRODUCT(V35,AC7:AC34),0),ROUND(PRODUCT(V35,AC7:AC34),1))</f>
        <v>#DIV/0!</v>
      </c>
      <c r="W36" s="3530"/>
      <c r="X36" s="1544"/>
      <c r="Y36" s="1544"/>
      <c r="Z36" s="1544"/>
      <c r="AA36" s="1544"/>
      <c r="AB36" s="1544"/>
      <c r="AC36" s="1544"/>
    </row>
    <row r="37" spans="1:29" ht="15.75" thickBot="1">
      <c r="A37" s="620" t="s">
        <v>2930</v>
      </c>
      <c r="B37" s="621"/>
      <c r="C37" s="2597" t="e">
        <f>R37</f>
        <v>#DIV/0!</v>
      </c>
      <c r="D37" s="2597"/>
      <c r="E37" s="2597"/>
      <c r="F37" s="2597"/>
      <c r="G37" s="2597"/>
      <c r="H37" s="2597"/>
      <c r="I37" s="2597"/>
      <c r="J37" s="2597"/>
      <c r="K37" s="1597"/>
      <c r="L37" s="2126"/>
      <c r="M37" s="2127"/>
      <c r="N37" s="2127"/>
      <c r="O37" s="2127"/>
      <c r="P37" s="3410" t="str">
        <f>A37</f>
        <v>估价对象XX用房的比较价格（楼面单价，元/平方米）</v>
      </c>
      <c r="Q37" s="3411"/>
      <c r="R37" s="3529" t="e">
        <f>IF(F1="售价",ROUND(AVERAGE(R36:V36),0),ROUND(AVERAGE(R36:V36),1))</f>
        <v>#DIV/0!</v>
      </c>
      <c r="S37" s="3529"/>
      <c r="T37" s="3529"/>
      <c r="U37" s="3529"/>
      <c r="V37" s="3529"/>
      <c r="W37" s="3529"/>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1" customFormat="1" ht="15">
      <c r="A46" s="644" t="s">
        <v>529</v>
      </c>
      <c r="B46" s="645"/>
      <c r="C46" s="2754" t="str">
        <f>YEAR(C7)&amp;"-"&amp;MONTH(C7)</f>
        <v>2019-7</v>
      </c>
      <c r="D46" s="2756">
        <f>EDATE(C46,-1)</f>
        <v>43617</v>
      </c>
      <c r="E46" s="2756">
        <f t="shared" ref="E46:O46" si="16">EDATE(D46,-1)</f>
        <v>43586</v>
      </c>
      <c r="F46" s="2756">
        <f t="shared" si="16"/>
        <v>43556</v>
      </c>
      <c r="G46" s="2756">
        <f t="shared" si="16"/>
        <v>43525</v>
      </c>
      <c r="H46" s="2756">
        <f t="shared" si="16"/>
        <v>43497</v>
      </c>
      <c r="I46" s="2756">
        <f t="shared" si="16"/>
        <v>43466</v>
      </c>
      <c r="J46" s="2756">
        <f t="shared" si="16"/>
        <v>43435</v>
      </c>
      <c r="K46" s="2756">
        <f t="shared" si="16"/>
        <v>43405</v>
      </c>
      <c r="L46" s="2756">
        <f t="shared" si="16"/>
        <v>43374</v>
      </c>
      <c r="M46" s="2756">
        <f t="shared" si="16"/>
        <v>43344</v>
      </c>
      <c r="N46" s="2756">
        <f t="shared" si="16"/>
        <v>43313</v>
      </c>
      <c r="O46" s="2756">
        <f t="shared" si="16"/>
        <v>43282</v>
      </c>
      <c r="P46" s="2142"/>
      <c r="Q46" s="2143"/>
      <c r="R46" s="2143"/>
      <c r="S46" s="2143"/>
      <c r="T46" s="2143"/>
      <c r="U46" s="2143"/>
      <c r="V46" s="2143"/>
      <c r="W46" s="2143"/>
      <c r="X46" s="2143"/>
      <c r="Y46" s="2143"/>
      <c r="Z46" s="2143"/>
      <c r="AA46" s="2143"/>
      <c r="AB46" s="2143"/>
      <c r="AC46" s="2143"/>
    </row>
    <row r="47" spans="1:29" s="1214"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2556</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2557</v>
      </c>
      <c r="C65" s="2559" t="s">
        <v>2558</v>
      </c>
      <c r="D65" s="2559" t="s">
        <v>2559</v>
      </c>
      <c r="E65" s="2559" t="s">
        <v>2560</v>
      </c>
      <c r="F65" s="2559" t="s">
        <v>2561</v>
      </c>
      <c r="G65" s="2559" t="s">
        <v>2562</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3" sqref="S33"/>
    </sheetView>
  </sheetViews>
  <sheetFormatPr defaultColWidth="9" defaultRowHeight="12.75"/>
  <cols>
    <col min="1" max="1" width="25.25" style="1244" customWidth="1"/>
    <col min="2" max="2" width="9.25" style="1212" customWidth="1"/>
    <col min="3" max="3" width="5" style="1212" customWidth="1"/>
    <col min="4" max="4" width="9" style="1212"/>
    <col min="5" max="5" width="10.25" style="1212" customWidth="1"/>
    <col min="6" max="6" width="9" style="1212"/>
    <col min="7" max="7" width="8"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6" t="s">
        <v>2302</v>
      </c>
      <c r="C1" s="3543" t="s">
        <v>2303</v>
      </c>
      <c r="D1" s="3544"/>
      <c r="E1" s="3544"/>
      <c r="F1" s="3544"/>
      <c r="G1" s="3544"/>
      <c r="H1" s="3544"/>
      <c r="I1" s="3544"/>
      <c r="J1" s="3544"/>
      <c r="K1" s="3544"/>
      <c r="L1" s="3544"/>
      <c r="M1" s="3544"/>
      <c r="N1" s="3544"/>
      <c r="O1" s="3544"/>
      <c r="P1" s="3544"/>
      <c r="Q1" s="3544"/>
      <c r="R1" s="3544"/>
      <c r="S1" s="3545"/>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25.5">
      <c r="A2" s="2217"/>
      <c r="B2" s="947" t="s">
        <v>2305</v>
      </c>
      <c r="C2" s="948" t="str">
        <f t="shared" ref="C2:L2" si="0">C3&amp;"(含)"&amp;"-"&amp;D3</f>
        <v>0(含)-50000</v>
      </c>
      <c r="D2" s="949" t="str">
        <f t="shared" si="0"/>
        <v>50000(含)-100000</v>
      </c>
      <c r="E2" s="949" t="str">
        <f t="shared" si="0"/>
        <v>100000(含)-150000</v>
      </c>
      <c r="F2" s="949" t="str">
        <f t="shared" si="0"/>
        <v>150000(含)-200000</v>
      </c>
      <c r="G2" s="949" t="str">
        <f t="shared" si="0"/>
        <v>200000(含)-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v>0</v>
      </c>
      <c r="D3" s="953">
        <v>50000</v>
      </c>
      <c r="E3" s="953">
        <v>100000</v>
      </c>
      <c r="F3" s="953">
        <v>150000</v>
      </c>
      <c r="G3" s="953">
        <v>200000</v>
      </c>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v>100</v>
      </c>
      <c r="D4" s="2228">
        <v>100</v>
      </c>
      <c r="E4" s="2228">
        <v>101</v>
      </c>
      <c r="F4" s="2228">
        <v>102</v>
      </c>
      <c r="G4" s="2228">
        <v>103</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213" t="s">
        <v>3242</v>
      </c>
      <c r="C5" s="2234">
        <v>0</v>
      </c>
      <c r="D5" s="2235">
        <v>2.5</v>
      </c>
      <c r="E5" s="2235">
        <v>3</v>
      </c>
      <c r="F5" s="2235">
        <v>3.5</v>
      </c>
      <c r="G5" s="2235">
        <v>4</v>
      </c>
      <c r="H5" s="2235"/>
      <c r="I5" s="2235"/>
      <c r="J5" s="2235"/>
      <c r="K5" s="2235"/>
      <c r="L5" s="2236"/>
      <c r="M5" s="2237"/>
      <c r="N5" s="2237"/>
      <c r="O5" s="2235"/>
      <c r="P5" s="2235"/>
      <c r="Q5" s="2235"/>
      <c r="R5" s="2235"/>
      <c r="S5" s="2238"/>
      <c r="T5" s="2239">
        <v>1</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99</v>
      </c>
      <c r="E6" s="1951">
        <f t="shared" ref="E6:S6" si="7">D6-$T5</f>
        <v>98</v>
      </c>
      <c r="F6" s="1951">
        <f t="shared" si="7"/>
        <v>97</v>
      </c>
      <c r="G6" s="1951">
        <f t="shared" si="7"/>
        <v>96</v>
      </c>
      <c r="H6" s="1951">
        <f t="shared" si="7"/>
        <v>95</v>
      </c>
      <c r="I6" s="1951">
        <f t="shared" si="7"/>
        <v>94</v>
      </c>
      <c r="J6" s="1951">
        <f t="shared" si="7"/>
        <v>93</v>
      </c>
      <c r="K6" s="1951">
        <f t="shared" si="7"/>
        <v>92</v>
      </c>
      <c r="L6" s="1951">
        <f t="shared" si="7"/>
        <v>91</v>
      </c>
      <c r="M6" s="1951">
        <f t="shared" si="7"/>
        <v>90</v>
      </c>
      <c r="N6" s="1951">
        <f t="shared" si="7"/>
        <v>89</v>
      </c>
      <c r="O6" s="1951">
        <f t="shared" si="7"/>
        <v>88</v>
      </c>
      <c r="P6" s="1951">
        <f t="shared" si="7"/>
        <v>87</v>
      </c>
      <c r="Q6" s="1951">
        <f t="shared" si="7"/>
        <v>86</v>
      </c>
      <c r="R6" s="1951">
        <f t="shared" si="7"/>
        <v>85</v>
      </c>
      <c r="S6" s="1951">
        <f t="shared" si="7"/>
        <v>84</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hidden="1">
      <c r="A7" s="2233"/>
      <c r="B7" s="3038" t="s">
        <v>2923</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hidden="1"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idden="1">
      <c r="A9" s="2233"/>
      <c r="B9" s="3038" t="s">
        <v>2922</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idden="1">
      <c r="A11" s="2233"/>
      <c r="B11" s="3036" t="s">
        <v>2934</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idden="1">
      <c r="A13" s="2233"/>
      <c r="B13" s="3036" t="s">
        <v>2921</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hidden="1"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hidden="1">
      <c r="A15" s="2233"/>
      <c r="B15" s="3036" t="s">
        <v>2920</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hidden="1"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 ca="1">S22</f>
        <v>290154</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 ca="1">R22</f>
        <v>3242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895114.02999999991</v>
      </c>
      <c r="C22" s="3540" t="s">
        <v>20</v>
      </c>
      <c r="D22" s="3541"/>
      <c r="E22" s="3541"/>
      <c r="F22" s="3541"/>
      <c r="G22" s="3541"/>
      <c r="H22" s="3541"/>
      <c r="I22" s="3541"/>
      <c r="J22" s="3541"/>
      <c r="K22" s="3541"/>
      <c r="L22" s="3541"/>
      <c r="M22" s="3541"/>
      <c r="N22" s="3541"/>
      <c r="O22" s="3541"/>
      <c r="P22" s="3541"/>
      <c r="Q22" s="3542"/>
      <c r="R22" s="489">
        <f ca="1">ROUND(S22*10000/B22,0)</f>
        <v>3242</v>
      </c>
      <c r="S22" s="53">
        <f ca="1">SUM(S24:S10000)</f>
        <v>290154</v>
      </c>
    </row>
    <row r="23" spans="1:45" s="1598"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tr">
        <f>面积指标!D3</f>
        <v>和县国用（2018）第0115号</v>
      </c>
      <c r="B24" s="959">
        <f>面积指标!J3</f>
        <v>67528.97</v>
      </c>
      <c r="C24" s="960">
        <v>1</v>
      </c>
      <c r="D24" s="961">
        <v>2.5</v>
      </c>
      <c r="E24" s="960">
        <v>1</v>
      </c>
      <c r="F24" s="961"/>
      <c r="G24" s="960">
        <v>1</v>
      </c>
      <c r="H24" s="961"/>
      <c r="I24" s="960">
        <v>1</v>
      </c>
      <c r="J24" s="961"/>
      <c r="K24" s="960">
        <v>1</v>
      </c>
      <c r="L24" s="961"/>
      <c r="M24" s="960">
        <v>1</v>
      </c>
      <c r="N24" s="961"/>
      <c r="O24" s="960">
        <v>1</v>
      </c>
      <c r="P24" s="961"/>
      <c r="Q24" s="960">
        <v>1</v>
      </c>
      <c r="R24" s="962">
        <f ca="1">结果表!C33</f>
        <v>3240</v>
      </c>
      <c r="S24" s="960">
        <f t="shared" ref="S24:S54" ca="1" si="11">ROUND(R24*B24/10000,0)</f>
        <v>21879</v>
      </c>
      <c r="T24" s="1955"/>
      <c r="U24" s="1955"/>
      <c r="V24" s="1955"/>
      <c r="W24" s="1955"/>
      <c r="X24" s="1955"/>
      <c r="Y24" s="1955"/>
      <c r="Z24" s="1955"/>
      <c r="AA24" s="1955"/>
      <c r="AB24" s="1955"/>
      <c r="AC24" s="1955"/>
      <c r="AD24" s="1955"/>
      <c r="AE24" s="1955"/>
      <c r="AF24" s="1955"/>
      <c r="AG24" s="1955"/>
      <c r="AH24" s="1955"/>
      <c r="AI24" s="1955"/>
    </row>
    <row r="25" spans="1:45">
      <c r="A25" s="959" t="str">
        <f>面积指标!D4</f>
        <v>和县国用（2018）第0116号</v>
      </c>
      <c r="B25" s="959">
        <f>面积指标!J4</f>
        <v>19210.89</v>
      </c>
      <c r="C25" s="53">
        <f>IF(B25="",1,(LOOKUP(B25,$3:$3,$4:$4)-LOOKUP($B$24,$3:$3,$4:$4)+100)/100)</f>
        <v>1</v>
      </c>
      <c r="D25" s="961">
        <v>3</v>
      </c>
      <c r="E25" s="53">
        <f>(SUMIF($5:$5,D25,$6:$6)-SUMIF($5:$5,$D$24,$6:$6)+100)/100</f>
        <v>0.99</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3208</v>
      </c>
      <c r="S25" s="798">
        <f t="shared" ca="1" si="11"/>
        <v>6163</v>
      </c>
    </row>
    <row r="26" spans="1:45">
      <c r="A26" s="959" t="str">
        <f>面积指标!D5</f>
        <v>和县国用（2018）第0117号</v>
      </c>
      <c r="B26" s="959">
        <f>面积指标!J5</f>
        <v>163615.26</v>
      </c>
      <c r="C26" s="53">
        <f t="shared" ref="C26:C89" si="12">IF(B26="",1,(LOOKUP(B26,$3:$3,$4:$4)-LOOKUP($B$24,$3:$3,$4:$4)+100)/100)</f>
        <v>1.02</v>
      </c>
      <c r="D26" s="961">
        <v>3</v>
      </c>
      <c r="E26" s="53">
        <f t="shared" ref="E26:E89" si="13">(SUMIF($5:$5,D26,$6:$6)-SUMIF($5:$5,$D$24,$6:$6)+100)/100</f>
        <v>0.99</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ca="1" si="20">IF(B26="",0,ROUND($R$24*C26*E26*G26*I26*K26*M26*O26*Q26,0))</f>
        <v>3272</v>
      </c>
      <c r="S26" s="798">
        <f t="shared" ca="1" si="11"/>
        <v>53535</v>
      </c>
    </row>
    <row r="27" spans="1:45">
      <c r="A27" s="959" t="str">
        <f>面积指标!D6</f>
        <v>和县国用（2018）第0118号</v>
      </c>
      <c r="B27" s="959">
        <f>面积指标!J6</f>
        <v>130682.6</v>
      </c>
      <c r="C27" s="53">
        <f t="shared" si="12"/>
        <v>1.01</v>
      </c>
      <c r="D27" s="961">
        <v>2.5</v>
      </c>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ca="1" si="20"/>
        <v>3272</v>
      </c>
      <c r="S27" s="798">
        <f t="shared" ca="1" si="11"/>
        <v>42759</v>
      </c>
    </row>
    <row r="28" spans="1:45">
      <c r="A28" s="959" t="str">
        <f>面积指标!D7</f>
        <v>和县国用（2018）第0119号</v>
      </c>
      <c r="B28" s="959">
        <f>面积指标!J7</f>
        <v>11780.19</v>
      </c>
      <c r="C28" s="53">
        <f t="shared" si="12"/>
        <v>1</v>
      </c>
      <c r="D28" s="961">
        <v>3</v>
      </c>
      <c r="E28" s="53">
        <f t="shared" si="13"/>
        <v>0.99</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ca="1" si="20"/>
        <v>3208</v>
      </c>
      <c r="S28" s="798">
        <f t="shared" ca="1" si="11"/>
        <v>3779</v>
      </c>
    </row>
    <row r="29" spans="1:45">
      <c r="A29" s="959" t="str">
        <f>面积指标!D8</f>
        <v>和县国用（2018）第0120号</v>
      </c>
      <c r="B29" s="959">
        <f>面积指标!J8</f>
        <v>90040.29</v>
      </c>
      <c r="C29" s="53">
        <f t="shared" si="12"/>
        <v>1</v>
      </c>
      <c r="D29" s="961">
        <v>3</v>
      </c>
      <c r="E29" s="53">
        <f t="shared" si="13"/>
        <v>0.99</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ca="1" si="20"/>
        <v>3208</v>
      </c>
      <c r="S29" s="798">
        <f t="shared" ca="1" si="11"/>
        <v>28885</v>
      </c>
    </row>
    <row r="30" spans="1:45">
      <c r="A30" s="959" t="str">
        <f>面积指标!D9</f>
        <v>和县国用（2018）第0121号</v>
      </c>
      <c r="B30" s="959">
        <f>面积指标!J9</f>
        <v>120295.95</v>
      </c>
      <c r="C30" s="53">
        <f t="shared" si="12"/>
        <v>1.01</v>
      </c>
      <c r="D30" s="961">
        <v>2.5</v>
      </c>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ca="1" si="20"/>
        <v>3272</v>
      </c>
      <c r="S30" s="798">
        <f t="shared" ca="1" si="11"/>
        <v>39361</v>
      </c>
    </row>
    <row r="31" spans="1:45">
      <c r="A31" s="959" t="str">
        <f>面积指标!D10</f>
        <v>和县国用（2018）第0126号</v>
      </c>
      <c r="B31" s="959">
        <f>面积指标!J10</f>
        <v>122581.14</v>
      </c>
      <c r="C31" s="53">
        <f t="shared" si="12"/>
        <v>1.01</v>
      </c>
      <c r="D31" s="961">
        <v>3</v>
      </c>
      <c r="E31" s="53">
        <f t="shared" si="13"/>
        <v>0.99</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ca="1" si="20"/>
        <v>3240</v>
      </c>
      <c r="S31" s="798">
        <f t="shared" ca="1" si="11"/>
        <v>39716</v>
      </c>
    </row>
    <row r="32" spans="1:45">
      <c r="A32" s="959" t="str">
        <f>面积指标!D11</f>
        <v>和县国用（2018）第0127号</v>
      </c>
      <c r="B32" s="959">
        <f>面积指标!J11</f>
        <v>90660.24</v>
      </c>
      <c r="C32" s="53">
        <f t="shared" si="12"/>
        <v>1</v>
      </c>
      <c r="D32" s="961">
        <v>3</v>
      </c>
      <c r="E32" s="53">
        <f t="shared" si="13"/>
        <v>0.99</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ca="1" si="20"/>
        <v>3208</v>
      </c>
      <c r="S32" s="798">
        <f t="shared" ca="1" si="11"/>
        <v>29084</v>
      </c>
    </row>
    <row r="33" spans="1:19">
      <c r="A33" s="959" t="str">
        <f>面积指标!D12</f>
        <v>和县国用（2018）第0140号</v>
      </c>
      <c r="B33" s="959">
        <f>面积指标!J12</f>
        <v>78718.5</v>
      </c>
      <c r="C33" s="53">
        <f t="shared" si="12"/>
        <v>1</v>
      </c>
      <c r="D33" s="961">
        <v>3.5</v>
      </c>
      <c r="E33" s="53">
        <f t="shared" si="13"/>
        <v>0.98</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ca="1" si="20"/>
        <v>3175</v>
      </c>
      <c r="S33" s="798">
        <f t="shared" ca="1" si="11"/>
        <v>24993</v>
      </c>
    </row>
    <row r="34" spans="1:19">
      <c r="A34" s="963"/>
      <c r="B34" s="137"/>
      <c r="C34" s="53">
        <f t="shared" si="12"/>
        <v>1</v>
      </c>
      <c r="D34" s="961"/>
      <c r="E34" s="53">
        <f t="shared" si="13"/>
        <v>1.01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1.01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1.01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1.01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1.01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1.01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1.01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1.01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1.01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1.01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1.01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1.01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1.01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1.01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1.01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1.01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1.01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1.01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1.01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1.01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1.01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1.01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1.01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1.01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1.01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1.01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1.01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1.01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1.01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1.01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1.01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1.01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1.01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1.01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1.01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1.01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1.01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1.01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1.01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1.01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1.01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1.01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1.01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1.01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1.01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1.01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1.01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1.01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1.01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1.01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1.01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1.01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1.01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1.01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1.01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1.01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1.01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1.01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1.01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1.01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1.01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1.01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1.01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1.01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1.01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1.01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1.01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1.01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1.01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1.01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1.01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1.01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1.01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1.01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1.01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1.01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1.01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1.01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1.01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1.01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1.01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1.01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1.01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1.01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1.01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1.01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1.01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1.01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1.01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1.01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1.01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1.01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1.01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1.01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1.01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1.01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1.01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1.01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1.01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1.01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1.01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1.01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1.01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1.01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1.01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1.01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1.01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1.01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1.01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1.01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1.01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1.01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1.01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1.01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1.01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1.01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1.01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1.01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1.01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1.01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1.01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1.01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1.01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1.01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1.01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1.01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1.01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1.01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1.01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1.01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1.01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1.01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1.01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1.01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1.01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1.01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1.01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1.01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1.01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1.01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1.01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1.01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1.01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1.01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1.01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1.01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1.01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1.01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1.01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1.01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1.01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1.01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1.01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1.01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1.01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1.01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1.01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1.01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1.01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1.01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1.01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1.01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1.01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1.01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1.01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1.01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1.01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1.01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1.01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1.01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1.01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1.01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1.01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1.01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1.01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1.01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1.01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1.01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1.01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1.01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1.01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1.01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1.01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1.01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1.01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1.01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1.01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1.01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1.01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1.01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1.01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1.01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1.01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1.01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1.01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1.01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1.01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1.01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1.01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1.01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1.01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1.01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1.01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1.01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1.01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1.01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1.01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1.01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1.01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1.01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1.01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1.01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1.01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1.01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1.01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1.01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1.01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1.01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1.01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1.01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1.01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1.01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1.01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1.01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1.01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1.01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1.01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1.01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1.01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1.01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1.01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1.01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1.01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1.01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1.01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1.01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1.01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1.01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1.01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1.01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1.01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1.01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1.01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1.01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1.01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1.01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1.01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1.01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1.01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1.01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1.01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1.01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1.01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1.01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1.01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1.01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1.01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1.01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1.01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1.01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1.01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1.01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1.01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1.01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1.01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1.01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1.01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1.01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1.01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1.01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1.01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1.01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1.01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1.01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1.01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1.01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1.01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1.01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1.01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1.01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1.01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1.01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1.01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1.01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1.01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1.01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1.01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1.01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1.01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1.01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1.01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1.01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1.01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1.01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1.01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1.01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1.01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1.01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1.01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1.01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1.01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1.01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1.01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1.01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1.01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1.01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1.01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1.01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1.01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1.01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1.01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1.01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1.01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1.01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1.01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1.01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1.01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1.01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1.01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1.01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1.01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1.01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1.01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1.01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1.01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1.01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1.01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1.01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1.01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1.01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1.01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1.01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1.01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1.01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1.01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1.01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1.01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1.01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1.01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1.01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1.01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1.01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1.01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1.01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1.01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1.01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1.01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1.01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1.01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1.01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1.01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1.01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1.01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1.01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1.01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1.01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1.01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1.01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1.01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1.01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1.01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1.01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1.01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1.01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1.01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1.01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1.01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1.01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1.01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1.01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1.01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1.01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1.01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1.01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1.01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1.01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1.01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1.01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1.01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1.01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1.01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1.01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1.01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1.01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1.01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1.01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1.01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1.01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1.01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1.01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1.01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1.01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1.01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1.01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1.01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1.01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1.01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1.01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1.01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1.01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1.01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1.01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1.01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1.01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1.01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1.01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1.01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1.01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1.01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1.01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1.01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1.01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1.01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1.01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1.01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1.01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1.01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1.01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1.01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1.01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1.01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1.01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1.01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1.01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1.01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1.01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1.01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1.01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1.01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1.01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1.01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1.01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1.01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1.01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1.01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1.01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1.01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1.01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1.01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1.01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1.01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1.01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1.01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1.01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1.01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1.01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1.01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1.01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1.01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1.01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1.01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1.01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1.01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1.01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1.01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1.01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1.01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1.01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1.01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1.01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1.01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1.01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1.01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1.01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1.01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1.01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1.01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1.01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1.01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1.01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1.01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1.01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1.01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1.01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1.01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1.01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1.01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1.01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1.01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1.01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1.01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1.01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1.01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1.01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1.01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1.01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1.01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1.01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1.01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1.01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1.01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2786</v>
      </c>
      <c r="C1" s="2955">
        <f>项目基本情况!D3</f>
        <v>43656</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2817</v>
      </c>
      <c r="C2" s="2956">
        <f>'数据-取费表'!B22</f>
        <v>1.5</v>
      </c>
      <c r="D2" s="2951" t="s">
        <v>2787</v>
      </c>
      <c r="E2" s="2954">
        <f ca="1">INDIRECT("I"&amp;$I$1)/100</f>
        <v>4.7500000000000001E-2</v>
      </c>
      <c r="G2" s="2891"/>
      <c r="H2" s="2891"/>
      <c r="I2" s="2891" t="s">
        <v>2788</v>
      </c>
      <c r="K2" s="2891"/>
      <c r="L2" s="2891"/>
      <c r="M2" s="2891"/>
      <c r="N2" s="2891" t="s">
        <v>2789</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2819</v>
      </c>
      <c r="C3" s="2953">
        <f>'数据-取费表'!B19</f>
        <v>0</v>
      </c>
      <c r="D3" s="2951" t="s">
        <v>2787</v>
      </c>
      <c r="E3" s="2954">
        <f ca="1">INDIRECT("J"&amp;$J$1)/100</f>
        <v>0</v>
      </c>
      <c r="G3" s="2893" t="s">
        <v>2790</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2818</v>
      </c>
      <c r="C4" s="2954">
        <f ca="1">N4/100</f>
        <v>1.4999999999999999E-2</v>
      </c>
      <c r="G4" s="2899" t="s">
        <v>2791</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2792</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2793</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2794</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2795</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2796</v>
      </c>
      <c r="C10" s="2918"/>
      <c r="D10" s="2918"/>
      <c r="E10" s="2918"/>
      <c r="F10" s="2918"/>
      <c r="G10" s="2918"/>
      <c r="H10" s="2918"/>
      <c r="I10" s="2892"/>
      <c r="J10" s="2892"/>
      <c r="K10" s="2918"/>
      <c r="L10" s="2919" t="s">
        <v>2797</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2798</v>
      </c>
      <c r="C11" s="2923" t="s">
        <v>2799</v>
      </c>
      <c r="D11" s="2924" t="s">
        <v>2800</v>
      </c>
      <c r="E11" s="2925"/>
      <c r="F11" s="2924" t="s">
        <v>2801</v>
      </c>
      <c r="G11" s="2926"/>
      <c r="H11" s="2925"/>
      <c r="I11" s="2924" t="s">
        <v>2802</v>
      </c>
      <c r="J11" s="2925"/>
      <c r="K11" s="2921"/>
      <c r="L11" s="2922" t="s">
        <v>2798</v>
      </c>
      <c r="M11" s="2923" t="s">
        <v>2799</v>
      </c>
      <c r="N11" s="2922" t="s">
        <v>2803</v>
      </c>
      <c r="O11" s="2924" t="s">
        <v>2804</v>
      </c>
      <c r="P11" s="2926"/>
      <c r="Q11" s="2926"/>
      <c r="R11" s="2926"/>
      <c r="S11" s="2926"/>
      <c r="T11" s="2925"/>
      <c r="U11" s="2924" t="s">
        <v>2805</v>
      </c>
      <c r="V11" s="2926"/>
      <c r="W11" s="2925"/>
      <c r="X11" s="2922" t="s">
        <v>2806</v>
      </c>
      <c r="Y11" s="2922" t="s">
        <v>2807</v>
      </c>
      <c r="Z11" s="2922" t="s">
        <v>2808</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2809</v>
      </c>
      <c r="E12" s="2931" t="s">
        <v>2810</v>
      </c>
      <c r="F12" s="2931" t="s">
        <v>2811</v>
      </c>
      <c r="G12" s="2931" t="s">
        <v>2812</v>
      </c>
      <c r="H12" s="2931" t="s">
        <v>2794</v>
      </c>
      <c r="I12" s="2932" t="s">
        <v>2813</v>
      </c>
      <c r="J12" s="2932" t="s">
        <v>2813</v>
      </c>
      <c r="K12" s="2928"/>
      <c r="L12" s="2929"/>
      <c r="M12" s="2930"/>
      <c r="N12" s="2929"/>
      <c r="O12" s="2932" t="s">
        <v>2814</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2815</v>
      </c>
      <c r="C13" s="2936">
        <v>42301</v>
      </c>
      <c r="D13" s="2937">
        <v>4.3499999999999996</v>
      </c>
      <c r="E13" s="2937">
        <v>4.3499999999999996</v>
      </c>
      <c r="F13" s="2937">
        <v>4.75</v>
      </c>
      <c r="G13" s="2937">
        <v>4.75</v>
      </c>
      <c r="H13" s="2937">
        <v>4.9000000000000004</v>
      </c>
      <c r="I13" s="2937">
        <v>2.75</v>
      </c>
      <c r="J13" s="2937">
        <v>3.25</v>
      </c>
      <c r="K13" s="2934"/>
      <c r="L13" s="2935" t="s">
        <v>2815</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2816</v>
      </c>
      <c r="Y42" s="2941" t="s">
        <v>2816</v>
      </c>
      <c r="Z42" s="2941" t="s">
        <v>2816</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2816</v>
      </c>
      <c r="Y43" s="2941" t="s">
        <v>2816</v>
      </c>
      <c r="Z43" s="2941" t="s">
        <v>2816</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2816</v>
      </c>
      <c r="Y44" s="2941" t="s">
        <v>2816</v>
      </c>
      <c r="Z44" s="2941" t="s">
        <v>2816</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2816</v>
      </c>
      <c r="Y45" s="2941" t="s">
        <v>2816</v>
      </c>
      <c r="Z45" s="2941" t="s">
        <v>2816</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2816</v>
      </c>
      <c r="Y46" s="2941" t="s">
        <v>2816</v>
      </c>
      <c r="Z46" s="2941" t="s">
        <v>2816</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2816</v>
      </c>
      <c r="Y47" s="2941" t="s">
        <v>2816</v>
      </c>
      <c r="Z47" s="2941" t="s">
        <v>2816</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2816</v>
      </c>
      <c r="Y48" s="2941" t="s">
        <v>2816</v>
      </c>
      <c r="Z48" s="2941" t="s">
        <v>2816</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2816</v>
      </c>
      <c r="Y49" s="2941" t="s">
        <v>2816</v>
      </c>
      <c r="Z49" s="2941" t="s">
        <v>2816</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2816</v>
      </c>
      <c r="Y50" s="2941" t="s">
        <v>2816</v>
      </c>
      <c r="Z50" s="2941" t="s">
        <v>2816</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2816</v>
      </c>
      <c r="V51" s="2941" t="s">
        <v>2816</v>
      </c>
      <c r="W51" s="2941" t="s">
        <v>2816</v>
      </c>
      <c r="X51" s="2941" t="s">
        <v>2816</v>
      </c>
      <c r="Y51" s="2941" t="s">
        <v>2816</v>
      </c>
      <c r="Z51" s="2941" t="s">
        <v>2816</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2816</v>
      </c>
      <c r="J55" s="2941" t="s">
        <v>2816</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9"/>
  <sheetViews>
    <sheetView topLeftCell="A52" workbookViewId="0">
      <selection activeCell="M77" sqref="M77"/>
    </sheetView>
  </sheetViews>
  <sheetFormatPr defaultRowHeight="13.5"/>
  <sheetData>
    <row r="79" spans="12:12">
      <c r="L79" s="3216" t="s">
        <v>3283</v>
      </c>
    </row>
  </sheetData>
  <phoneticPr fontId="228" type="noConversion"/>
  <hyperlinks>
    <hyperlink ref="L79"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99" sqref="M99"/>
    </sheetView>
  </sheetViews>
  <sheetFormatPr defaultRowHeight="13.5"/>
  <cols>
    <col min="1" max="16384" width="9" style="3214"/>
  </cols>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1" sqref="D41:U46"/>
    </sheetView>
  </sheetViews>
  <sheetFormatPr defaultRowHeight="13.5"/>
  <cols>
    <col min="1" max="16384" width="9" style="3214"/>
  </cols>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2" sqref="K22"/>
    </sheetView>
  </sheetViews>
  <sheetFormatPr defaultRowHeight="13.5"/>
  <cols>
    <col min="1" max="16384" width="9" style="3214"/>
  </cols>
  <sheetData/>
  <phoneticPr fontId="22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85" sqref="J8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45" zoomScaleNormal="145" workbookViewId="0">
      <selection activeCell="F11" sqref="F2:F11"/>
    </sheetView>
  </sheetViews>
  <sheetFormatPr defaultRowHeight="13.5"/>
  <cols>
    <col min="1" max="1" width="17.375" customWidth="1"/>
    <col min="2" max="2" width="17" customWidth="1"/>
    <col min="3" max="6" width="12.75" customWidth="1"/>
    <col min="8" max="8" width="12.75" bestFit="1" customWidth="1"/>
  </cols>
  <sheetData>
    <row r="1" spans="1:8" ht="32.25" thickBot="1">
      <c r="A1" s="3223" t="s">
        <v>3302</v>
      </c>
      <c r="B1" s="3224" t="s">
        <v>3303</v>
      </c>
      <c r="C1" s="3224" t="s">
        <v>3304</v>
      </c>
      <c r="D1" s="3224" t="s">
        <v>3305</v>
      </c>
      <c r="E1" s="3225" t="s">
        <v>2031</v>
      </c>
    </row>
    <row r="2" spans="1:8" ht="14.25" thickBot="1">
      <c r="A2" s="3226" t="s">
        <v>3316</v>
      </c>
      <c r="B2" s="3227" t="s">
        <v>3317</v>
      </c>
      <c r="C2" s="3227" t="s">
        <v>3318</v>
      </c>
      <c r="D2" s="3227" t="s">
        <v>3306</v>
      </c>
      <c r="E2" s="3228">
        <v>2.5</v>
      </c>
      <c r="F2" s="3228" t="s">
        <v>3339</v>
      </c>
      <c r="H2" s="3229"/>
    </row>
    <row r="3" spans="1:8" ht="14.25" thickBot="1">
      <c r="A3" s="3226" t="s">
        <v>3319</v>
      </c>
      <c r="B3" s="3227" t="s">
        <v>3317</v>
      </c>
      <c r="C3" s="3227" t="s">
        <v>3320</v>
      </c>
      <c r="D3" s="3227" t="s">
        <v>3307</v>
      </c>
      <c r="E3" s="3228">
        <v>3</v>
      </c>
      <c r="F3" s="3228" t="s">
        <v>3340</v>
      </c>
    </row>
    <row r="4" spans="1:8" ht="14.25" thickBot="1">
      <c r="A4" s="3226" t="s">
        <v>3321</v>
      </c>
      <c r="B4" s="3227" t="s">
        <v>3317</v>
      </c>
      <c r="C4" s="3227" t="s">
        <v>3322</v>
      </c>
      <c r="D4" s="3227" t="s">
        <v>3308</v>
      </c>
      <c r="E4" s="3228">
        <v>3</v>
      </c>
      <c r="F4" s="3228" t="s">
        <v>3340</v>
      </c>
    </row>
    <row r="5" spans="1:8" ht="14.25" thickBot="1">
      <c r="A5" s="3226" t="s">
        <v>3323</v>
      </c>
      <c r="B5" s="3227" t="s">
        <v>3317</v>
      </c>
      <c r="C5" s="3227" t="s">
        <v>3324</v>
      </c>
      <c r="D5" s="3228" t="s">
        <v>3309</v>
      </c>
      <c r="E5" s="3228">
        <v>2.5</v>
      </c>
      <c r="F5" s="3228" t="s">
        <v>3339</v>
      </c>
    </row>
    <row r="6" spans="1:8" ht="14.25" thickBot="1">
      <c r="A6" s="3226" t="s">
        <v>3325</v>
      </c>
      <c r="B6" s="3227" t="s">
        <v>3317</v>
      </c>
      <c r="C6" s="3227" t="s">
        <v>3326</v>
      </c>
      <c r="D6" s="3228" t="s">
        <v>3310</v>
      </c>
      <c r="E6" s="3228">
        <v>3</v>
      </c>
      <c r="F6" s="3228" t="s">
        <v>3340</v>
      </c>
    </row>
    <row r="7" spans="1:8" ht="14.25" thickBot="1">
      <c r="A7" s="3226" t="s">
        <v>3327</v>
      </c>
      <c r="B7" s="3227" t="s">
        <v>3317</v>
      </c>
      <c r="C7" s="3227" t="s">
        <v>3328</v>
      </c>
      <c r="D7" s="3228" t="s">
        <v>3311</v>
      </c>
      <c r="E7" s="3228">
        <v>3</v>
      </c>
      <c r="F7" s="3228" t="s">
        <v>3340</v>
      </c>
    </row>
    <row r="8" spans="1:8" ht="14.25" thickBot="1">
      <c r="A8" s="3226" t="s">
        <v>3329</v>
      </c>
      <c r="B8" s="3227" t="s">
        <v>3317</v>
      </c>
      <c r="C8" s="3227" t="s">
        <v>3330</v>
      </c>
      <c r="D8" s="3228" t="s">
        <v>3312</v>
      </c>
      <c r="E8" s="3228">
        <v>2.5</v>
      </c>
      <c r="F8" s="3228" t="s">
        <v>3339</v>
      </c>
    </row>
    <row r="9" spans="1:8" ht="14.25" thickBot="1">
      <c r="A9" s="3226" t="s">
        <v>3331</v>
      </c>
      <c r="B9" s="3227" t="s">
        <v>3332</v>
      </c>
      <c r="C9" s="3227" t="s">
        <v>3333</v>
      </c>
      <c r="D9" s="3228" t="s">
        <v>3313</v>
      </c>
      <c r="E9" s="3228">
        <v>3</v>
      </c>
      <c r="F9" s="3228" t="s">
        <v>3340</v>
      </c>
    </row>
    <row r="10" spans="1:8" ht="14.25" thickBot="1">
      <c r="A10" s="3226" t="s">
        <v>3334</v>
      </c>
      <c r="B10" s="3227" t="s">
        <v>3332</v>
      </c>
      <c r="C10" s="3227" t="s">
        <v>3335</v>
      </c>
      <c r="D10" s="3228" t="s">
        <v>3314</v>
      </c>
      <c r="E10" s="3228">
        <v>3</v>
      </c>
      <c r="F10" s="3228" t="s">
        <v>3340</v>
      </c>
    </row>
    <row r="11" spans="1:8" ht="14.25" thickBot="1">
      <c r="A11" s="3226" t="s">
        <v>3336</v>
      </c>
      <c r="B11" s="3227" t="s">
        <v>3337</v>
      </c>
      <c r="C11" s="3227" t="s">
        <v>3338</v>
      </c>
      <c r="D11" s="3228" t="s">
        <v>3315</v>
      </c>
      <c r="E11" s="3228">
        <v>3.5</v>
      </c>
      <c r="F11" s="3228" t="s">
        <v>3341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2037</v>
      </c>
      <c r="B1" s="3243"/>
      <c r="C1" s="3243"/>
      <c r="D1" s="3243"/>
      <c r="E1" s="3243"/>
      <c r="F1" s="3243"/>
      <c r="G1" s="3243"/>
      <c r="H1" s="3243"/>
      <c r="I1" s="3243"/>
      <c r="J1" s="3243"/>
      <c r="K1" s="3243"/>
      <c r="L1" s="3243"/>
      <c r="M1" s="3243"/>
      <c r="N1" s="3243"/>
      <c r="O1" s="3243"/>
      <c r="P1" s="3243"/>
      <c r="Q1" s="3243"/>
      <c r="R1" s="3243"/>
    </row>
    <row r="2" spans="1:18">
      <c r="A2" s="1789" t="s">
        <v>2039</v>
      </c>
      <c r="B2" s="1789"/>
      <c r="C2" s="1789"/>
      <c r="D2" s="1789"/>
      <c r="E2" s="1789"/>
      <c r="F2" s="1789"/>
      <c r="G2" s="1789"/>
      <c r="H2" s="1789"/>
      <c r="I2" s="1790"/>
      <c r="J2" s="1790"/>
      <c r="K2" s="1791" t="str">
        <f>"估价期日："&amp;TEXT(项目基本情况!D3,"yyyy年m月d日;;")</f>
        <v>估价期日：2019年7月10日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4" t="s">
        <v>2028</v>
      </c>
      <c r="B3" s="3244" t="s">
        <v>2729</v>
      </c>
      <c r="C3" s="3245" t="s">
        <v>2029</v>
      </c>
      <c r="D3" s="3244" t="s">
        <v>2733</v>
      </c>
      <c r="E3" s="3239" t="s">
        <v>2030</v>
      </c>
      <c r="F3" s="3239"/>
      <c r="G3" s="3239"/>
      <c r="H3" s="3239" t="s">
        <v>2031</v>
      </c>
      <c r="I3" s="3239"/>
      <c r="J3" s="3239"/>
      <c r="K3" s="3245" t="s">
        <v>2032</v>
      </c>
      <c r="L3" s="3245" t="s">
        <v>2033</v>
      </c>
      <c r="M3" s="3244" t="s">
        <v>2730</v>
      </c>
      <c r="N3" s="3246" t="str">
        <f>"（分摊）"&amp;项目基本情况!B16&amp;"国有建设用地使用权面积/㎡"</f>
        <v>（分摊）出让国有建设用地使用权面积/㎡</v>
      </c>
      <c r="O3" s="3244" t="s">
        <v>2062</v>
      </c>
      <c r="P3" s="3245" t="s">
        <v>2042</v>
      </c>
      <c r="Q3" s="3245" t="s">
        <v>2063</v>
      </c>
      <c r="R3" s="3245" t="s">
        <v>2034</v>
      </c>
    </row>
    <row r="4" spans="1:18" ht="36.75" customHeight="1">
      <c r="A4" s="3244"/>
      <c r="B4" s="3244"/>
      <c r="C4" s="3245"/>
      <c r="D4" s="3244"/>
      <c r="E4" s="2610" t="s">
        <v>2041</v>
      </c>
      <c r="F4" s="2610" t="s">
        <v>2742</v>
      </c>
      <c r="G4" s="2610" t="s">
        <v>2035</v>
      </c>
      <c r="H4" s="2610" t="s">
        <v>2036</v>
      </c>
      <c r="I4" s="2610" t="s">
        <v>2743</v>
      </c>
      <c r="J4" s="2610" t="s">
        <v>2035</v>
      </c>
      <c r="K4" s="3245"/>
      <c r="L4" s="3245"/>
      <c r="M4" s="3244"/>
      <c r="N4" s="3246"/>
      <c r="O4" s="3244"/>
      <c r="P4" s="3245"/>
      <c r="Q4" s="3245"/>
      <c r="R4" s="3245"/>
    </row>
    <row r="5" spans="1:18" ht="135" customHeight="1">
      <c r="A5" s="1925" t="s">
        <v>2653</v>
      </c>
      <c r="B5" s="2819" t="s">
        <v>2651</v>
      </c>
      <c r="C5" s="2609">
        <v>22</v>
      </c>
      <c r="D5" s="2608" t="s">
        <v>2652</v>
      </c>
      <c r="E5" s="1792" t="str">
        <f>项目基本情况!B12</f>
        <v>住宅</v>
      </c>
      <c r="F5" s="2608">
        <v>258</v>
      </c>
      <c r="G5" s="1792" t="str">
        <f>项目基本情况!B13</f>
        <v>住宅</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27011.59</v>
      </c>
      <c r="O5" s="1792">
        <f>项目基本情况!C21</f>
        <v>67528.97</v>
      </c>
      <c r="P5" s="1792">
        <f ca="1">结果表!E42</f>
        <v>8099</v>
      </c>
      <c r="Q5" s="1792">
        <f ca="1">结果表!D42</f>
        <v>3240</v>
      </c>
      <c r="R5" s="1793">
        <f ca="1">结果表!C42</f>
        <v>21878</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794">
        <f ca="1">结果表!O39</f>
        <v>21878</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794" t="str">
        <f>结果表!O40</f>
        <v>——</v>
      </c>
    </row>
    <row r="8" spans="1:18">
      <c r="A8" s="3240">
        <f>IF(项目基本情况!B9="市场价格","——",项目基本情况!E9)</f>
        <v>0</v>
      </c>
      <c r="B8" s="3241"/>
      <c r="C8" s="3241"/>
      <c r="D8" s="3241"/>
      <c r="E8" s="3241"/>
      <c r="F8" s="3241"/>
      <c r="G8" s="3241"/>
      <c r="H8" s="3241"/>
      <c r="I8" s="3241"/>
      <c r="J8" s="3241"/>
      <c r="K8" s="3241"/>
      <c r="L8" s="3241"/>
      <c r="M8" s="3241"/>
      <c r="N8" s="3241"/>
      <c r="O8" s="3241"/>
      <c r="P8" s="3241"/>
      <c r="Q8" s="3242"/>
      <c r="R8" s="1794" t="str">
        <f>结果表!O41</f>
        <v>——</v>
      </c>
    </row>
    <row r="9" spans="1:18">
      <c r="A9" s="1795" t="s">
        <v>2040</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2027</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8" t="s">
        <v>2064</v>
      </c>
      <c r="B1" s="3248"/>
      <c r="C1" s="3248"/>
      <c r="D1" s="3248"/>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47" t="s">
        <v>2065</v>
      </c>
      <c r="B5" s="3247"/>
      <c r="C5" s="3247"/>
      <c r="D5" s="3247"/>
    </row>
    <row r="6" spans="1:4">
      <c r="A6" s="3248" t="s">
        <v>2043</v>
      </c>
      <c r="B6" s="3248"/>
      <c r="C6" s="3248"/>
      <c r="D6" s="3248"/>
    </row>
    <row r="7" spans="1:4" ht="33" customHeight="1">
      <c r="A7" s="3248" t="s">
        <v>2574</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v>
      </c>
      <c r="B11" s="3250"/>
      <c r="C11" s="3250"/>
      <c r="D11" s="3250"/>
    </row>
    <row r="12" spans="1:4" ht="168" customHeight="1">
      <c r="A12" s="3247" t="s">
        <v>2067</v>
      </c>
      <c r="B12" s="3247"/>
      <c r="C12" s="3247"/>
      <c r="D12" s="3247"/>
    </row>
    <row r="13" spans="1:4">
      <c r="A13" s="3251" t="s">
        <v>2744</v>
      </c>
      <c r="B13" s="3251"/>
      <c r="C13" s="3251"/>
      <c r="D13" s="3251"/>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2700</v>
      </c>
      <c r="B17" s="3248"/>
      <c r="C17" s="3248"/>
      <c r="D17" s="3248"/>
    </row>
    <row r="18" spans="1:4">
      <c r="A18" s="3248" t="s">
        <v>2692</v>
      </c>
      <c r="B18" s="3248"/>
      <c r="C18" s="3248"/>
      <c r="D18" s="3248"/>
    </row>
    <row r="19" spans="1:4">
      <c r="A19" s="2820" t="s">
        <v>2693</v>
      </c>
      <c r="B19" s="2820" t="s">
        <v>2694</v>
      </c>
      <c r="C19" s="2820" t="s">
        <v>2695</v>
      </c>
      <c r="D19" s="2820" t="s">
        <v>2696</v>
      </c>
    </row>
    <row r="20" spans="1:4">
      <c r="A20" s="2820" t="str">
        <f>项目基本情况!B4</f>
        <v>王鹏</v>
      </c>
      <c r="B20" s="2820">
        <f ca="1">项目基本情况!C4</f>
        <v>2002110030</v>
      </c>
      <c r="C20" s="2822"/>
      <c r="D20" s="1782" t="s">
        <v>2701</v>
      </c>
    </row>
    <row r="21" spans="1:4">
      <c r="A21" s="2820" t="str">
        <f>项目基本情况!D4</f>
        <v>郑燚</v>
      </c>
      <c r="B21" s="2820">
        <f ca="1">项目基本情况!E4</f>
        <v>2014110011</v>
      </c>
      <c r="C21" s="2822"/>
      <c r="D21" s="1782" t="s">
        <v>2702</v>
      </c>
    </row>
    <row r="23" spans="1:4">
      <c r="A23" s="3248" t="s">
        <v>2697</v>
      </c>
      <c r="B23" s="3248"/>
      <c r="C23" s="3248"/>
      <c r="D23" s="3248"/>
    </row>
    <row r="24" spans="1:4">
      <c r="A24" s="2820" t="s">
        <v>2693</v>
      </c>
      <c r="B24" s="2820" t="s">
        <v>2698</v>
      </c>
      <c r="C24" s="2820" t="s">
        <v>2695</v>
      </c>
      <c r="D24" s="2820" t="s">
        <v>2696</v>
      </c>
    </row>
    <row r="25" spans="1:4">
      <c r="A25" s="2823" t="s">
        <v>2699</v>
      </c>
      <c r="B25" s="2820" t="s">
        <v>951</v>
      </c>
      <c r="C25" s="2822"/>
      <c r="D25" s="1782" t="s">
        <v>2702</v>
      </c>
    </row>
    <row r="29" spans="1:4">
      <c r="D29" s="2821" t="s">
        <v>2038</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59" t="s">
        <v>53</v>
      </c>
      <c r="B15" s="3260" t="s">
        <v>845</v>
      </c>
      <c r="C15" s="3256"/>
    </row>
    <row r="16" spans="1:7" ht="14.25">
      <c r="A16" s="3259"/>
      <c r="B16" s="3257" t="s">
        <v>54</v>
      </c>
      <c r="C16" s="1166" t="s">
        <v>53</v>
      </c>
    </row>
    <row r="17" spans="1:3" ht="14.25">
      <c r="A17" s="3259"/>
      <c r="B17" s="3257"/>
      <c r="C17" s="1166" t="s">
        <v>55</v>
      </c>
    </row>
    <row r="18" spans="1:3" ht="14.25">
      <c r="A18" s="3259"/>
      <c r="B18" s="3257"/>
      <c r="C18" s="1166" t="s">
        <v>56</v>
      </c>
    </row>
    <row r="19" spans="1:3" ht="14.25">
      <c r="A19" s="3259"/>
      <c r="B19" s="3255" t="s">
        <v>57</v>
      </c>
      <c r="C19" s="3256"/>
    </row>
    <row r="20" spans="1:3" ht="14.25">
      <c r="A20" s="1167" t="s">
        <v>58</v>
      </c>
      <c r="B20" s="1168"/>
      <c r="C20" s="1169"/>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0" t="s">
        <v>836</v>
      </c>
    </row>
    <row r="25" spans="1:3" ht="14.25">
      <c r="A25" s="3258"/>
      <c r="B25" s="3262"/>
      <c r="C25" s="1170" t="s">
        <v>837</v>
      </c>
    </row>
    <row r="26" spans="1:3" ht="14.25">
      <c r="A26" s="3258"/>
      <c r="B26" s="3262"/>
      <c r="C26" s="1170" t="s">
        <v>838</v>
      </c>
    </row>
    <row r="27" spans="1:3" ht="14.25">
      <c r="A27" s="3258"/>
      <c r="B27" s="3262"/>
      <c r="C27" s="1170" t="s">
        <v>839</v>
      </c>
    </row>
    <row r="28" spans="1:3" ht="14.25">
      <c r="A28" s="3258"/>
      <c r="B28" s="3262"/>
      <c r="C28" s="1170" t="s">
        <v>840</v>
      </c>
    </row>
    <row r="29" spans="1:3" ht="14.25">
      <c r="A29" s="3258"/>
      <c r="B29" s="3262"/>
      <c r="C29" s="1170" t="s">
        <v>841</v>
      </c>
    </row>
    <row r="30" spans="1:3" ht="14.25">
      <c r="A30" s="3258"/>
      <c r="B30" s="3262"/>
      <c r="C30" s="1170" t="s">
        <v>842</v>
      </c>
    </row>
    <row r="31" spans="1:3" ht="14.25">
      <c r="A31" s="3258"/>
      <c r="B31" s="3262"/>
      <c r="C31" s="1170" t="s">
        <v>843</v>
      </c>
    </row>
    <row r="32" spans="1:3" ht="14.25">
      <c r="A32" s="3258"/>
      <c r="B32" s="3262"/>
      <c r="C32" s="1170" t="s">
        <v>1645</v>
      </c>
    </row>
    <row r="33" spans="1:3" ht="14.25">
      <c r="A33" s="3258"/>
      <c r="B33" s="3252" t="s">
        <v>1651</v>
      </c>
      <c r="C33" s="1170" t="s">
        <v>1646</v>
      </c>
    </row>
    <row r="34" spans="1:3" ht="14.25">
      <c r="A34" s="3258"/>
      <c r="B34" s="3253"/>
      <c r="C34" s="1175" t="s">
        <v>1647</v>
      </c>
    </row>
    <row r="35" spans="1:3" ht="14.25">
      <c r="A35" s="3258"/>
      <c r="B35" s="3253"/>
      <c r="C35" s="1176" t="s">
        <v>1648</v>
      </c>
    </row>
    <row r="36" spans="1:3" ht="14.25">
      <c r="A36" s="3258"/>
      <c r="B36" s="3253"/>
      <c r="C36" s="1176" t="s">
        <v>1649</v>
      </c>
    </row>
    <row r="37" spans="1:3" ht="14.25">
      <c r="A37" s="3258"/>
      <c r="B37" s="3254"/>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1906</v>
      </c>
      <c r="B2" s="3123">
        <f ca="1">TODAY()</f>
        <v>43672</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f ca="1">IF(C4&lt;B2,"已过期",1119970066)</f>
        <v>1119970066</v>
      </c>
      <c r="C4" s="3129">
        <v>43849</v>
      </c>
      <c r="D4" s="3127" t="s">
        <v>1913</v>
      </c>
      <c r="E4" s="3127">
        <f ca="1">IF(F4&lt;B2,"已过期",96010014)</f>
        <v>96010014</v>
      </c>
      <c r="F4" s="3130">
        <v>47118</v>
      </c>
    </row>
    <row r="5" spans="1:6" ht="20.25" customHeight="1">
      <c r="A5" s="3127" t="s">
        <v>1914</v>
      </c>
      <c r="B5" s="3127">
        <f ca="1">IF(C5&lt;B2,"已过期",1119970074)</f>
        <v>1119970074</v>
      </c>
      <c r="C5" s="3129">
        <v>43849</v>
      </c>
      <c r="D5" s="3127" t="s">
        <v>1914</v>
      </c>
      <c r="E5" s="3127">
        <f ca="1">IF(F5&lt;B2,"已过期",2002110027)</f>
        <v>2002110027</v>
      </c>
      <c r="F5" s="3130">
        <v>46752</v>
      </c>
    </row>
    <row r="6" spans="1:6" ht="20.25" customHeight="1">
      <c r="A6" s="3127" t="s">
        <v>1915</v>
      </c>
      <c r="B6" s="3127">
        <f ca="1">IF(C6&lt;B2,"已过期",1119970111)</f>
        <v>1119970111</v>
      </c>
      <c r="C6" s="3129">
        <v>43849</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43849</v>
      </c>
      <c r="D8" s="3127" t="s">
        <v>1917</v>
      </c>
      <c r="E8" s="3127">
        <f ca="1">IF(F8&lt;B2,"已过期",2000110082)</f>
        <v>2000110082</v>
      </c>
      <c r="F8" s="3130">
        <v>46387</v>
      </c>
    </row>
    <row r="9" spans="1:6" ht="20.25" customHeight="1">
      <c r="A9" s="3127" t="s">
        <v>1918</v>
      </c>
      <c r="B9" s="3127">
        <f ca="1">IF(C9&lt;B2,"已过期",1419970001)</f>
        <v>1419970001</v>
      </c>
      <c r="C9" s="3129">
        <v>43867</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43814</v>
      </c>
      <c r="D13" s="3127" t="s">
        <v>1921</v>
      </c>
      <c r="E13" s="3127">
        <f ca="1">IF(F13&lt;B2,"已过期",2014110011)</f>
        <v>2014110011</v>
      </c>
      <c r="F13" s="3130">
        <v>49302</v>
      </c>
    </row>
    <row r="14" spans="1:6" ht="20.25" customHeight="1">
      <c r="A14" s="3127" t="s">
        <v>2975</v>
      </c>
      <c r="B14" s="3127">
        <f ca="1">IF(C14&lt;B2,"已过期",1120040230)</f>
        <v>1120040230</v>
      </c>
      <c r="C14" s="3131">
        <v>43835</v>
      </c>
      <c r="D14" s="3132" t="s">
        <v>2976</v>
      </c>
      <c r="E14" s="3127">
        <f ca="1">IF(F14&lt;B2,"已过期",98030020)</f>
        <v>98030020</v>
      </c>
      <c r="F14" s="3130">
        <v>47118</v>
      </c>
    </row>
    <row r="15" spans="1:6" ht="20.25" customHeight="1">
      <c r="A15" s="3127" t="s">
        <v>2573</v>
      </c>
      <c r="B15" s="3127">
        <f ca="1">IF(C15&lt;B2,"已过期",1120070085)</f>
        <v>1120070085</v>
      </c>
      <c r="C15" s="3131">
        <v>43814</v>
      </c>
      <c r="D15" s="3127" t="s">
        <v>2977</v>
      </c>
      <c r="E15" s="3127">
        <f ca="1">IF(F15&lt;B2,"已过期",2004110128)</f>
        <v>2004110128</v>
      </c>
      <c r="F15" s="3133">
        <v>47118</v>
      </c>
    </row>
    <row r="16" spans="1:6" ht="20.25" customHeight="1">
      <c r="A16" s="3127" t="s">
        <v>1922</v>
      </c>
      <c r="B16" s="3127">
        <f ca="1">IF(C16&lt;B2,"已过期",1120140022)</f>
        <v>1120140022</v>
      </c>
      <c r="C16" s="3129">
        <v>44029</v>
      </c>
      <c r="D16" s="3127" t="s">
        <v>2978</v>
      </c>
      <c r="E16" s="3127">
        <f ca="1">IF(F16&lt;B2,"已过期",2008110059)</f>
        <v>2008110059</v>
      </c>
      <c r="F16" s="3130">
        <v>47177</v>
      </c>
    </row>
    <row r="17" spans="1:7" ht="20.25" customHeight="1">
      <c r="A17" s="3127"/>
      <c r="B17" s="3127"/>
      <c r="C17" s="3129"/>
      <c r="D17" s="3132" t="s">
        <v>2979</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1923</v>
      </c>
      <c r="E21" s="3127">
        <f ca="1">IF(F21&lt;B2,"已过期",2011110090)</f>
        <v>2011110090</v>
      </c>
      <c r="F21" s="3130">
        <v>48302</v>
      </c>
    </row>
    <row r="22" spans="1:7" ht="20.25" customHeight="1">
      <c r="A22" s="3127" t="s">
        <v>1924</v>
      </c>
      <c r="B22" s="3127">
        <f ca="1">IF(C22&lt;B2,"已过期",1120020033)</f>
        <v>1120020033</v>
      </c>
      <c r="C22" s="3129">
        <v>44339</v>
      </c>
      <c r="D22" s="3127" t="s">
        <v>1924</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63" t="s">
        <v>1925</v>
      </c>
      <c r="B25" s="3263"/>
      <c r="C25" s="3263"/>
      <c r="D25" s="3263"/>
      <c r="E25" s="3263"/>
      <c r="F25" s="3263"/>
      <c r="G25" s="3263"/>
    </row>
    <row r="26" spans="1:7" ht="20.25" customHeight="1">
      <c r="A26" s="3264" t="s">
        <v>1926</v>
      </c>
      <c r="B26" s="3264"/>
      <c r="C26" s="3264"/>
      <c r="D26" s="3264" t="s">
        <v>1927</v>
      </c>
      <c r="E26" s="3264"/>
      <c r="F26" s="3264"/>
    </row>
    <row r="27" spans="1:7" s="3122" customFormat="1" ht="20.25" customHeight="1">
      <c r="A27" s="3136" t="s">
        <v>1928</v>
      </c>
      <c r="B27" s="3137" t="s">
        <v>1929</v>
      </c>
      <c r="C27" s="3137" t="s">
        <v>1930</v>
      </c>
      <c r="D27" s="3127" t="s">
        <v>1928</v>
      </c>
      <c r="E27" s="3137" t="s">
        <v>1929</v>
      </c>
      <c r="F27" s="3137" t="s">
        <v>1930</v>
      </c>
    </row>
    <row r="28" spans="1:7" s="3122" customFormat="1" ht="20.25" customHeight="1">
      <c r="A28" s="3138" t="s">
        <v>1931</v>
      </c>
      <c r="B28" s="3138" t="s">
        <v>1932</v>
      </c>
      <c r="C28" s="3130">
        <v>43725</v>
      </c>
      <c r="D28" s="3138" t="s">
        <v>1933</v>
      </c>
      <c r="E28" s="3138" t="s">
        <v>1934</v>
      </c>
      <c r="F28" s="3139">
        <v>44377</v>
      </c>
    </row>
    <row r="29" spans="1:7" s="3122" customFormat="1" ht="20.25" customHeight="1">
      <c r="A29" s="3138"/>
      <c r="B29" s="3138"/>
      <c r="C29" s="3140"/>
      <c r="D29" s="3138" t="s">
        <v>1935</v>
      </c>
      <c r="E29" s="3138" t="s">
        <v>2987</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2544</v>
      </c>
      <c r="R1" s="2543"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59" t="s">
        <v>2949</v>
      </c>
      <c r="C18" s="1539"/>
    </row>
    <row r="19" spans="1:3">
      <c r="A19" s="8" t="s">
        <v>120</v>
      </c>
      <c r="B19" s="3059" t="s">
        <v>2957</v>
      </c>
      <c r="C19" s="1539"/>
    </row>
    <row r="20" spans="1:3">
      <c r="A20" s="8" t="s">
        <v>121</v>
      </c>
      <c r="B20" s="8" t="s">
        <v>1640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拟使用安徽省马鞍山市和县乌江镇四联社区十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65"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c r="D53" s="1749"/>
      <c r="E53" s="1749"/>
    </row>
    <row r="54" spans="1:5">
      <c r="A54" s="3265"/>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5"/>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5"/>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5"/>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2048</v>
      </c>
      <c r="B58" s="1748"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357</vt:i4>
      </vt:variant>
    </vt:vector>
  </HeadingPairs>
  <TitlesOfParts>
    <vt:vector size="4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和县土地案例</vt:lpstr>
      <vt:lpstr>含山县土地案例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二手房售价</vt:lpstr>
      <vt:lpstr>城镇基础设施费</vt:lpstr>
      <vt:lpstr>销售均价</vt:lpstr>
      <vt:lpstr>商业</vt:lpstr>
      <vt:lpstr>Sheet1</vt:lpstr>
      <vt:lpstr>八级</vt:lpstr>
      <vt:lpstr>和县土地案例!办公层高</vt:lpstr>
      <vt:lpstr>面积指标!办公层高</vt:lpstr>
      <vt:lpstr>办公层高</vt:lpstr>
      <vt:lpstr>和县土地案例!办公朝向</vt:lpstr>
      <vt:lpstr>面积指标!办公朝向</vt:lpstr>
      <vt:lpstr>办公朝向</vt:lpstr>
      <vt:lpstr>和县土地案例!办公道路级别</vt:lpstr>
      <vt:lpstr>面积指标!办公道路级别</vt:lpstr>
      <vt:lpstr>办公道路级别</vt:lpstr>
      <vt:lpstr>和县土地案例!办公公共部分装修</vt:lpstr>
      <vt:lpstr>面积指标!办公公共部分装修</vt:lpstr>
      <vt:lpstr>办公公共部分装修</vt:lpstr>
      <vt:lpstr>和县土地案例!办公基础设施水平</vt:lpstr>
      <vt:lpstr>面积指标!办公基础设施水平</vt:lpstr>
      <vt:lpstr>办公基础设施水平</vt:lpstr>
      <vt:lpstr>和县土地案例!办公集聚程度</vt:lpstr>
      <vt:lpstr>面积指标!办公集聚程度</vt:lpstr>
      <vt:lpstr>办公集聚程度</vt:lpstr>
      <vt:lpstr>和县土地案例!办公建筑结构</vt:lpstr>
      <vt:lpstr>面积指标!办公建筑结构</vt:lpstr>
      <vt:lpstr>办公建筑结构</vt:lpstr>
      <vt:lpstr>和县土地案例!办公建筑类型</vt:lpstr>
      <vt:lpstr>面积指标!办公建筑类型</vt:lpstr>
      <vt:lpstr>办公建筑类型</vt:lpstr>
      <vt:lpstr>和县土地案例!办公交易情况</vt:lpstr>
      <vt:lpstr>面积指标!办公交易情况</vt:lpstr>
      <vt:lpstr>办公交易情况</vt:lpstr>
      <vt:lpstr>和县土地案例!办公楼层</vt:lpstr>
      <vt:lpstr>面积指标!办公楼层</vt:lpstr>
      <vt:lpstr>办公楼层</vt:lpstr>
      <vt:lpstr>和县土地案例!办公内部装修</vt:lpstr>
      <vt:lpstr>面积指标!办公内部装修</vt:lpstr>
      <vt:lpstr>办公内部装修</vt:lpstr>
      <vt:lpstr>和县土地案例!办公物业管理</vt:lpstr>
      <vt:lpstr>面积指标!办公物业管理</vt:lpstr>
      <vt:lpstr>办公物业管理</vt:lpstr>
      <vt:lpstr>和县土地案例!办公用途</vt:lpstr>
      <vt:lpstr>面积指标!办公用途</vt:lpstr>
      <vt:lpstr>办公用途</vt:lpstr>
      <vt:lpstr>和县土地案例!仓储公共部分装修</vt:lpstr>
      <vt:lpstr>面积指标!仓储公共部分装修</vt:lpstr>
      <vt:lpstr>仓储公共部分装修</vt:lpstr>
      <vt:lpstr>和县土地案例!仓储交易情况</vt:lpstr>
      <vt:lpstr>面积指标!仓储交易情况</vt:lpstr>
      <vt:lpstr>仓储交易情况</vt:lpstr>
      <vt:lpstr>和县土地案例!仓储楼层</vt:lpstr>
      <vt:lpstr>面积指标!仓储楼层</vt:lpstr>
      <vt:lpstr>仓储楼层</vt:lpstr>
      <vt:lpstr>和县土地案例!仓储物业等级</vt:lpstr>
      <vt:lpstr>面积指标!仓储物业等级</vt:lpstr>
      <vt:lpstr>仓储物业等级</vt:lpstr>
      <vt:lpstr>和县土地案例!仓储用途</vt:lpstr>
      <vt:lpstr>面积指标!仓储用途</vt:lpstr>
      <vt:lpstr>仓储用途</vt:lpstr>
      <vt:lpstr>和县土地案例!产业集聚程度</vt:lpstr>
      <vt:lpstr>面积指标!产业集聚程度</vt:lpstr>
      <vt:lpstr>产业集聚程度</vt:lpstr>
      <vt:lpstr>和县土地案例!车位公共部分装修</vt:lpstr>
      <vt:lpstr>面积指标!车位公共部分装修</vt:lpstr>
      <vt:lpstr>车位公共部分装修</vt:lpstr>
      <vt:lpstr>和县土地案例!车位交易情况</vt:lpstr>
      <vt:lpstr>面积指标!车位交易情况</vt:lpstr>
      <vt:lpstr>车位交易情况</vt:lpstr>
      <vt:lpstr>和县土地案例!车位类型</vt:lpstr>
      <vt:lpstr>面积指标!车位类型</vt:lpstr>
      <vt:lpstr>车位类型</vt:lpstr>
      <vt:lpstr>和县土地案例!车位楼层</vt:lpstr>
      <vt:lpstr>面积指标!车位楼层</vt:lpstr>
      <vt:lpstr>车位楼层</vt:lpstr>
      <vt:lpstr>和县土地案例!车位配套类型</vt:lpstr>
      <vt:lpstr>面积指标!车位配套类型</vt:lpstr>
      <vt:lpstr>车位配套类型</vt:lpstr>
      <vt:lpstr>和县土地案例!车位物业等级</vt:lpstr>
      <vt:lpstr>面积指标!车位物业等级</vt:lpstr>
      <vt:lpstr>车位物业等级</vt:lpstr>
      <vt:lpstr>和县土地案例!车位用途</vt:lpstr>
      <vt:lpstr>面积指标!车位用途</vt:lpstr>
      <vt:lpstr>车位用途</vt:lpstr>
      <vt:lpstr>和县土地案例!城镇土地纳税等级分级范围</vt:lpstr>
      <vt:lpstr>面积指标!城镇土地纳税等级分级范围</vt:lpstr>
      <vt:lpstr>城镇土地纳税等级分级范围</vt:lpstr>
      <vt:lpstr>和县土地案例!单价内涵</vt:lpstr>
      <vt:lpstr>面积指标!单价内涵</vt:lpstr>
      <vt:lpstr>单价内涵</vt:lpstr>
      <vt:lpstr>和县土地案例!地类判定</vt:lpstr>
      <vt:lpstr>面积指标!地类判定</vt:lpstr>
      <vt:lpstr>地类判定</vt:lpstr>
      <vt:lpstr>二级</vt:lpstr>
      <vt:lpstr>和县土地案例!二级分类</vt:lpstr>
      <vt:lpstr>面积指标!二级分类</vt:lpstr>
      <vt:lpstr>二级分类</vt:lpstr>
      <vt:lpstr>和县土地案例!法定最高年限</vt:lpstr>
      <vt:lpstr>面积指标!法定最高年限</vt:lpstr>
      <vt:lpstr>法定最高年限</vt:lpstr>
      <vt:lpstr>和县土地案例!工业公共部分装修</vt:lpstr>
      <vt:lpstr>面积指标!工业公共部分装修</vt:lpstr>
      <vt:lpstr>工业公共部分装修</vt:lpstr>
      <vt:lpstr>和县土地案例!工业基础设施水平</vt:lpstr>
      <vt:lpstr>面积指标!工业基础设施水平</vt:lpstr>
      <vt:lpstr>工业基础设施水平</vt:lpstr>
      <vt:lpstr>和县土地案例!工业建筑结构</vt:lpstr>
      <vt:lpstr>面积指标!工业建筑结构</vt:lpstr>
      <vt:lpstr>工业建筑结构</vt:lpstr>
      <vt:lpstr>和县土地案例!工业建筑类型</vt:lpstr>
      <vt:lpstr>面积指标!工业建筑类型</vt:lpstr>
      <vt:lpstr>工业建筑类型</vt:lpstr>
      <vt:lpstr>和县土地案例!工业交易情况</vt:lpstr>
      <vt:lpstr>面积指标!工业交易情况</vt:lpstr>
      <vt:lpstr>工业交易情况</vt:lpstr>
      <vt:lpstr>和县土地案例!工业内部装修</vt:lpstr>
      <vt:lpstr>面积指标!工业内部装修</vt:lpstr>
      <vt:lpstr>工业内部装修</vt:lpstr>
      <vt:lpstr>和县土地案例!工业物业管理</vt:lpstr>
      <vt:lpstr>面积指标!工业物业管理</vt:lpstr>
      <vt:lpstr>工业物业管理</vt:lpstr>
      <vt:lpstr>和县土地案例!工业用途</vt:lpstr>
      <vt:lpstr>面积指标!工业用途</vt:lpstr>
      <vt:lpstr>工业用途</vt:lpstr>
      <vt:lpstr>和县土地案例!公共配套设施</vt:lpstr>
      <vt:lpstr>面积指标!公共配套设施</vt:lpstr>
      <vt:lpstr>公共配套设施</vt:lpstr>
      <vt:lpstr>和县土地案例!估价方法</vt:lpstr>
      <vt:lpstr>面积指标!估价方法</vt:lpstr>
      <vt:lpstr>估价方法</vt:lpstr>
      <vt:lpstr>和县土地案例!环境</vt:lpstr>
      <vt:lpstr>面积指标!环境</vt:lpstr>
      <vt:lpstr>环境</vt:lpstr>
      <vt:lpstr>和县土地案例!基础设施水平</vt:lpstr>
      <vt:lpstr>面积指标!基础设施水平</vt:lpstr>
      <vt:lpstr>基础设施水平</vt:lpstr>
      <vt:lpstr>季度</vt:lpstr>
      <vt:lpstr>季度2014</vt:lpstr>
      <vt:lpstr>和县土地案例!价值类型2</vt:lpstr>
      <vt:lpstr>面积指标!价值类型2</vt:lpstr>
      <vt:lpstr>价值类型2</vt:lpstr>
      <vt:lpstr>和县土地案例!交通便捷度</vt:lpstr>
      <vt:lpstr>面积指标!交通便捷度</vt:lpstr>
      <vt:lpstr>交通便捷度</vt:lpstr>
      <vt:lpstr>九级</vt:lpstr>
      <vt:lpstr>和县土地案例!居住社区成熟度</vt:lpstr>
      <vt:lpstr>面积指标!居住社区成熟度</vt:lpstr>
      <vt:lpstr>居住社区成熟度</vt:lpstr>
      <vt:lpstr>和县土地案例!类别</vt:lpstr>
      <vt:lpstr>面积指标!类别</vt:lpstr>
      <vt:lpstr>类别</vt:lpstr>
      <vt:lpstr>和县土地案例!临街状况</vt:lpstr>
      <vt:lpstr>面积指标!临街状况</vt:lpstr>
      <vt:lpstr>临街状况</vt:lpstr>
      <vt:lpstr>六级</vt:lpstr>
      <vt:lpstr>和县土地案例!内部装修维护情况</vt:lpstr>
      <vt:lpstr>面积指标!内部装修维护情况</vt:lpstr>
      <vt:lpstr>内部装修维护情况</vt:lpstr>
      <vt:lpstr>和县土地案例!判定</vt:lpstr>
      <vt:lpstr>面积指标!判定</vt:lpstr>
      <vt:lpstr>判定</vt:lpstr>
      <vt:lpstr>七级</vt:lpstr>
      <vt:lpstr>和县土地案例!七通一平</vt:lpstr>
      <vt:lpstr>面积指标!七通一平</vt:lpstr>
      <vt:lpstr>七通一平</vt:lpstr>
      <vt:lpstr>和县土地案例!区域土地利用方向</vt:lpstr>
      <vt:lpstr>面积指标!区域土地利用方向</vt:lpstr>
      <vt:lpstr>区域土地利用方向</vt:lpstr>
      <vt:lpstr>三级</vt:lpstr>
      <vt:lpstr>和县土地案例!商业层高</vt:lpstr>
      <vt:lpstr>面积指标!商业层高</vt:lpstr>
      <vt:lpstr>商业层高</vt:lpstr>
      <vt:lpstr>商业成新度</vt:lpstr>
      <vt:lpstr>和县土地案例!商业繁华度</vt:lpstr>
      <vt:lpstr>面积指标!商业繁华度</vt:lpstr>
      <vt:lpstr>商业繁华度</vt:lpstr>
      <vt:lpstr>和县土地案例!商业公共部分装修</vt:lpstr>
      <vt:lpstr>面积指标!商业公共部分装修</vt:lpstr>
      <vt:lpstr>商业公共部分装修</vt:lpstr>
      <vt:lpstr>和县土地案例!商业基础设施水平</vt:lpstr>
      <vt:lpstr>面积指标!商业基础设施水平</vt:lpstr>
      <vt:lpstr>商业基础设施水平</vt:lpstr>
      <vt:lpstr>和县土地案例!商业建筑结构</vt:lpstr>
      <vt:lpstr>面积指标!商业建筑结构</vt:lpstr>
      <vt:lpstr>商业建筑结构</vt:lpstr>
      <vt:lpstr>和县土地案例!商业交易情况</vt:lpstr>
      <vt:lpstr>面积指标!商业交易情况</vt:lpstr>
      <vt:lpstr>商业交易情况</vt:lpstr>
      <vt:lpstr>和县土地案例!商业街名称</vt:lpstr>
      <vt:lpstr>面积指标!商业街名称</vt:lpstr>
      <vt:lpstr>商业街名称</vt:lpstr>
      <vt:lpstr>和县土地案例!商业进深比</vt:lpstr>
      <vt:lpstr>面积指标!商业进深比</vt:lpstr>
      <vt:lpstr>商业进深比</vt:lpstr>
      <vt:lpstr>和县土地案例!商业类型</vt:lpstr>
      <vt:lpstr>面积指标!商业类型</vt:lpstr>
      <vt:lpstr>商业类型</vt:lpstr>
      <vt:lpstr>和县土地案例!商业临街状况</vt:lpstr>
      <vt:lpstr>面积指标!商业临街状况</vt:lpstr>
      <vt:lpstr>商业临街状况</vt:lpstr>
      <vt:lpstr>和县土地案例!商业楼层</vt:lpstr>
      <vt:lpstr>面积指标!商业楼层</vt:lpstr>
      <vt:lpstr>商业楼层</vt:lpstr>
      <vt:lpstr>和县土地案例!商业内部装修</vt:lpstr>
      <vt:lpstr>面积指标!商业内部装修</vt:lpstr>
      <vt:lpstr>商业内部装修</vt:lpstr>
      <vt:lpstr>和县土地案例!商业人流量</vt:lpstr>
      <vt:lpstr>面积指标!商业人流量</vt:lpstr>
      <vt:lpstr>商业人流量</vt:lpstr>
      <vt:lpstr>和县土地案例!商业业态</vt:lpstr>
      <vt:lpstr>面积指标!商业业态</vt:lpstr>
      <vt:lpstr>商业业态</vt:lpstr>
      <vt:lpstr>和县土地案例!商业用途</vt:lpstr>
      <vt:lpstr>面积指标!商业用途</vt:lpstr>
      <vt:lpstr>商业用途</vt:lpstr>
      <vt:lpstr>十二级</vt:lpstr>
      <vt:lpstr>十级</vt:lpstr>
      <vt:lpstr>十一级</vt:lpstr>
      <vt:lpstr>和县土地案例!是否封闭</vt:lpstr>
      <vt:lpstr>面积指标!是否封闭</vt:lpstr>
      <vt:lpstr>是否封闭</vt:lpstr>
      <vt:lpstr>和县土地案例!是否直接入户</vt:lpstr>
      <vt:lpstr>面积指标!是否直接入户</vt:lpstr>
      <vt:lpstr>是否直接入户</vt:lpstr>
      <vt:lpstr>四级</vt:lpstr>
      <vt:lpstr>和县土地案例!套工工程地质条件</vt:lpstr>
      <vt:lpstr>面积指标!套工工程地质条件</vt:lpstr>
      <vt:lpstr>套工工程地质条件</vt:lpstr>
      <vt:lpstr>和县土地案例!套工交易情况</vt:lpstr>
      <vt:lpstr>面积指标!套工交易情况</vt:lpstr>
      <vt:lpstr>套工交易情况</vt:lpstr>
      <vt:lpstr>和县土地案例!套工开发程度</vt:lpstr>
      <vt:lpstr>面积指标!套工开发程度</vt:lpstr>
      <vt:lpstr>套工开发程度</vt:lpstr>
      <vt:lpstr>和县土地案例!套工临街等级</vt:lpstr>
      <vt:lpstr>面积指标!套工临街等级</vt:lpstr>
      <vt:lpstr>套工临街等级</vt:lpstr>
      <vt:lpstr>和县土地案例!套工土地级别</vt:lpstr>
      <vt:lpstr>面积指标!套工土地级别</vt:lpstr>
      <vt:lpstr>套工土地级别</vt:lpstr>
      <vt:lpstr>和县土地案例!套工用途</vt:lpstr>
      <vt:lpstr>面积指标!套工用途</vt:lpstr>
      <vt:lpstr>套工用途</vt:lpstr>
      <vt:lpstr>和县土地案例!套工宗地形状</vt:lpstr>
      <vt:lpstr>面积指标!套工宗地形状</vt:lpstr>
      <vt:lpstr>套工宗地形状</vt:lpstr>
      <vt:lpstr>和县土地案例!套综道路等级</vt:lpstr>
      <vt:lpstr>面积指标!套综道路等级</vt:lpstr>
      <vt:lpstr>套综道路等级</vt:lpstr>
      <vt:lpstr>和县土地案例!套综工程地质条件</vt:lpstr>
      <vt:lpstr>面积指标!套综工程地质条件</vt:lpstr>
      <vt:lpstr>套综工程地质条件</vt:lpstr>
      <vt:lpstr>和县土地案例!套综交易情况</vt:lpstr>
      <vt:lpstr>面积指标!套综交易情况</vt:lpstr>
      <vt:lpstr>套综交易情况</vt:lpstr>
      <vt:lpstr>和县土地案例!套综临街宽度及深度</vt:lpstr>
      <vt:lpstr>面积指标!套综临街宽度及深度</vt:lpstr>
      <vt:lpstr>套综临街宽度及深度</vt:lpstr>
      <vt:lpstr>和县土地案例!套综土地级别</vt:lpstr>
      <vt:lpstr>面积指标!套综土地级别</vt:lpstr>
      <vt:lpstr>套综土地级别</vt:lpstr>
      <vt:lpstr>和县土地案例!套综用途</vt:lpstr>
      <vt:lpstr>面积指标!套综用途</vt:lpstr>
      <vt:lpstr>套综用途</vt:lpstr>
      <vt:lpstr>和县土地案例!套综宗地内开发程度</vt:lpstr>
      <vt:lpstr>面积指标!套综宗地内开发程度</vt:lpstr>
      <vt:lpstr>套综宗地内开发程度</vt:lpstr>
      <vt:lpstr>和县土地案例!套综宗地形状</vt:lpstr>
      <vt:lpstr>面积指标!套综宗地形状</vt:lpstr>
      <vt:lpstr>套综宗地形状</vt:lpstr>
      <vt:lpstr>和县土地案例!土地估价师</vt:lpstr>
      <vt:lpstr>面积指标!土地估价师</vt:lpstr>
      <vt:lpstr>土地估价师</vt:lpstr>
      <vt:lpstr>和县土地案例!土地级别</vt:lpstr>
      <vt:lpstr>面积指标!土地级别</vt:lpstr>
      <vt:lpstr>土地级别</vt:lpstr>
      <vt:lpstr>土地利用方向</vt:lpstr>
      <vt:lpstr>和县土地案例!土地年限区间</vt:lpstr>
      <vt:lpstr>面积指标!土地年限区间</vt:lpstr>
      <vt:lpstr>土地年限区间</vt:lpstr>
      <vt:lpstr>和县土地案例!位置</vt:lpstr>
      <vt:lpstr>面积指标!位置</vt:lpstr>
      <vt:lpstr>位置</vt:lpstr>
      <vt:lpstr>和县土地案例!五等判定</vt:lpstr>
      <vt:lpstr>面积指标!五等判定</vt:lpstr>
      <vt:lpstr>五等判定</vt:lpstr>
      <vt:lpstr>五级</vt:lpstr>
      <vt:lpstr>和县土地案例!项目类型</vt:lpstr>
      <vt:lpstr>面积指标!项目类型</vt:lpstr>
      <vt:lpstr>项目类型</vt:lpstr>
      <vt:lpstr>和县土地案例!写字楼等级</vt:lpstr>
      <vt:lpstr>面积指标!写字楼等级</vt:lpstr>
      <vt:lpstr>写字楼等级</vt:lpstr>
      <vt:lpstr>一级</vt:lpstr>
      <vt:lpstr>和县土地案例!一修多修正项2</vt:lpstr>
      <vt:lpstr>面积指标!一修多修正项2</vt:lpstr>
      <vt:lpstr>一修多修正项2</vt:lpstr>
      <vt:lpstr>和县土地案例!一修多修正项3</vt:lpstr>
      <vt:lpstr>面积指标!一修多修正项3</vt:lpstr>
      <vt:lpstr>一修多修正项3</vt:lpstr>
      <vt:lpstr>和县土地案例!一修多修正项4</vt:lpstr>
      <vt:lpstr>面积指标!一修多修正项4</vt:lpstr>
      <vt:lpstr>一修多修正项4</vt:lpstr>
      <vt:lpstr>和县土地案例!一修多修正项5</vt:lpstr>
      <vt:lpstr>面积指标!一修多修正项5</vt:lpstr>
      <vt:lpstr>一修多修正项5</vt:lpstr>
      <vt:lpstr>和县土地案例!一修多修正项6</vt:lpstr>
      <vt:lpstr>面积指标!一修多修正项6</vt:lpstr>
      <vt:lpstr>一修多修正项6</vt:lpstr>
      <vt:lpstr>和县土地案例!一修多修正项7</vt:lpstr>
      <vt:lpstr>面积指标!一修多修正项7</vt:lpstr>
      <vt:lpstr>一修多修正项7</vt:lpstr>
      <vt:lpstr>和县土地案例!一修多修正项8</vt:lpstr>
      <vt:lpstr>面积指标!一修多修正项8</vt:lpstr>
      <vt:lpstr>一修多修正项8</vt:lpstr>
      <vt:lpstr>和县土地案例!用途类型</vt:lpstr>
      <vt:lpstr>面积指标!用途类型</vt:lpstr>
      <vt:lpstr>用途类型</vt:lpstr>
      <vt:lpstr>和县土地案例!有无电梯</vt:lpstr>
      <vt:lpstr>面积指标!有无电梯</vt:lpstr>
      <vt:lpstr>有无电梯</vt:lpstr>
      <vt:lpstr>和县土地案例!主用途</vt:lpstr>
      <vt:lpstr>面积指标!主用途</vt:lpstr>
      <vt:lpstr>主用途</vt:lpstr>
      <vt:lpstr>和县土地案例!住宅朝向</vt:lpstr>
      <vt:lpstr>面积指标!住宅朝向</vt:lpstr>
      <vt:lpstr>住宅朝向</vt:lpstr>
      <vt:lpstr>和县土地案例!住宅房型</vt:lpstr>
      <vt:lpstr>面积指标!住宅房型</vt:lpstr>
      <vt:lpstr>住宅房型</vt:lpstr>
      <vt:lpstr>和县土地案例!住宅公共部分装修</vt:lpstr>
      <vt:lpstr>面积指标!住宅公共部分装修</vt:lpstr>
      <vt:lpstr>住宅公共部分装修</vt:lpstr>
      <vt:lpstr>和县土地案例!住宅基础设施水平</vt:lpstr>
      <vt:lpstr>面积指标!住宅基础设施水平</vt:lpstr>
      <vt:lpstr>住宅基础设施水平</vt:lpstr>
      <vt:lpstr>和县土地案例!住宅建筑结构</vt:lpstr>
      <vt:lpstr>面积指标!住宅建筑结构</vt:lpstr>
      <vt:lpstr>住宅建筑结构</vt:lpstr>
      <vt:lpstr>和县土地案例!住宅建筑类型</vt:lpstr>
      <vt:lpstr>面积指标!住宅建筑类型</vt:lpstr>
      <vt:lpstr>住宅建筑类型</vt:lpstr>
      <vt:lpstr>和县土地案例!住宅建筑品质</vt:lpstr>
      <vt:lpstr>面积指标!住宅建筑品质</vt:lpstr>
      <vt:lpstr>住宅建筑品质</vt:lpstr>
      <vt:lpstr>和县土地案例!住宅交易情况</vt:lpstr>
      <vt:lpstr>面积指标!住宅交易情况</vt:lpstr>
      <vt:lpstr>住宅交易情况</vt:lpstr>
      <vt:lpstr>和县土地案例!住宅楼层</vt:lpstr>
      <vt:lpstr>面积指标!住宅楼层</vt:lpstr>
      <vt:lpstr>住宅楼层</vt:lpstr>
      <vt:lpstr>和县土地案例!住宅内部装修</vt:lpstr>
      <vt:lpstr>面积指标!住宅内部装修</vt:lpstr>
      <vt:lpstr>住宅内部装修</vt:lpstr>
      <vt:lpstr>和县土地案例!住宅物业管理</vt:lpstr>
      <vt:lpstr>面积指标!住宅物业管理</vt:lpstr>
      <vt:lpstr>住宅物业管理</vt:lpstr>
      <vt:lpstr>和县土地案例!住宅用途</vt:lpstr>
      <vt:lpstr>面积指标!住宅用途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2019-07-26T08:53:05Z</dcterms:modified>
</cp:coreProperties>
</file>