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项目\未出-康国评咨字[2023] 融中心投资性房地产项目\"/>
    </mc:Choice>
  </mc:AlternateContent>
  <bookViews>
    <workbookView xWindow="0" yWindow="0" windowWidth="13470" windowHeight="9195" tabRatio="860"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面积明细" sheetId="81" r:id="rId11"/>
    <sheet name="常用公式" sheetId="78"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 (车位)" sheetId="82" r:id="rId26"/>
    <sheet name="收益法（汇总）" sheetId="70" r:id="rId27"/>
    <sheet name="比较法-住宅" sheetId="21" state="hidden" r:id="rId28"/>
    <sheet name="比较法-商业" sheetId="33" state="hidden" r:id="rId29"/>
    <sheet name="比较法-办公" sheetId="34" r:id="rId30"/>
    <sheet name="租金" sheetId="83" r:id="rId31"/>
    <sheet name="售价" sheetId="84" r:id="rId32"/>
    <sheet name="比较法-工业" sheetId="37" state="hidden" r:id="rId33"/>
    <sheet name="大宗" sheetId="85"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33" hidden="1">大宗!$A$2:$N$143</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(车位)'!$A$1:$F$43,'收益法 (车位)'!$H$3:$M$29,'收益法 (车位)'!$A$46:$F$71,'收益法 (车位)'!$I$46:$N$65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10">'[1]比较法-办公'!$B$119:$M$119</definedName>
    <definedName name="办公层高">'比较法-办公'!$B$119:$M$119</definedName>
    <definedName name="办公朝向" localSheetId="10">'[1]比较法-办公'!$B$91:$M$91</definedName>
    <definedName name="办公朝向">'比较法-办公'!$B$91:$M$91</definedName>
    <definedName name="办公道路级别" localSheetId="10">'[1]比较法-办公'!$B$87:$M$87</definedName>
    <definedName name="办公道路级别">'比较法-办公'!$B$87:$M$87</definedName>
    <definedName name="办公公共部分装修" localSheetId="10">'[1]比较法-办公'!$B$108:$M$108</definedName>
    <definedName name="办公公共部分装修">'比较法-办公'!$B$108:$M$108</definedName>
    <definedName name="办公基础设施水平" localSheetId="10">'[1]比较法-办公'!$B$117:$M$117</definedName>
    <definedName name="办公基础设施水平">'比较法-办公'!$B$117:$M$117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'比较法-办公'!$B$106:$M$106</definedName>
    <definedName name="办公建筑类型" localSheetId="10">'[1]比较法-办公'!$B$101:$M$101</definedName>
    <definedName name="办公建筑类型">'比较法-办公'!$B$101:$M$101</definedName>
    <definedName name="办公交易情况" localSheetId="10">'[1]比较法-办公'!$A$62:$M$62</definedName>
    <definedName name="办公交易情况">'比较法-办公'!$A$62:$M$62</definedName>
    <definedName name="办公楼层" localSheetId="10">'[1]比较法-办公'!$B$89:$M$89</definedName>
    <definedName name="办公楼层">'比较法-办公'!$B$89:$M$89</definedName>
    <definedName name="办公内部装修" localSheetId="10">'[1]比较法-办公'!$B$123:$M$123</definedName>
    <definedName name="办公内部装修">'比较法-办公'!$B$123:$M$123</definedName>
    <definedName name="办公物业管理" localSheetId="10">'[1]比较法-办公'!$B$115:$M$115</definedName>
    <definedName name="办公物业管理">'比较法-办公'!$B$115:$M$115</definedName>
    <definedName name="办公用途" localSheetId="10">'[1]比较法-办公'!$B$64:$M$64</definedName>
    <definedName name="办公用途">'比较法-办公'!$B$64:$M$64</definedName>
    <definedName name="仓储公共部分装修" localSheetId="10">'[1]比较法-仓储'!$B$77:$M$77</definedName>
    <definedName name="仓储公共部分装修">'比较法-仓储'!$B$77:$M$77</definedName>
    <definedName name="仓储交易情况" localSheetId="10">'[1]比较法-仓储'!$A$49:$M$49</definedName>
    <definedName name="仓储交易情况">'比较法-仓储'!$A$49:$M$49</definedName>
    <definedName name="仓储楼层" localSheetId="10">'[1]比较法-仓储'!$B$69:$M$69</definedName>
    <definedName name="仓储楼层">'比较法-仓储'!$B$69:$M$69</definedName>
    <definedName name="仓储物业等级" localSheetId="10">'[1]比较法-仓储'!$B$82:$M$82</definedName>
    <definedName name="仓储物业等级">'比较法-仓储'!$B$82:$M$82</definedName>
    <definedName name="仓储用途" localSheetId="10">'[1]比较法-仓储'!$B$51:$M$51</definedName>
    <definedName name="仓储用途">'比较法-仓储'!$B$51:$M$51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'比较法-车位'!$B$83:$M$83</definedName>
    <definedName name="车位交易情况" localSheetId="10">'[1]比较法-车位'!$A$51:$M$51</definedName>
    <definedName name="车位交易情况">'比较法-车位'!$A$51:$M$51</definedName>
    <definedName name="车位类型" localSheetId="10">'[1]比较法-车位'!$B$93:$M$93</definedName>
    <definedName name="车位类型">'比较法-车位'!$B$93:$M$93</definedName>
    <definedName name="车位楼层" localSheetId="10">'[1]比较法-车位'!$B$71:$M$71</definedName>
    <definedName name="车位楼层">'比较法-车位'!$B$71:$M$71</definedName>
    <definedName name="车位配套类型" localSheetId="10">'[1]比较法-车位'!$B$79:$M$79</definedName>
    <definedName name="车位配套类型">'比较法-车位'!$B$79:$M$79</definedName>
    <definedName name="车位物业等级" localSheetId="10">'[1]比较法-车位'!$B$88:$M$88</definedName>
    <definedName name="车位物业等级">'比较法-车位'!$B$88:$M$88</definedName>
    <definedName name="车位用途" localSheetId="10">'[1]比较法-车位'!$B$53:$M$53</definedName>
    <definedName name="车位用途">'比较法-车位'!$B$53:$M$53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区片价!$J$1:$J$21</definedName>
    <definedName name="二级分类" localSheetId="10">[1]修正!$C$17:$C$39</definedName>
    <definedName name="二级分类">修正!$C$19:$C$51</definedName>
    <definedName name="法定最高年限" localSheetId="10">[1]定义!$G$1:$G$4</definedName>
    <definedName name="法定最高年限">定义!$G$1:$G$6</definedName>
    <definedName name="工业公共部分装修" localSheetId="10">'[1]比较法-工业'!$B$95:$M$95</definedName>
    <definedName name="工业公共部分装修">'比较法-工业'!$B$95:$M$95</definedName>
    <definedName name="工业基础设施水平" localSheetId="10">'[1]比较法-工业'!$B$102:$M$102</definedName>
    <definedName name="工业基础设施水平">'比较法-工业'!$B$102:$M$102</definedName>
    <definedName name="工业建筑结构" localSheetId="10">'[1]比较法-工业'!$B$93:$M$93</definedName>
    <definedName name="工业建筑结构">'比较法-工业'!$B$93:$M$93</definedName>
    <definedName name="工业建筑类型" localSheetId="10">'[1]比较法-工业'!$B$88:$M$88</definedName>
    <definedName name="工业建筑类型">'比较法-工业'!$B$88:$M$88</definedName>
    <definedName name="工业交易情况" localSheetId="10">'[1]比较法-工业'!$A$55:$M$55</definedName>
    <definedName name="工业交易情况">'比较法-工业'!$A$55:$M$55</definedName>
    <definedName name="工业内部装修" localSheetId="10">'[1]比较法-工业'!$B$104:$M$104</definedName>
    <definedName name="工业内部装修">'比较法-工业'!$B$104:$M$104</definedName>
    <definedName name="工业物业管理" localSheetId="10">'[1]比较法-工业'!$B$100:$M$100</definedName>
    <definedName name="工业物业管理">'比较法-工业'!$B$100:$M$100</definedName>
    <definedName name="工业用途" localSheetId="10">'[1]比较法-工业'!$B$57:$M$57</definedName>
    <definedName name="工业用途">'比较法-工业'!$B$57:$M$57</definedName>
    <definedName name="公共配套设施" localSheetId="10">[1]定义!$Q$1:$Q$6</definedName>
    <definedName name="公共配套设施">定义!$Q$1:$Q$6</definedName>
    <definedName name="估价范围判定">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基准地价修正!$Q$19:$AD$19</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区片价!$Q$1:$Q$51</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区片价!$N$1:$N$64</definedName>
    <definedName name="内部装修维护情况" localSheetId="10">[1]定义!$U$1:$U$6</definedName>
    <definedName name="内部装修维护情况">定义!$U$1:$U$6</definedName>
    <definedName name="判定" localSheetId="10">[1]定义!$D$1:$D$4</definedName>
    <definedName name="判定">[2]定义!$D$1:$D$4</definedName>
    <definedName name="七级">区片价!$O$1:$O$45</definedName>
    <definedName name="七通一平" localSheetId="10">[1]修正!$A$6:$A$14</definedName>
    <definedName name="七通一平">修正!$A$8:$A$16</definedName>
    <definedName name="区域土地利用方向" localSheetId="10">[1]定义!$P$1:$P$6</definedName>
    <definedName name="区域土地利用方向">定义!$P$1:$P$6</definedName>
    <definedName name="三级">区片价!$K$1:$K$26</definedName>
    <definedName name="商业层高" localSheetId="10">'[1]比较法-商业'!$B$116:$M$116</definedName>
    <definedName name="商业层高">'比较法-商业'!$B$116:$M$116</definedName>
    <definedName name="商业成新度">'比较法-商业'!$B$109:$M$109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'比较法-商业'!$B$107:$M$107</definedName>
    <definedName name="商业基础设施水平" localSheetId="10">'[1]比较法-商业'!$B$112:$M$112</definedName>
    <definedName name="商业基础设施水平">'比较法-商业'!$B$112:$M$112</definedName>
    <definedName name="商业建筑结构" localSheetId="10">'[1]比较法-商业'!$B$105:$M$105</definedName>
    <definedName name="商业建筑结构">'比较法-商业'!$B$105:$M$105</definedName>
    <definedName name="商业交易情况" localSheetId="10">'[1]比较法-商业'!$A$61:$M$61</definedName>
    <definedName name="商业交易情况">'比较法-商业'!$A$61:$M$61</definedName>
    <definedName name="商业街名称" localSheetId="10">[1]修正!$C$59:$C$119</definedName>
    <definedName name="商业街名称">修正!$C$71:$C$138</definedName>
    <definedName name="商业进深比" localSheetId="10">'[1]比较法-商业'!$B$120:$M$120</definedName>
    <definedName name="商业进深比">'比较法-商业'!$B$120:$M$120</definedName>
    <definedName name="商业类型" localSheetId="10">'[1]比较法-商业'!$B$100:$M$100</definedName>
    <definedName name="商业类型">'比较法-商业'!$B$100:$M$100</definedName>
    <definedName name="商业临街状况" localSheetId="10">'[1]比较法-商业'!$B$86:$M$86</definedName>
    <definedName name="商业临街状况">'比较法-商业'!$B$86:$M$86</definedName>
    <definedName name="商业楼层" localSheetId="10">'[1]比较法-商业'!$B$92:$M$92</definedName>
    <definedName name="商业楼层">'比较法-商业'!$B$92:$M$92</definedName>
    <definedName name="商业内部装修" localSheetId="10">'[1]比较法-商业'!$B$122:$M$122</definedName>
    <definedName name="商业内部装修">'比较法-商业'!$B$122:$M$122</definedName>
    <definedName name="商业人流量" localSheetId="10">'[1]比较法-商业'!$B$90:$M$90</definedName>
    <definedName name="商业人流量">'比较法-商业'!$B$90:$M$90</definedName>
    <definedName name="商业业态" localSheetId="10">'[1]比较法-商业'!$B$114:$M$114</definedName>
    <definedName name="商业业态">'比较法-商业'!$B$114:$M$114</definedName>
    <definedName name="商业用途" localSheetId="1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0">'[1]比较法-仓储'!$B$89:$M$89</definedName>
    <definedName name="是否封闭">'比较法-仓储'!$B$89:$M$89</definedName>
    <definedName name="是否直接入户" localSheetId="10">'[1]比较法-车位'!$B$95:$M$95</definedName>
    <definedName name="是否直接入户">'比较法-车位'!$B$95:$M$95</definedName>
    <definedName name="四级">区片价!$L$1:$L$33</definedName>
    <definedName name="套工道路等级" localSheetId="10">'[1]土地比较法-工业'!$B$97:$M$97</definedName>
    <definedName name="套工道路等级">'土地比较法-工业'!$B$97:$M$97</definedName>
    <definedName name="套工地质条件" localSheetId="10">'[1]土地比较法-工业'!$B$114:$M$114</definedName>
    <definedName name="套工地质条件">'土地比较法-工业'!$B$114:$M$114</definedName>
    <definedName name="套工交易情况" localSheetId="10">'[1]土地比较法-住宅、综合'!$A$73:$M$73</definedName>
    <definedName name="套工交易情况">'土地比较法-住宅、综合'!$A$72:$M$72</definedName>
    <definedName name="套工土地级别" localSheetId="10">'[1]土地比较法-工业'!$B$99:$M$99</definedName>
    <definedName name="套工土地级别">'土地比较法-工业'!$B$99:$M$99</definedName>
    <definedName name="套工用途" localSheetId="10">'[1]土地比较法-工业'!$B$70:$M$70</definedName>
    <definedName name="套工用途">'土地比较法-工业'!$B$70:$M$70</definedName>
    <definedName name="套工宗地开发程度" localSheetId="10">'[1]土地比较法-工业'!$B$112:$M$112</definedName>
    <definedName name="套工宗地开发程度">'土地比较法-工业'!$B$112:$M$112</definedName>
    <definedName name="套工宗地形状" localSheetId="10">'[1]土地比较法-工业'!$B$110:$M$110</definedName>
    <definedName name="套工宗地形状">'土地比较法-工业'!$B$110:$M$110</definedName>
    <definedName name="套综道路等级" localSheetId="10">'[1]土地比较法-住宅、综合'!$B$106:$M$106</definedName>
    <definedName name="套综道路等级">'土地比较法-住宅、综合'!$B$105:$M$105</definedName>
    <definedName name="套综工程地质条件" localSheetId="10">'[1]土地比较法-住宅、综合'!$B$125:$M$125</definedName>
    <definedName name="套综工程地质条件">'土地比较法-住宅、综合'!$B$124:$M$124</definedName>
    <definedName name="套综交易情况" localSheetId="10">'[1]土地比较法-住宅、综合'!$A$73:$M$73</definedName>
    <definedName name="套综交易情况">'土地比较法-住宅、综合'!$A$72:$M$72</definedName>
    <definedName name="套综临街宽度及深度" localSheetId="10">'[1]土地比较法-住宅、综合'!$B$121:$M$121</definedName>
    <definedName name="套综临街宽度及深度">'土地比较法-住宅、综合'!$B$120:$M$120</definedName>
    <definedName name="套综土地级别" localSheetId="10">'[1]土地比较法-住宅、综合'!$B$108:$M$108</definedName>
    <definedName name="套综土地级别">'土地比较法-住宅、综合'!$B$107:$M$107</definedName>
    <definedName name="套综用途" localSheetId="10">'[1]土地比较法-住宅、综合'!$B$75:$M$75</definedName>
    <definedName name="套综用途">'土地比较法-住宅、综合'!$B$74:$M$74</definedName>
    <definedName name="套综宗地内开发程度" localSheetId="10">'[1]土地比较法-住宅、综合'!$B$123:$M$123</definedName>
    <definedName name="套综宗地内开发程度">'土地比较法-住宅、综合'!$B$122:$M$122</definedName>
    <definedName name="套综宗地形状" localSheetId="10">'[1]土地比较法-住宅、综合'!$B$119:$M$119</definedName>
    <definedName name="套综宗地形状">'土地比较法-住宅、综合'!$B$118:$M$118</definedName>
    <definedName name="土地估价师">估价师及机构信息!$D$3:$D$24</definedName>
    <definedName name="土地级别" localSheetId="10">[1]定义!$C$1:$C$14</definedName>
    <definedName name="土地级别">定义!$C$1:$C$14</definedName>
    <definedName name="土地利用方向">定义!$P$1:$P$6</definedName>
    <definedName name="土地年限区间" localSheetId="10">[1]定义!$I$1:$I$8</definedName>
    <definedName name="土地年限区间">定义!$I$1:$I$16</definedName>
    <definedName name="位置" localSheetId="10">[1]定义!$E$2:$E$4</definedName>
    <definedName name="位置">定义!$E$2:$E$4</definedName>
    <definedName name="五等判定" localSheetId="10">[1]定义!$W$1:$W$6</definedName>
    <definedName name="五等判定">定义!$W$1:$W$6</definedName>
    <definedName name="五级">区片价!$M$1:$M$41</definedName>
    <definedName name="项目类型" localSheetId="10">'[1]数据-汇总表'!$C$17:$C$26</definedName>
    <definedName name="项目类型" localSheetId="24">'[3]数据-汇总表'!$C$17:$C$26</definedName>
    <definedName name="项目类型">'数据-汇总表'!$C$17:$C$26</definedName>
    <definedName name="写字楼等级" localSheetId="10">'[1]比较法-办公'!$B$113:$M$113</definedName>
    <definedName name="写字楼等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明细" localSheetId="10">[1]定义!$A$1:$A$50</definedName>
    <definedName name="用途明细">定义!$A$1:$A$50</definedName>
    <definedName name="有无电梯" localSheetId="10">'[1]比较法-仓储'!$B$84:$M$84</definedName>
    <definedName name="有无电梯">'比较法-仓储'!$B$84:$M$84</definedName>
    <definedName name="主用途" localSheetId="10">[1]定义!$F$1:$F$10</definedName>
    <definedName name="主用途">定义!$F$1:$F$12</definedName>
    <definedName name="住宅朝向" localSheetId="10">'[1]比较法-住宅'!$B$88:$M$88</definedName>
    <definedName name="住宅朝向">'比较法-住宅'!$B$88:$M$88</definedName>
    <definedName name="住宅房型" localSheetId="10">'[1]比较法-住宅'!$B$118:$M$118</definedName>
    <definedName name="住宅房型">'比较法-住宅'!$B$118:$M$118</definedName>
    <definedName name="住宅公共部分装修" localSheetId="10">'[1]比较法-住宅'!$B$109:$M$109</definedName>
    <definedName name="住宅公共部分装修">'比较法-住宅'!$B$109:$M$109</definedName>
    <definedName name="住宅基础设施水平" localSheetId="10">'[1]比较法-住宅'!$B$116:$M$116</definedName>
    <definedName name="住宅基础设施水平">'比较法-住宅'!$B$116:$M$116</definedName>
    <definedName name="住宅建筑结构" localSheetId="10">'[1]比较法-住宅'!$B$105:$M$105</definedName>
    <definedName name="住宅建筑结构">'比较法-住宅'!$B$105:$M$105</definedName>
    <definedName name="住宅建筑类型" localSheetId="10">'[1]比较法-住宅'!$B$100:$M$100</definedName>
    <definedName name="住宅建筑类型">'比较法-住宅'!$B$100:$M$100</definedName>
    <definedName name="住宅建筑品质" localSheetId="10">'[1]比较法-住宅'!$B$107:$M$107</definedName>
    <definedName name="住宅建筑品质">'比较法-住宅'!$B$107:$M$107</definedName>
    <definedName name="住宅交易情况" localSheetId="10">'[1]比较法-住宅'!$A$61:$M$61</definedName>
    <definedName name="住宅交易情况">'比较法-住宅'!$A$61:$M$61</definedName>
    <definedName name="住宅楼层" localSheetId="10">'[1]比较法-住宅'!$B$86:$M$86</definedName>
    <definedName name="住宅楼层">'比较法-住宅'!$B$86:$M$86</definedName>
    <definedName name="住宅内部装修" localSheetId="10">'[1]比较法-住宅'!$B$122:$M$122</definedName>
    <definedName name="住宅内部装修">'比较法-住宅'!$B$122:$M$122</definedName>
    <definedName name="住宅物业管理" localSheetId="10">'[1]比较法-住宅'!$B$114:$M$114</definedName>
    <definedName name="住宅物业管理">'比较法-住宅'!$B$114:$M$114</definedName>
    <definedName name="住宅用途" localSheetId="10">'[1]比较法-住宅'!$B$63:$M$63</definedName>
    <definedName name="住宅用途">'比较法-住宅'!$B$63:$M$63</definedName>
    <definedName name="住宅主力户型面积">'比较法-住宅'!$B$120:$M$120</definedName>
    <definedName name="注册房地产估价师" localSheetId="10">[1]估价师及机构信息!$A$3:$A$16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14" i="74" l="1"/>
  <c r="B14" i="74"/>
  <c r="W19" i="81" l="1"/>
  <c r="W20" i="81"/>
  <c r="W21" i="81"/>
  <c r="W22" i="81"/>
  <c r="U25" i="81"/>
  <c r="V25" i="81"/>
  <c r="Z26" i="81"/>
  <c r="AD6" i="1" l="1"/>
  <c r="U19" i="81"/>
  <c r="R28" i="81"/>
  <c r="L9" i="81"/>
  <c r="K10" i="81"/>
  <c r="L10" i="81"/>
  <c r="N19" i="1"/>
  <c r="AB19" i="1" l="1"/>
  <c r="AB21" i="1" s="1"/>
  <c r="D5" i="9" l="1"/>
  <c r="C66" i="34"/>
  <c r="P42" i="84"/>
  <c r="P41" i="84"/>
  <c r="R8" i="84"/>
  <c r="R6" i="84"/>
  <c r="G51" i="84"/>
  <c r="D50" i="84"/>
  <c r="E51" i="84"/>
  <c r="C37" i="34"/>
  <c r="C34" i="34"/>
  <c r="R7" i="84"/>
  <c r="C10" i="34"/>
  <c r="P39" i="84"/>
  <c r="G48" i="34" l="1"/>
  <c r="R3" i="84"/>
  <c r="E48" i="34"/>
  <c r="N6" i="84" l="1"/>
  <c r="N4" i="84"/>
  <c r="M19" i="83"/>
  <c r="K19" i="83"/>
  <c r="Q72" i="82" l="1"/>
  <c r="F60" i="82"/>
  <c r="Q59" i="82"/>
  <c r="K59" i="82"/>
  <c r="P74" i="82" s="1"/>
  <c r="F59" i="82"/>
  <c r="Q58" i="82"/>
  <c r="Q51" i="82"/>
  <c r="J50" i="82"/>
  <c r="J51" i="82" s="1"/>
  <c r="M47" i="82"/>
  <c r="D46" i="82"/>
  <c r="F34" i="82"/>
  <c r="F62" i="82" s="1"/>
  <c r="F33" i="82"/>
  <c r="F61" i="82" s="1"/>
  <c r="F32" i="82"/>
  <c r="F31" i="82"/>
  <c r="F28" i="82"/>
  <c r="C28" i="82" s="1"/>
  <c r="F23" i="82"/>
  <c r="F21" i="82"/>
  <c r="M20" i="82"/>
  <c r="F20" i="82"/>
  <c r="M19" i="82"/>
  <c r="M18" i="82"/>
  <c r="F18" i="82"/>
  <c r="M17" i="82"/>
  <c r="F17" i="82"/>
  <c r="F15" i="82"/>
  <c r="G1" i="82"/>
  <c r="G44" i="43"/>
  <c r="D42" i="43"/>
  <c r="D33" i="43"/>
  <c r="F38" i="82"/>
  <c r="J15" i="82"/>
  <c r="F13" i="82"/>
  <c r="M23" i="82"/>
  <c r="F26" i="82"/>
  <c r="F36" i="82"/>
  <c r="F9" i="82"/>
  <c r="F7" i="82"/>
  <c r="F16" i="82"/>
  <c r="C14" i="82"/>
  <c r="M29" i="82"/>
  <c r="M26" i="82"/>
  <c r="F37" i="82"/>
  <c r="F8" i="82"/>
  <c r="C76" i="82"/>
  <c r="F50" i="82" l="1"/>
  <c r="M7" i="82"/>
  <c r="F64" i="82"/>
  <c r="F66" i="82"/>
  <c r="Q71" i="82"/>
  <c r="F51" i="82"/>
  <c r="C18" i="82"/>
  <c r="C15" i="82"/>
  <c r="F65" i="82"/>
  <c r="C27" i="82"/>
  <c r="D23" i="82"/>
  <c r="D22" i="82"/>
  <c r="D24" i="82"/>
  <c r="P61" i="82"/>
  <c r="F42" i="82"/>
  <c r="M9" i="82"/>
  <c r="F40" i="82"/>
  <c r="F6" i="82"/>
  <c r="M28" i="82"/>
  <c r="M6" i="82"/>
  <c r="M24" i="82"/>
  <c r="L48" i="82"/>
  <c r="C16" i="82"/>
  <c r="L47" i="82"/>
  <c r="M22" i="82"/>
  <c r="F43" i="82"/>
  <c r="M8" i="82"/>
  <c r="C49" i="82" l="1"/>
  <c r="C61" i="82" s="1"/>
  <c r="L57" i="82"/>
  <c r="L56" i="82"/>
  <c r="J57" i="82"/>
  <c r="J55" i="82" s="1"/>
  <c r="J58" i="82" s="1"/>
  <c r="Q50" i="82" s="1"/>
  <c r="J53" i="82"/>
  <c r="J59" i="82"/>
  <c r="L60" i="82"/>
  <c r="J60" i="82"/>
  <c r="Q48" i="82" s="1"/>
  <c r="I54" i="82"/>
  <c r="F71" i="82"/>
  <c r="F68" i="82"/>
  <c r="J6" i="82"/>
  <c r="N59" i="82"/>
  <c r="L59" i="82"/>
  <c r="L58" i="82"/>
  <c r="M59" i="82"/>
  <c r="C6" i="82"/>
  <c r="C17" i="82"/>
  <c r="C19" i="82" l="1"/>
  <c r="C33" i="82"/>
  <c r="C32" i="82"/>
  <c r="Q60" i="82"/>
  <c r="Q73" i="82"/>
  <c r="Q52" i="82"/>
  <c r="F1" i="82"/>
  <c r="Q61" i="82"/>
  <c r="Q74" i="82"/>
  <c r="J19" i="82"/>
  <c r="J18" i="82"/>
  <c r="Q66" i="82"/>
  <c r="Q57" i="82"/>
  <c r="L46" i="82"/>
  <c r="C20" i="82" l="1"/>
  <c r="C26" i="82" s="1"/>
  <c r="C11" i="15" l="1"/>
  <c r="Z6" i="1"/>
  <c r="N7" i="1"/>
  <c r="N6" i="1"/>
  <c r="Y7" i="1"/>
  <c r="Y6" i="1"/>
  <c r="X19" i="81" l="1"/>
  <c r="X23" i="81"/>
  <c r="X22" i="81"/>
  <c r="X21" i="81"/>
  <c r="X20" i="81"/>
  <c r="N21" i="1"/>
  <c r="G20" i="6"/>
  <c r="F19" i="6"/>
  <c r="M13" i="3"/>
  <c r="K13" i="3"/>
  <c r="G19" i="6" s="1"/>
  <c r="I13" i="3"/>
  <c r="A3" i="3" l="1"/>
  <c r="L11" i="81"/>
  <c r="N11" i="81"/>
  <c r="F61" i="81" l="1"/>
  <c r="E61" i="81"/>
  <c r="D61" i="81"/>
  <c r="F58" i="81"/>
  <c r="E58" i="81"/>
  <c r="D58" i="81"/>
  <c r="F57" i="81"/>
  <c r="F56" i="81"/>
  <c r="F55" i="81"/>
  <c r="F54" i="81"/>
  <c r="U22" i="81"/>
  <c r="T22" i="81"/>
  <c r="S22" i="81"/>
  <c r="R22" i="81"/>
  <c r="Y21" i="81"/>
  <c r="U21" i="81"/>
  <c r="T21" i="81"/>
  <c r="S21" i="81"/>
  <c r="R21" i="81"/>
  <c r="U20" i="81"/>
  <c r="T20" i="81"/>
  <c r="S20" i="81"/>
  <c r="R20" i="81"/>
  <c r="U23" i="81"/>
  <c r="T19" i="81"/>
  <c r="S19" i="81"/>
  <c r="R19" i="81"/>
  <c r="O18" i="81"/>
  <c r="X17" i="81"/>
  <c r="O17" i="81"/>
  <c r="X16" i="81"/>
  <c r="W16" i="81"/>
  <c r="V16" i="81"/>
  <c r="U16" i="81"/>
  <c r="O16" i="81"/>
  <c r="Y15" i="81"/>
  <c r="X15" i="81"/>
  <c r="W15" i="81"/>
  <c r="V15" i="81"/>
  <c r="U15" i="81"/>
  <c r="O15" i="81"/>
  <c r="D15" i="81"/>
  <c r="X14" i="81"/>
  <c r="W14" i="81"/>
  <c r="V14" i="81"/>
  <c r="U14" i="81"/>
  <c r="O14" i="81"/>
  <c r="E14" i="81"/>
  <c r="D14" i="81"/>
  <c r="X13" i="81"/>
  <c r="W13" i="81"/>
  <c r="V13" i="81"/>
  <c r="U13" i="81"/>
  <c r="X12" i="81"/>
  <c r="W12" i="81"/>
  <c r="X11" i="81"/>
  <c r="W11" i="81"/>
  <c r="V11" i="81"/>
  <c r="U11" i="81"/>
  <c r="K11" i="81"/>
  <c r="Y10" i="81"/>
  <c r="X10" i="81"/>
  <c r="W10" i="81"/>
  <c r="V10" i="81"/>
  <c r="V21" i="81" s="1"/>
  <c r="U10" i="81"/>
  <c r="X9" i="81"/>
  <c r="W9" i="81"/>
  <c r="V9" i="81"/>
  <c r="U9" i="81"/>
  <c r="Z8" i="81"/>
  <c r="AA8" i="81" s="1"/>
  <c r="X8" i="81"/>
  <c r="W8" i="81"/>
  <c r="V8" i="81"/>
  <c r="U8" i="81"/>
  <c r="L8" i="81"/>
  <c r="X7" i="81"/>
  <c r="W7" i="81"/>
  <c r="X6" i="81"/>
  <c r="W6" i="81"/>
  <c r="V6" i="81"/>
  <c r="V22" i="81" s="1"/>
  <c r="U6" i="81"/>
  <c r="M6" i="81"/>
  <c r="I6" i="81"/>
  <c r="Y5" i="81"/>
  <c r="X5" i="81"/>
  <c r="W5" i="81"/>
  <c r="V5" i="81"/>
  <c r="U5" i="81"/>
  <c r="O5" i="81"/>
  <c r="N5" i="81"/>
  <c r="M5" i="81"/>
  <c r="L5" i="81"/>
  <c r="K5" i="81"/>
  <c r="X4" i="81"/>
  <c r="W4" i="81"/>
  <c r="V4" i="81"/>
  <c r="V20" i="81" s="1"/>
  <c r="U4" i="81"/>
  <c r="AA3" i="81"/>
  <c r="Z3" i="81"/>
  <c r="X3" i="81"/>
  <c r="W3" i="81"/>
  <c r="V3" i="81"/>
  <c r="V19" i="81" s="1"/>
  <c r="U3" i="81"/>
  <c r="J2" i="81"/>
  <c r="S23" i="81" l="1"/>
  <c r="S24" i="81" s="1"/>
  <c r="S25" i="81" s="1"/>
  <c r="Z19" i="81"/>
  <c r="D1" i="81" l="1"/>
  <c r="W26" i="79" l="1"/>
  <c r="W27" i="79"/>
  <c r="W28" i="79"/>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M35" i="79"/>
  <c r="W35" i="79" s="1"/>
  <c r="L35" i="79"/>
  <c r="I35" i="79"/>
  <c r="AD35" i="79" s="1"/>
  <c r="AB34" i="79"/>
  <c r="AA34" i="79"/>
  <c r="Z34" i="79"/>
  <c r="N34" i="79"/>
  <c r="M34" i="79"/>
  <c r="W34" i="79" s="1"/>
  <c r="L34" i="79"/>
  <c r="I34" i="79"/>
  <c r="AB33" i="79"/>
  <c r="AA33" i="79"/>
  <c r="Z33" i="79"/>
  <c r="N33" i="79"/>
  <c r="M33" i="79"/>
  <c r="W33" i="79" s="1"/>
  <c r="L33" i="79"/>
  <c r="I33" i="79"/>
  <c r="AD33" i="79" s="1"/>
  <c r="AB32" i="79"/>
  <c r="AA32" i="79"/>
  <c r="Z32" i="79"/>
  <c r="N32" i="79"/>
  <c r="M32" i="79"/>
  <c r="W32" i="79" s="1"/>
  <c r="L32" i="79"/>
  <c r="I32" i="79"/>
  <c r="AB31" i="79"/>
  <c r="AA31" i="79"/>
  <c r="Z31" i="79"/>
  <c r="N31" i="79"/>
  <c r="M31" i="79"/>
  <c r="W31" i="79" s="1"/>
  <c r="L31" i="79"/>
  <c r="I31" i="79"/>
  <c r="AD31" i="79" s="1"/>
  <c r="AB30" i="79"/>
  <c r="AA30" i="79"/>
  <c r="Z30" i="79"/>
  <c r="N30" i="79"/>
  <c r="M30" i="79"/>
  <c r="L30" i="79"/>
  <c r="I30" i="79"/>
  <c r="AB29" i="79"/>
  <c r="AA29" i="79"/>
  <c r="Z29" i="79"/>
  <c r="N29" i="79"/>
  <c r="M29" i="79"/>
  <c r="T23" i="79" s="1"/>
  <c r="W23" i="79" s="1"/>
  <c r="L29" i="79"/>
  <c r="I29" i="79"/>
  <c r="AD29" i="79" s="1"/>
  <c r="AB25" i="79"/>
  <c r="AA25" i="79"/>
  <c r="AA23" i="79" s="1"/>
  <c r="AD23" i="79" s="1"/>
  <c r="Z25" i="79"/>
  <c r="N25" i="79"/>
  <c r="M25" i="79"/>
  <c r="W25" i="79" s="1"/>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N15" i="79"/>
  <c r="M15" i="79"/>
  <c r="P15" i="79" s="1"/>
  <c r="L15" i="79"/>
  <c r="K15" i="79"/>
  <c r="I15" i="79"/>
  <c r="AD14" i="79"/>
  <c r="AC14" i="79"/>
  <c r="AB14" i="79"/>
  <c r="AA14" i="79"/>
  <c r="Z14" i="79"/>
  <c r="Y14" i="79"/>
  <c r="O14" i="79"/>
  <c r="N14" i="79"/>
  <c r="M14" i="79"/>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W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W10" i="79" s="1"/>
  <c r="L10" i="79"/>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c r="P12" i="79"/>
  <c r="P14" i="79"/>
  <c r="R3" i="79"/>
  <c r="Z23" i="79"/>
  <c r="W30" i="79" s="1"/>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W9" i="79" s="1"/>
  <c r="W11" i="79" s="1"/>
  <c r="W13" i="79" s="1"/>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T5" i="79"/>
  <c r="W5" i="79" s="1"/>
  <c r="R8" i="79"/>
  <c r="R6" i="79"/>
  <c r="R7" i="79"/>
  <c r="P9" i="79"/>
  <c r="T8" i="79"/>
  <c r="W8" i="79" s="1"/>
  <c r="T7" i="79"/>
  <c r="W7" i="79" s="1"/>
  <c r="T6" i="79"/>
  <c r="W6" i="79" s="1"/>
  <c r="V8" i="79"/>
  <c r="V7" i="79"/>
  <c r="V6" i="79"/>
  <c r="K3" i="79"/>
  <c r="M3" i="79"/>
  <c r="P3" i="79" s="1"/>
  <c r="O3" i="79"/>
  <c r="T3" i="79"/>
  <c r="W3" i="79" s="1"/>
  <c r="V3" i="79"/>
  <c r="S5" i="79"/>
  <c r="U5" i="79"/>
  <c r="P5" i="79"/>
  <c r="S8" i="79"/>
  <c r="S7" i="79"/>
  <c r="S6" i="79"/>
  <c r="U8" i="79"/>
  <c r="U7" i="79"/>
  <c r="U6" i="79"/>
  <c r="M23" i="79"/>
  <c r="P23" i="79" s="1"/>
  <c r="AD30" i="79"/>
  <c r="AD32" i="79"/>
  <c r="AD34" i="79"/>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X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E5" i="6" s="1"/>
  <c r="BB11" i="3"/>
  <c r="E19" i="12"/>
  <c r="E20" i="12"/>
  <c r="E17" i="12"/>
  <c r="F22" i="12"/>
  <c r="F23" i="12"/>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AC35" i="34" s="1"/>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H23" i="34"/>
  <c r="U23" i="34" s="1"/>
  <c r="J23" i="34"/>
  <c r="W23" i="34" s="1"/>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AB42" i="34"/>
  <c r="F114" i="34"/>
  <c r="G114" i="34"/>
  <c r="H114" i="34" s="1"/>
  <c r="I114" i="34" s="1"/>
  <c r="J114" i="34" s="1"/>
  <c r="K114" i="34" s="1"/>
  <c r="L114" i="34" s="1"/>
  <c r="M114" i="34" s="1"/>
  <c r="H38" i="34"/>
  <c r="AB38" i="34"/>
  <c r="J36" i="34"/>
  <c r="W36" i="34" s="1"/>
  <c r="H37" i="34"/>
  <c r="U37" i="34" s="1"/>
  <c r="F23" i="34"/>
  <c r="AA23" i="34" s="1"/>
  <c r="J19" i="34"/>
  <c r="AC19" i="34" s="1"/>
  <c r="J17" i="34"/>
  <c r="W17" i="34" s="1"/>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BK5" i="3"/>
  <c r="BI5" i="3"/>
  <c r="BG5" i="3"/>
  <c r="BE5" i="3"/>
  <c r="BC5" i="3"/>
  <c r="G17" i="3"/>
  <c r="BA17" i="3"/>
  <c r="BT5" i="3"/>
  <c r="AZ350" i="3"/>
  <c r="AZ356" i="3"/>
  <c r="AZ360" i="3"/>
  <c r="AZ364" i="3"/>
  <c r="AZ368" i="3"/>
  <c r="BA15" i="3"/>
  <c r="AZ15" i="3" s="1"/>
  <c r="BB5" i="3"/>
  <c r="BR5" i="3"/>
  <c r="AZ380" i="3"/>
  <c r="AZ388" i="3"/>
  <c r="AZ396" i="3"/>
  <c r="AZ394" i="3"/>
  <c r="G509" i="3"/>
  <c r="BL493" i="3"/>
  <c r="AZ491" i="3"/>
  <c r="AZ376" i="3"/>
  <c r="AZ390" i="3"/>
  <c r="AZ382" i="3"/>
  <c r="AZ493" i="3"/>
  <c r="U36" i="40"/>
  <c r="F83" i="43"/>
  <c r="H85" i="43" s="1"/>
  <c r="F50" i="43"/>
  <c r="H54" i="43" s="1"/>
  <c r="G54" i="43" s="1"/>
  <c r="K54" i="43" s="1"/>
  <c r="F72" i="43"/>
  <c r="H75" i="43" s="1"/>
  <c r="U17" i="39"/>
  <c r="S14" i="35"/>
  <c r="U43" i="21"/>
  <c r="U35" i="21"/>
  <c r="AC35" i="2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AB8" i="34"/>
  <c r="AA33" i="34"/>
  <c r="W41" i="34"/>
  <c r="AC42" i="34"/>
  <c r="AB35" i="34"/>
  <c r="AB41"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AB33" i="34"/>
  <c r="AA31" i="34"/>
  <c r="AA30" i="34"/>
  <c r="AB47" i="34"/>
  <c r="AB36" i="34"/>
  <c r="AC14" i="34"/>
  <c r="AC32" i="34"/>
  <c r="AC29" i="34"/>
  <c r="W29" i="34"/>
  <c r="W46" i="34"/>
  <c r="AC46" i="34"/>
  <c r="S32" i="34"/>
  <c r="AA32" i="34"/>
  <c r="U30" i="34"/>
  <c r="AB30" i="34"/>
  <c r="S37" i="34"/>
  <c r="U38" i="34"/>
  <c r="AA19" i="34"/>
  <c r="S19" i="34"/>
  <c r="AA36" i="34"/>
  <c r="S36"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F6" i="73"/>
  <c r="B7" i="76"/>
  <c r="D35" i="9"/>
  <c r="E2" i="69"/>
  <c r="F36" i="15"/>
  <c r="E8" i="76"/>
  <c r="E10" i="76"/>
  <c r="F37" i="67"/>
  <c r="D7" i="73"/>
  <c r="F7" i="73"/>
  <c r="F6" i="67"/>
  <c r="M22" i="67"/>
  <c r="M23" i="67"/>
  <c r="F4" i="73"/>
  <c r="C76" i="15"/>
  <c r="M26" i="67"/>
  <c r="D5" i="73"/>
  <c r="F8" i="67"/>
  <c r="F13" i="15"/>
  <c r="F16" i="15"/>
  <c r="E2" i="68"/>
  <c r="M6" i="67"/>
  <c r="M23" i="15"/>
  <c r="F26" i="15"/>
  <c r="E13" i="76"/>
  <c r="F8" i="15"/>
  <c r="F13" i="67"/>
  <c r="F16" i="67"/>
  <c r="L47" i="15"/>
  <c r="E12" i="76"/>
  <c r="B9" i="76"/>
  <c r="M8" i="67"/>
  <c r="F9" i="67"/>
  <c r="F38" i="67"/>
  <c r="M9" i="15"/>
  <c r="C76" i="67"/>
  <c r="F5" i="73"/>
  <c r="B11" i="76"/>
  <c r="M28" i="15"/>
  <c r="F40" i="15"/>
  <c r="M24" i="15"/>
  <c r="F40" i="67"/>
  <c r="M6" i="15"/>
  <c r="J15" i="67"/>
  <c r="F26" i="67"/>
  <c r="M22" i="15"/>
  <c r="D3" i="73"/>
  <c r="M28" i="67"/>
  <c r="L47" i="67"/>
  <c r="F36" i="67"/>
  <c r="M8" i="15"/>
  <c r="AO13" i="1"/>
  <c r="E11" i="76"/>
  <c r="E7" i="76"/>
  <c r="F9" i="15"/>
  <c r="D4" i="73"/>
  <c r="F42" i="67"/>
  <c r="M9" i="67"/>
  <c r="D34" i="9"/>
  <c r="F3" i="73"/>
  <c r="F38" i="15"/>
  <c r="B12" i="76"/>
  <c r="F42" i="15"/>
  <c r="F20" i="31"/>
  <c r="M24" i="67"/>
  <c r="D6" i="73"/>
  <c r="B13" i="76"/>
  <c r="E9" i="76"/>
  <c r="L48" i="67"/>
  <c r="L48" i="15"/>
  <c r="B10" i="76"/>
  <c r="M26" i="15"/>
  <c r="F6" i="15"/>
  <c r="B8" i="76"/>
  <c r="J15" i="15"/>
  <c r="F17" i="34" l="1"/>
  <c r="H88" i="34"/>
  <c r="I88" i="34" s="1"/>
  <c r="J88" i="34" s="1"/>
  <c r="K88" i="34" s="1"/>
  <c r="L88" i="34" s="1"/>
  <c r="M88" i="34" s="1"/>
  <c r="H25" i="34"/>
  <c r="F25" i="34"/>
  <c r="J25" i="34"/>
  <c r="AC25" i="34" s="1"/>
  <c r="U15" i="34"/>
  <c r="AB17" i="34"/>
  <c r="W33" i="34"/>
  <c r="J37" i="34"/>
  <c r="AC37" i="34" s="1"/>
  <c r="F40" i="34"/>
  <c r="S40" i="34" s="1"/>
  <c r="J40" i="34"/>
  <c r="AC23" i="34"/>
  <c r="W19" i="34"/>
  <c r="AC17" i="34"/>
  <c r="U21" i="34"/>
  <c r="J43" i="34"/>
  <c r="H43" i="34"/>
  <c r="AB43" i="34" s="1"/>
  <c r="AA39" i="34"/>
  <c r="U39" i="34"/>
  <c r="AC39" i="34"/>
  <c r="AA40" i="34"/>
  <c r="U44" i="34"/>
  <c r="AC45" i="34"/>
  <c r="S43" i="34"/>
  <c r="U43" i="34"/>
  <c r="AB40" i="34"/>
  <c r="AC36" i="34"/>
  <c r="S23" i="34"/>
  <c r="AB23" i="34"/>
  <c r="S21" i="34"/>
  <c r="AB45" i="34"/>
  <c r="AA45" i="34"/>
  <c r="S8" i="34"/>
  <c r="H50" i="43"/>
  <c r="G50" i="43" s="1"/>
  <c r="M50" i="43" s="1"/>
  <c r="N50" i="43" s="1"/>
  <c r="J54" i="43"/>
  <c r="D54" i="43"/>
  <c r="M54" i="43"/>
  <c r="N54" i="43" s="1"/>
  <c r="H67" i="43"/>
  <c r="F28" i="15"/>
  <c r="C28" i="15" s="1"/>
  <c r="F32" i="67"/>
  <c r="F60" i="67" s="1"/>
  <c r="F28" i="67"/>
  <c r="C28" i="67" s="1"/>
  <c r="D68" i="9"/>
  <c r="M18" i="15"/>
  <c r="F30" i="69"/>
  <c r="F48" i="69" s="1"/>
  <c r="M18" i="67"/>
  <c r="F31" i="12"/>
  <c r="F30" i="11"/>
  <c r="C48" i="11" s="1"/>
  <c r="C24" i="12"/>
  <c r="C40" i="68"/>
  <c r="C21" i="68"/>
  <c r="C40" i="69"/>
  <c r="K8" i="1"/>
  <c r="E19" i="71"/>
  <c r="E18" i="71" s="1"/>
  <c r="E17" i="71" s="1"/>
  <c r="E16" i="71" s="1"/>
  <c r="V20" i="71"/>
  <c r="D17" i="71"/>
  <c r="C16" i="71"/>
  <c r="D19" i="53"/>
  <c r="B38" i="72" s="1"/>
  <c r="D16" i="53"/>
  <c r="B34" i="72" s="1"/>
  <c r="AZ521" i="3"/>
  <c r="AB31" i="21"/>
  <c r="U31" i="21"/>
  <c r="W45" i="21"/>
  <c r="AC45" i="21"/>
  <c r="BL5" i="3"/>
  <c r="G5" i="3"/>
  <c r="B3" i="3" s="1"/>
  <c r="E77" i="3" s="1"/>
  <c r="AC11" i="35"/>
  <c r="H12" i="36"/>
  <c r="H24" i="36"/>
  <c r="AZ409" i="3"/>
  <c r="AZ416" i="3"/>
  <c r="AZ425" i="3"/>
  <c r="AZ432" i="3"/>
  <c r="AZ445" i="3"/>
  <c r="AZ447" i="3"/>
  <c r="AZ464" i="3"/>
  <c r="AZ467" i="3"/>
  <c r="AZ474" i="3"/>
  <c r="AZ480" i="3"/>
  <c r="AZ482" i="3"/>
  <c r="AZ486" i="3"/>
  <c r="AZ488" i="3"/>
  <c r="AZ216" i="3"/>
  <c r="G28" i="6"/>
  <c r="F29" i="6"/>
  <c r="AA41" i="34"/>
  <c r="H23" i="35"/>
  <c r="J23" i="35"/>
  <c r="F25" i="37"/>
  <c r="J25" i="37"/>
  <c r="F26" i="37"/>
  <c r="H26" i="37"/>
  <c r="F44" i="39"/>
  <c r="H38" i="40"/>
  <c r="J38" i="40"/>
  <c r="H39" i="40"/>
  <c r="AZ231" i="3"/>
  <c r="AZ239" i="3"/>
  <c r="AZ264" i="3"/>
  <c r="AZ270" i="3"/>
  <c r="AZ274" i="3"/>
  <c r="AZ277" i="3"/>
  <c r="AZ298" i="3"/>
  <c r="AZ301" i="3"/>
  <c r="AZ122" i="3"/>
  <c r="AZ125" i="3"/>
  <c r="AZ220" i="3"/>
  <c r="AZ185" i="3"/>
  <c r="AZ201" i="3"/>
  <c r="AZ207" i="3"/>
  <c r="AZ25" i="3"/>
  <c r="AZ30" i="3"/>
  <c r="AZ36" i="3"/>
  <c r="AZ40" i="3"/>
  <c r="AZ46" i="3"/>
  <c r="AZ49" i="3"/>
  <c r="AZ62" i="3"/>
  <c r="AZ65" i="3"/>
  <c r="AZ76" i="3"/>
  <c r="AZ81" i="3"/>
  <c r="AZ90" i="3"/>
  <c r="AZ96" i="3"/>
  <c r="AZ99" i="3"/>
  <c r="AZ106" i="3"/>
  <c r="AZ134" i="3"/>
  <c r="AZ137" i="3"/>
  <c r="AZ145" i="3"/>
  <c r="AB21" i="21"/>
  <c r="AC21" i="34"/>
  <c r="T40" i="71"/>
  <c r="D40" i="71"/>
  <c r="C27" i="71"/>
  <c r="T28" i="71"/>
  <c r="D28" i="71"/>
  <c r="U28" i="71" s="1"/>
  <c r="AB21" i="33"/>
  <c r="T44" i="71"/>
  <c r="D44" i="71"/>
  <c r="S21" i="21"/>
  <c r="U18" i="36"/>
  <c r="AB27" i="71"/>
  <c r="S28" i="71"/>
  <c r="AB33" i="71"/>
  <c r="Y33" i="71"/>
  <c r="Z33" i="71" s="1"/>
  <c r="X32" i="71"/>
  <c r="X37" i="71"/>
  <c r="AA29" i="71"/>
  <c r="Y9" i="71"/>
  <c r="Z9" i="71" s="1"/>
  <c r="Y10" i="71"/>
  <c r="Z10" i="71" s="1"/>
  <c r="AA9" i="71"/>
  <c r="AA10" i="71"/>
  <c r="AB24" i="71"/>
  <c r="Y21" i="71"/>
  <c r="Z21" i="71" s="1"/>
  <c r="AB21" i="71"/>
  <c r="Y18" i="71"/>
  <c r="Z18" i="71" s="1"/>
  <c r="AB18" i="71"/>
  <c r="X14" i="71"/>
  <c r="AA12" i="71"/>
  <c r="X17" i="71"/>
  <c r="AA17" i="71"/>
  <c r="X9" i="71"/>
  <c r="X10" i="71"/>
  <c r="AB10" i="71"/>
  <c r="AB9" i="71"/>
  <c r="V68" i="71"/>
  <c r="F67" i="71"/>
  <c r="AA24" i="71"/>
  <c r="X22" i="71"/>
  <c r="AA22" i="71"/>
  <c r="X21" i="71"/>
  <c r="AA21" i="71"/>
  <c r="X18" i="71"/>
  <c r="AA18" i="71"/>
  <c r="Y14" i="71"/>
  <c r="Z14" i="71" s="1"/>
  <c r="Y17" i="71"/>
  <c r="Z17" i="71" s="1"/>
  <c r="AB17" i="71"/>
  <c r="X24" i="71"/>
  <c r="Y24" i="71"/>
  <c r="Z24" i="71" s="1"/>
  <c r="AB15" i="71"/>
  <c r="AB11" i="71"/>
  <c r="AB14" i="71"/>
  <c r="X11" i="71"/>
  <c r="Y12" i="71"/>
  <c r="Z12" i="71" s="1"/>
  <c r="Y13" i="71"/>
  <c r="Z13" i="71" s="1"/>
  <c r="Y23" i="71"/>
  <c r="Z23" i="71" s="1"/>
  <c r="Y22" i="71"/>
  <c r="Z22" i="71" s="1"/>
  <c r="AA23" i="71"/>
  <c r="AB23" i="7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8" i="3"/>
  <c r="E571" i="3"/>
  <c r="E111" i="3"/>
  <c r="E318" i="3"/>
  <c r="E567" i="3"/>
  <c r="E549" i="3"/>
  <c r="E269" i="3"/>
  <c r="E271" i="3"/>
  <c r="E145" i="3"/>
  <c r="E107" i="3"/>
  <c r="E379"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D9" i="69"/>
  <c r="C36" i="69"/>
  <c r="C36" i="68"/>
  <c r="D9" i="68"/>
  <c r="F7" i="67"/>
  <c r="M29" i="67"/>
  <c r="M29" i="15"/>
  <c r="F7" i="15"/>
  <c r="G1" i="73"/>
  <c r="F43" i="67"/>
  <c r="F43" i="15"/>
  <c r="AA17" i="34" l="1"/>
  <c r="S17" i="34"/>
  <c r="AB25" i="34"/>
  <c r="U25" i="34"/>
  <c r="W25" i="34"/>
  <c r="S25" i="34"/>
  <c r="AA25" i="34"/>
  <c r="W40" i="34"/>
  <c r="AC40" i="34"/>
  <c r="W43" i="34"/>
  <c r="AC43" i="34"/>
  <c r="F11" i="82"/>
  <c r="M11" i="82"/>
  <c r="J10" i="82" s="1"/>
  <c r="J5" i="82" s="1"/>
  <c r="K50" i="43"/>
  <c r="J50" i="43" s="1"/>
  <c r="K55" i="43"/>
  <c r="M55" i="43"/>
  <c r="N55" i="43" s="1"/>
  <c r="K56" i="43"/>
  <c r="M56" i="43"/>
  <c r="N56" i="43" s="1"/>
  <c r="M58" i="43"/>
  <c r="N58" i="43" s="1"/>
  <c r="K58" i="43"/>
  <c r="M57" i="43"/>
  <c r="N57" i="43" s="1"/>
  <c r="K57" i="43"/>
  <c r="J57" i="43" s="1"/>
  <c r="D57" i="43" s="1"/>
  <c r="M53" i="43"/>
  <c r="N53" i="43" s="1"/>
  <c r="K53" i="43"/>
  <c r="M52" i="43"/>
  <c r="N52" i="43" s="1"/>
  <c r="K52" i="43"/>
  <c r="K51" i="43"/>
  <c r="M51" i="43"/>
  <c r="N51" i="43" s="1"/>
  <c r="D50" i="43"/>
  <c r="C30" i="11"/>
  <c r="F71" i="15"/>
  <c r="F71" i="67"/>
  <c r="C6" i="67"/>
  <c r="C32" i="67" s="1"/>
  <c r="F50" i="67"/>
  <c r="C49" i="67" s="1"/>
  <c r="M7" i="67"/>
  <c r="J6" i="67" s="1"/>
  <c r="J18" i="67" s="1"/>
  <c r="M7" i="15"/>
  <c r="J6" i="15" s="1"/>
  <c r="J18" i="15" s="1"/>
  <c r="C6" i="15"/>
  <c r="C32" i="15" s="1"/>
  <c r="F50" i="15"/>
  <c r="C49" i="15" s="1"/>
  <c r="M8" i="1"/>
  <c r="G16" i="1"/>
  <c r="F10" i="39" s="1"/>
  <c r="AA10" i="39" s="1"/>
  <c r="E207" i="3"/>
  <c r="E196" i="3"/>
  <c r="E397" i="3"/>
  <c r="E93" i="3"/>
  <c r="E279" i="3"/>
  <c r="E433" i="3"/>
  <c r="E457" i="3"/>
  <c r="E330" i="3"/>
  <c r="E31" i="3"/>
  <c r="E351" i="3"/>
  <c r="E150" i="3"/>
  <c r="E72" i="3"/>
  <c r="E450" i="3"/>
  <c r="E562" i="3"/>
  <c r="E527" i="3"/>
  <c r="E573" i="3"/>
  <c r="E511" i="3"/>
  <c r="E14" i="3"/>
  <c r="E357" i="3"/>
  <c r="E257" i="3"/>
  <c r="E208" i="3"/>
  <c r="E168" i="3"/>
  <c r="E54" i="3"/>
  <c r="E475" i="3"/>
  <c r="E471" i="3"/>
  <c r="E537" i="3"/>
  <c r="W6" i="3"/>
  <c r="E288" i="3"/>
  <c r="E438" i="3"/>
  <c r="E474" i="3"/>
  <c r="E529" i="3"/>
  <c r="E532" i="3"/>
  <c r="E45" i="3"/>
  <c r="E85"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193" i="3"/>
  <c r="E99" i="3"/>
  <c r="E314" i="3"/>
  <c r="E453" i="3"/>
  <c r="E519" i="3"/>
  <c r="E313" i="3"/>
  <c r="E224" i="3"/>
  <c r="E157" i="3"/>
  <c r="E306" i="3"/>
  <c r="E352" i="3"/>
  <c r="E136" i="3"/>
  <c r="E461" i="3"/>
  <c r="E122" i="3"/>
  <c r="E133" i="3"/>
  <c r="E177" i="3"/>
  <c r="E277" i="3"/>
  <c r="E120" i="3"/>
  <c r="E228" i="3"/>
  <c r="E262" i="3"/>
  <c r="AK6" i="3"/>
  <c r="E128" i="3"/>
  <c r="E545" i="3"/>
  <c r="E434" i="3"/>
  <c r="E181" i="3"/>
  <c r="E238" i="3"/>
  <c r="E568" i="3"/>
  <c r="E156" i="3"/>
  <c r="K16" i="1"/>
  <c r="B29" i="1" s="1"/>
  <c r="C8" i="68" s="1"/>
  <c r="E59" i="40"/>
  <c r="F7" i="36"/>
  <c r="J7" i="37"/>
  <c r="H7" i="36"/>
  <c r="C26" i="71"/>
  <c r="D26" i="71" s="1"/>
  <c r="D27" i="71"/>
  <c r="U39" i="40"/>
  <c r="AB39" i="40"/>
  <c r="AB38" i="40"/>
  <c r="U38" i="40"/>
  <c r="AB26" i="37"/>
  <c r="U26" i="37"/>
  <c r="AC25" i="37"/>
  <c r="W25" i="37"/>
  <c r="AC23" i="35"/>
  <c r="W23" i="35"/>
  <c r="U12" i="36"/>
  <c r="AB12" i="3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329" i="3"/>
  <c r="E223" i="3"/>
  <c r="E105" i="3"/>
  <c r="E564" i="3"/>
  <c r="E543" i="3"/>
  <c r="E486" i="3"/>
  <c r="E422" i="3"/>
  <c r="E376" i="3"/>
  <c r="J6" i="3"/>
  <c r="E419" i="3"/>
  <c r="E401" i="3"/>
  <c r="E40" i="3"/>
  <c r="E178" i="3"/>
  <c r="E202" i="3"/>
  <c r="E226" i="3"/>
  <c r="E346" i="3"/>
  <c r="E372" i="3"/>
  <c r="E60" i="3"/>
  <c r="E43" i="3"/>
  <c r="E540" i="3"/>
  <c r="E473" i="3"/>
  <c r="E15" i="3"/>
  <c r="E455" i="3"/>
  <c r="E79" i="3"/>
  <c r="E78" i="3"/>
  <c r="E129" i="3"/>
  <c r="E190" i="3"/>
  <c r="E174" i="3"/>
  <c r="E220" i="3"/>
  <c r="E275" i="3"/>
  <c r="E235" i="3"/>
  <c r="E324" i="3"/>
  <c r="E383" i="3"/>
  <c r="E342" i="3"/>
  <c r="E522" i="3"/>
  <c r="E52" i="3"/>
  <c r="E36" i="3"/>
  <c r="E112" i="3"/>
  <c r="E123" i="3"/>
  <c r="E147" i="3"/>
  <c r="E289" i="3"/>
  <c r="E340" i="3"/>
  <c r="E364" i="3"/>
  <c r="E102" i="3"/>
  <c r="E80" i="3"/>
  <c r="E113" i="3"/>
  <c r="E158" i="3"/>
  <c r="E287" i="3"/>
  <c r="E308" i="3"/>
  <c r="E326" i="3"/>
  <c r="E22" i="3"/>
  <c r="E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3"/>
  <c r="E188" i="3"/>
  <c r="E116" i="3"/>
  <c r="E393" i="3"/>
  <c r="E493" i="3"/>
  <c r="E427" i="3"/>
  <c r="E507" i="3"/>
  <c r="E440" i="3"/>
  <c r="E490" i="3"/>
  <c r="AH6" i="3"/>
  <c r="E498" i="3"/>
  <c r="E483" i="3"/>
  <c r="E463" i="3"/>
  <c r="E25" i="3"/>
  <c r="E108" i="3"/>
  <c r="E119" i="3"/>
  <c r="E242" i="3"/>
  <c r="E276" i="3"/>
  <c r="E333" i="3"/>
  <c r="L6" i="3"/>
  <c r="E94" i="3"/>
  <c r="E75" i="3"/>
  <c r="E428" i="3"/>
  <c r="E482" i="3"/>
  <c r="E412" i="3"/>
  <c r="E18" i="3"/>
  <c r="E96" i="3"/>
  <c r="E38" i="3"/>
  <c r="E100" i="3"/>
  <c r="E170" i="3"/>
  <c r="E137" i="3"/>
  <c r="E194" i="3"/>
  <c r="E234" i="3"/>
  <c r="E219" i="3"/>
  <c r="E299" i="3"/>
  <c r="E339" i="3"/>
  <c r="E325" i="3"/>
  <c r="E392" i="3"/>
  <c r="AQ6" i="3"/>
  <c r="E35" i="3"/>
  <c r="E86" i="3"/>
  <c r="E34" i="3"/>
  <c r="E49" i="3"/>
  <c r="E206" i="3"/>
  <c r="E232" i="3"/>
  <c r="E251" i="3"/>
  <c r="E370" i="3"/>
  <c r="AF6" i="3"/>
  <c r="AC6" i="3" s="1"/>
  <c r="E50" i="3"/>
  <c r="E20" i="3"/>
  <c r="E62" i="3"/>
  <c r="E176" i="3"/>
  <c r="E218" i="3"/>
  <c r="E265" i="3"/>
  <c r="E365" i="3"/>
  <c r="E524" i="3"/>
  <c r="E101" i="3"/>
  <c r="B15" i="71"/>
  <c r="B14" i="71" s="1"/>
  <c r="B13" i="71" s="1"/>
  <c r="B12" i="71" s="1"/>
  <c r="S16" i="71"/>
  <c r="F66" i="71"/>
  <c r="Q67" i="71"/>
  <c r="AC38" i="40"/>
  <c r="W38" i="40"/>
  <c r="AA44" i="39"/>
  <c r="S44" i="39"/>
  <c r="S26" i="37"/>
  <c r="AA26" i="37"/>
  <c r="S25" i="37"/>
  <c r="AA25" i="37"/>
  <c r="U23" i="35"/>
  <c r="AB23" i="35"/>
  <c r="AB24" i="36"/>
  <c r="U24" i="36"/>
  <c r="C15" i="71"/>
  <c r="T16" i="71"/>
  <c r="E521" i="3"/>
  <c r="E15" i="71"/>
  <c r="E14" i="71" s="1"/>
  <c r="E13" i="71" s="1"/>
  <c r="E12" i="71" s="1"/>
  <c r="V16" i="71"/>
  <c r="E61" i="43"/>
  <c r="B59"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F11" i="67"/>
  <c r="F1" i="15"/>
  <c r="Q52" i="15"/>
  <c r="F1" i="67"/>
  <c r="Q52" i="67"/>
  <c r="Q60" i="15"/>
  <c r="Q73" i="15"/>
  <c r="Q61" i="67"/>
  <c r="Q74" i="67"/>
  <c r="Q74" i="15"/>
  <c r="Q61" i="15"/>
  <c r="AE11" i="1"/>
  <c r="AE9" i="1"/>
  <c r="AE8" i="1"/>
  <c r="AE12" i="1"/>
  <c r="AE10" i="1"/>
  <c r="F27" i="68"/>
  <c r="C16" i="67"/>
  <c r="F41" i="67"/>
  <c r="C16" i="15"/>
  <c r="AE7" i="1"/>
  <c r="AE6" i="1"/>
  <c r="T49" i="34" l="1"/>
  <c r="G49" i="34" s="1"/>
  <c r="G54" i="34" s="1"/>
  <c r="H54" i="34" s="1"/>
  <c r="J10" i="15"/>
  <c r="J24" i="82"/>
  <c r="L36" i="43"/>
  <c r="L37" i="43" s="1"/>
  <c r="F24" i="82"/>
  <c r="C53" i="82"/>
  <c r="C48" i="82" s="1"/>
  <c r="C10" i="82"/>
  <c r="C5" i="82" s="1"/>
  <c r="J52" i="43"/>
  <c r="D52" i="43"/>
  <c r="J53" i="43"/>
  <c r="D53" i="43"/>
  <c r="J58" i="43"/>
  <c r="D58" i="43"/>
  <c r="J51" i="43"/>
  <c r="D51" i="43"/>
  <c r="J56" i="43"/>
  <c r="D56" i="43"/>
  <c r="D55" i="43"/>
  <c r="J55" i="43"/>
  <c r="J5" i="15"/>
  <c r="J24" i="15" s="1"/>
  <c r="J5" i="67"/>
  <c r="J24" i="67" s="1"/>
  <c r="O8" i="1"/>
  <c r="P8" i="1" s="1"/>
  <c r="J10" i="39"/>
  <c r="W10" i="39" s="1"/>
  <c r="S10" i="39"/>
  <c r="H10" i="39"/>
  <c r="U10" i="39" s="1"/>
  <c r="H10" i="40"/>
  <c r="AB10" i="40" s="1"/>
  <c r="F10" i="40"/>
  <c r="S10" i="40" s="1"/>
  <c r="J10" i="40"/>
  <c r="AC10" i="40" s="1"/>
  <c r="E65" i="39"/>
  <c r="D15" i="71"/>
  <c r="C14" i="71"/>
  <c r="Q66" i="71"/>
  <c r="Q65" i="7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82"/>
  <c r="M27" i="82"/>
  <c r="M27" i="15"/>
  <c r="F41" i="15"/>
  <c r="M27" i="67"/>
  <c r="R50" i="34" l="1"/>
  <c r="C49" i="34" s="1"/>
  <c r="F69" i="82"/>
  <c r="Q36" i="43"/>
  <c r="M36" i="43"/>
  <c r="P36" i="43"/>
  <c r="O36" i="43"/>
  <c r="N36" i="43"/>
  <c r="C38" i="82"/>
  <c r="C24" i="82"/>
  <c r="C23" i="82"/>
  <c r="C66" i="82"/>
  <c r="C60" i="82"/>
  <c r="E50" i="43"/>
  <c r="B48" i="43" s="1"/>
  <c r="C28" i="43" s="1"/>
  <c r="O16" i="1"/>
  <c r="U10" i="40"/>
  <c r="AA10" i="40"/>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D30" i="6" l="1"/>
  <c r="C50" i="34"/>
  <c r="C29" i="82"/>
  <c r="C57" i="82" s="1"/>
  <c r="C64" i="82" s="1"/>
  <c r="T13" i="43"/>
  <c r="V13" i="43" s="1"/>
  <c r="T9" i="43"/>
  <c r="V9" i="43" s="1"/>
  <c r="T16" i="43"/>
  <c r="V16" i="43" s="1"/>
  <c r="T12" i="43"/>
  <c r="V12" i="43" s="1"/>
  <c r="T8" i="43"/>
  <c r="V8" i="43" s="1"/>
  <c r="T3" i="43"/>
  <c r="V3" i="43" s="1"/>
  <c r="T6" i="43"/>
  <c r="V6" i="43" s="1"/>
  <c r="C40" i="43"/>
  <c r="C41" i="43"/>
  <c r="T15" i="43"/>
  <c r="V15" i="43" s="1"/>
  <c r="T11" i="43"/>
  <c r="V11" i="43" s="1"/>
  <c r="T7" i="43"/>
  <c r="V7" i="43" s="1"/>
  <c r="T14" i="43"/>
  <c r="V14" i="43" s="1"/>
  <c r="T10" i="43"/>
  <c r="V10" i="43" s="1"/>
  <c r="T4" i="43"/>
  <c r="V4" i="43" s="1"/>
  <c r="T2" i="43"/>
  <c r="V2" i="43" s="1"/>
  <c r="T5" i="43"/>
  <c r="V5" i="43" s="1"/>
  <c r="C37" i="43"/>
  <c r="C39" i="43"/>
  <c r="C38" i="43"/>
  <c r="C42" i="43"/>
  <c r="H22" i="6"/>
  <c r="H21" i="6"/>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3" i="82" l="1"/>
  <c r="Q70" i="82" s="1"/>
  <c r="C36" i="82"/>
  <c r="Q49" i="82"/>
  <c r="J14" i="82"/>
  <c r="J13" i="82" s="1"/>
  <c r="J23" i="82" s="1"/>
  <c r="E42" i="43"/>
  <c r="G42" i="43"/>
  <c r="I42" i="43" s="1"/>
  <c r="E39" i="43"/>
  <c r="G39" i="43"/>
  <c r="I39" i="43" s="1"/>
  <c r="E41" i="43"/>
  <c r="G41" i="43"/>
  <c r="I41" i="43" s="1"/>
  <c r="G38" i="43"/>
  <c r="I38" i="43" s="1"/>
  <c r="E38" i="43"/>
  <c r="E37" i="43"/>
  <c r="G37" i="43"/>
  <c r="I37" i="43" s="1"/>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H26" i="43" l="1"/>
  <c r="G26" i="43"/>
  <c r="N370" i="46"/>
  <c r="N94" i="46"/>
  <c r="J26" i="43"/>
  <c r="F26" i="43"/>
  <c r="E26" i="43"/>
  <c r="D26" i="43" s="1"/>
  <c r="C25" i="43" s="1"/>
  <c r="C33" i="43" s="1"/>
  <c r="Z7" i="43"/>
  <c r="B116" i="43"/>
  <c r="C75" i="82"/>
  <c r="C37" i="82"/>
  <c r="H36" i="82" s="1"/>
  <c r="C56" i="82"/>
  <c r="C65" i="82" s="1"/>
  <c r="J22" i="82"/>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E33" i="43"/>
  <c r="C30" i="43" s="1"/>
  <c r="C34" i="43"/>
  <c r="E34" i="43" s="1"/>
  <c r="C31" i="43" s="1"/>
  <c r="B2" i="43"/>
  <c r="C6" i="68"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M21" i="82"/>
  <c r="F35" i="15"/>
  <c r="B6" i="76"/>
  <c r="F35" i="82"/>
  <c r="C118" i="43" l="1"/>
  <c r="D116" i="43" s="1"/>
  <c r="F63" i="82"/>
  <c r="C62" i="82" s="1"/>
  <c r="C59" i="82" s="1"/>
  <c r="C58" i="82" s="1"/>
  <c r="C67" i="82" s="1"/>
  <c r="C68" i="82" s="1"/>
  <c r="C34" i="82"/>
  <c r="C31" i="82" s="1"/>
  <c r="C30" i="82" s="1"/>
  <c r="C39" i="82" s="1"/>
  <c r="J20" i="82"/>
  <c r="J17" i="82" s="1"/>
  <c r="J16" i="82" s="1"/>
  <c r="J25" i="82" s="1"/>
  <c r="J26" i="82" s="1"/>
  <c r="J29" i="82" s="1"/>
  <c r="C7" i="68"/>
  <c r="C5" i="68" s="1"/>
  <c r="B2" i="76"/>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23" i="68"/>
  <c r="C20" i="68"/>
  <c r="C71" i="82"/>
  <c r="Q69" i="82"/>
  <c r="Q68" i="82" s="1"/>
  <c r="C40" i="82"/>
  <c r="C80" i="82"/>
  <c r="C79"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7" i="82" l="1"/>
  <c r="Q47" i="82"/>
  <c r="Q53" i="82" s="1"/>
  <c r="Q56" i="82"/>
  <c r="Q62" i="82" s="1"/>
  <c r="C43" i="82"/>
  <c r="Q65" i="82"/>
  <c r="Q75" i="82" s="1"/>
  <c r="B2" i="82"/>
  <c r="B3" i="82" s="1"/>
  <c r="C83" i="82"/>
  <c r="C82" i="82" s="1"/>
  <c r="C46" i="82"/>
  <c r="C28" i="68"/>
  <c r="C27" i="68" s="1"/>
  <c r="C25" i="68"/>
  <c r="C2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1" i="68" l="1"/>
  <c r="C52" i="68" s="1"/>
  <c r="B2" i="68" s="1"/>
  <c r="B3" i="68"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C57" i="68" l="1"/>
  <c r="C56" i="68" s="1"/>
  <c r="C17" i="9"/>
  <c r="C18" i="9" s="1"/>
  <c r="D18" i="9" s="1"/>
  <c r="Q57" i="67"/>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1" i="1"/>
  <c r="AO10" i="1"/>
  <c r="AO12" i="1"/>
  <c r="AO7" i="1"/>
  <c r="AO8"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102" i="9"/>
  <c r="G19" i="9"/>
  <c r="D22" i="9"/>
  <c r="B3" i="70"/>
  <c r="C42" i="40"/>
  <c r="C43" i="40"/>
  <c r="E47" i="40"/>
  <c r="F47" i="40" s="1"/>
  <c r="E46" i="40"/>
  <c r="F46" i="40" s="1"/>
  <c r="I47" i="40"/>
  <c r="J47" i="40" s="1"/>
  <c r="D20" i="9"/>
  <c r="G21" i="9" l="1"/>
  <c r="D14" i="74"/>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l="1"/>
  <c r="D52" i="9"/>
  <c r="C105" i="9"/>
  <c r="I4" i="52"/>
  <c r="N61" i="9"/>
  <c r="N60" i="9"/>
  <c r="C104" i="9"/>
  <c r="H4" i="52"/>
  <c r="P57" i="9"/>
  <c r="N59" i="9"/>
  <c r="N58" i="9"/>
  <c r="B49" i="72"/>
  <c r="D5" i="52"/>
  <c r="D119" i="9"/>
  <c r="B32" i="72"/>
  <c r="D14" i="53"/>
  <c r="B30" i="72"/>
  <c r="C6" i="74"/>
  <c r="C5" i="74"/>
  <c r="D13" i="53"/>
  <c r="M48" i="9"/>
  <c r="M54" i="9"/>
  <c r="C81" i="9"/>
  <c r="B48" i="72"/>
  <c r="B20" i="72"/>
  <c r="N57" i="9"/>
  <c r="H102" i="9"/>
  <c r="D7" i="53"/>
  <c r="B21" i="72"/>
  <c r="H108" i="9"/>
  <c r="D15" i="53"/>
  <c r="B31" i="72"/>
  <c r="C68" i="9"/>
  <c r="D54" i="9"/>
  <c r="C80" i="9"/>
  <c r="E80" i="9"/>
  <c r="E81" i="9"/>
  <c r="C93" i="9"/>
  <c r="C86" i="9"/>
  <c r="F4" i="52"/>
  <c r="B51" i="72"/>
  <c r="H119" i="9"/>
  <c r="H5" i="52"/>
  <c r="D9" i="52"/>
  <c r="E96" i="9"/>
  <c r="E97" i="9"/>
  <c r="D8" i="52"/>
  <c r="H107" i="9"/>
  <c r="D122" i="9"/>
  <c r="D123" i="9"/>
  <c r="F119" i="9"/>
  <c r="F5" i="52"/>
  <c r="B53" i="72"/>
  <c r="C78" i="9"/>
  <c r="C73" i="9"/>
  <c r="C72" i="9"/>
  <c r="C79" i="9"/>
  <c r="E4" i="52"/>
  <c r="D5" i="53"/>
  <c r="D6" i="53"/>
  <c r="B22" i="72"/>
  <c r="E118" i="9"/>
  <c r="D118" i="9"/>
  <c r="D4" i="52"/>
  <c r="B47" i="72"/>
  <c r="F118" i="9"/>
  <c r="G118" i="9"/>
  <c r="G4" i="52"/>
  <c r="B52" i="72"/>
  <c r="C96" i="9"/>
  <c r="C85" i="9"/>
  <c r="C95" i="9"/>
  <c r="C97" i="9"/>
  <c r="D58" i="9"/>
  <c r="D56" i="9"/>
  <c r="C64" i="9"/>
  <c r="C63" i="9"/>
  <c r="C67" i="9"/>
  <c r="D59" i="9"/>
  <c r="M55" i="9"/>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weiliru</author>
  </authors>
  <commentList>
    <comment ref="K11" authorId="0" shapeId="0">
      <text>
        <r>
          <rPr>
            <b/>
            <sz val="9"/>
            <color indexed="81"/>
            <rFont val="宋体"/>
            <family val="3"/>
            <charset val="134"/>
          </rPr>
          <t>weiliru:</t>
        </r>
        <r>
          <rPr>
            <sz val="9"/>
            <color indexed="81"/>
            <rFont val="宋体"/>
            <family val="3"/>
            <charset val="134"/>
          </rPr>
          <t xml:space="preserve">
分摊土地面积是否应按出让面积计算</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<sst xmlns="http://schemas.openxmlformats.org/spreadsheetml/2006/main" count="9616" uniqueCount="4050">
  <si>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</si>
  <si>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</si>
  <si>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</si>
  <si>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</si>
  <si>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</si>
  <si>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</si>
  <si>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</si>
  <si>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</si>
  <si>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</si>
  <si>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</si>
  <si>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</si>
  <si>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</si>
  <si>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</si>
  <si>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</si>
  <si>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</si>
  <si>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</si>
  <si>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</si>
  <si>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</si>
  <si>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</si>
  <si>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</si>
  <si>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</si>
  <si>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</si>
  <si>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</si>
  <si>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</si>
  <si>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</si>
  <si>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</si>
  <si>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</si>
  <si>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</si>
  <si>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</si>
  <si>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</si>
  <si>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</si>
  <si>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</si>
  <si>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</si>
  <si>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</si>
  <si>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</si>
  <si>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</si>
  <si>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</si>
  <si>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</si>
  <si>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</si>
  <si>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</si>
  <si>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</si>
  <si>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</si>
  <si>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</si>
  <si>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</si>
  <si>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</si>
  <si>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</si>
  <si>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</si>
  <si>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</si>
  <si>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</si>
  <si>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</si>
  <si>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</si>
  <si>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</si>
  <si>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</si>
  <si>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</si>
  <si>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</si>
  <si>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</si>
  <si>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</si>
  <si>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</si>
  <si>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</si>
  <si>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</si>
  <si>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</si>
  <si>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</si>
  <si>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</si>
  <si>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</si>
  <si>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</si>
  <si>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</si>
  <si>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</si>
  <si>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</si>
  <si>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</si>
  <si>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</si>
  <si>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</si>
  <si>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</si>
  <si>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</si>
  <si>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</si>
  <si>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</si>
  <si>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</si>
  <si>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</si>
  <si>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</si>
  <si>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</si>
  <si>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</si>
  <si>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</si>
  <si>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</si>
  <si>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</si>
  <si>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</si>
  <si>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</si>
  <si>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</si>
  <si>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</si>
  <si>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</si>
  <si>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</si>
  <si>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</si>
  <si>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</si>
  <si>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</si>
  <si>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</si>
  <si>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</si>
  <si>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</si>
  <si>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</si>
  <si>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</si>
  <si>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</si>
  <si>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</si>
  <si>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</si>
  <si>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</si>
  <si>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</si>
  <si>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</si>
  <si>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</si>
  <si>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</si>
  <si>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</si>
  <si>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</si>
  <si>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</si>
  <si>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</si>
  <si>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</si>
  <si>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</si>
  <si>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</si>
  <si>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</si>
  <si>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</si>
  <si>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</si>
  <si>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</si>
  <si>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</si>
  <si>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</si>
  <si>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</si>
  <si>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</si>
  <si>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</si>
  <si>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</si>
  <si>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</si>
  <si>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</si>
  <si>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</si>
  <si>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</si>
  <si>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</si>
  <si>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</si>
  <si>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</si>
  <si>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</si>
  <si>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</si>
  <si>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</si>
  <si>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</si>
  <si>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</si>
  <si>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</si>
  <si>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</si>
  <si>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</si>
  <si>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</si>
  <si>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</si>
  <si>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</si>
  <si>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</si>
  <si>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</si>
  <si>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</si>
  <si>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</si>
  <si>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</si>
  <si>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</si>
  <si>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</si>
  <si>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</si>
  <si>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</si>
  <si>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</si>
  <si>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</si>
  <si>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</si>
  <si>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</si>
  <si>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</si>
  <si>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</si>
  <si>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</si>
  <si>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</si>
  <si>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</si>
  <si>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</si>
  <si>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</si>
  <si>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</si>
  <si>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</si>
  <si>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</si>
  <si>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</si>
  <si>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</si>
  <si>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</si>
  <si>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</si>
  <si>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</si>
  <si>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</si>
  <si>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</si>
  <si>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</si>
  <si>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</si>
  <si>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</si>
  <si>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</si>
  <si>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</si>
  <si>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</si>
  <si>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</si>
  <si>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</si>
  <si>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</si>
  <si>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</si>
  <si>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</si>
  <si>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</si>
  <si>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</si>
  <si>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</si>
  <si>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</si>
  <si>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</si>
  <si>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</si>
  <si>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</si>
  <si>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</si>
  <si>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</si>
  <si>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</si>
  <si>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</si>
  <si>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</si>
  <si>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</si>
  <si>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</si>
  <si>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</si>
  <si>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</si>
  <si>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</si>
  <si>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</si>
  <si>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</si>
  <si>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</si>
  <si>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</si>
  <si>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</si>
  <si>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</si>
  <si>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</si>
  <si>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</si>
  <si>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</si>
  <si>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</si>
  <si>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</si>
  <si>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</si>
  <si>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</si>
  <si>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</si>
  <si>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</si>
  <si>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</si>
  <si>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</si>
  <si>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</si>
  <si>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</si>
  <si>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</si>
  <si>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</si>
  <si>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</si>
  <si>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</si>
  <si>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</si>
  <si>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</si>
  <si>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</si>
  <si>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</si>
  <si>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</si>
  <si>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</si>
  <si>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</si>
  <si>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</si>
  <si>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</si>
  <si>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</si>
  <si>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</si>
  <si>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</si>
  <si>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</si>
  <si>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</si>
  <si>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</si>
  <si>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</si>
  <si>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</si>
  <si>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</si>
  <si>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</si>
  <si>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</si>
  <si>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</si>
  <si>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</si>
  <si>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</si>
  <si>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</si>
  <si>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</si>
  <si>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</si>
  <si>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</si>
  <si>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</si>
  <si>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</si>
  <si>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</si>
  <si>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</si>
  <si>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</si>
  <si>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</si>
  <si>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</si>
  <si>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</si>
  <si>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</si>
  <si>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</si>
  <si>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</si>
  <si>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</si>
  <si>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</si>
  <si>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</si>
  <si>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</si>
  <si>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</si>
  <si>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</si>
  <si>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</si>
  <si>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</si>
  <si>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</si>
  <si>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</si>
  <si>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</si>
  <si>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</si>
  <si>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</si>
  <si>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</si>
  <si>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</si>
  <si>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</si>
  <si>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</si>
  <si>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</si>
  <si>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</si>
  <si>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</si>
  <si>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</si>
  <si>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</si>
  <si>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</si>
  <si>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</si>
  <si>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</si>
  <si>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</si>
  <si>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</si>
  <si>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</si>
  <si>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</si>
  <si>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</si>
  <si>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</si>
  <si>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</si>
  <si>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</si>
  <si>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</si>
  <si>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</si>
  <si>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</si>
  <si>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</si>
  <si>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</si>
  <si>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</si>
  <si>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</si>
  <si>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</si>
  <si>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</si>
  <si>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</si>
  <si>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</si>
  <si>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</si>
  <si>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</si>
  <si>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</si>
  <si>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</si>
  <si>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</si>
  <si>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</si>
  <si>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</si>
  <si>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</si>
  <si>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</si>
  <si>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</si>
  <si>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</si>
  <si>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</si>
  <si>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</si>
  <si>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</si>
  <si>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</si>
  <si>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</si>
  <si>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</si>
  <si>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</si>
  <si>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</si>
  <si>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</si>
  <si>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</si>
  <si>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</si>
  <si>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</si>
  <si>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</si>
  <si>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</si>
  <si>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</si>
  <si>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</si>
  <si>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</si>
  <si>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</si>
  <si>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</si>
  <si>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</si>
  <si>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</si>
  <si>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</si>
  <si>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</si>
  <si>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</si>
  <si>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</si>
  <si>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</si>
  <si>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</si>
  <si>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</si>
  <si>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</si>
  <si>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</si>
  <si>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</si>
  <si>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</si>
  <si>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</si>
  <si>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</si>
  <si>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</si>
  <si>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</si>
  <si>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</si>
  <si>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</si>
  <si>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</si>
  <si>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</si>
  <si>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</si>
  <si>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</si>
  <si>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</si>
  <si>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</si>
  <si>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</si>
  <si>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</si>
  <si>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</si>
  <si>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</si>
  <si>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</si>
  <si>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</si>
  <si>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</si>
  <si>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</si>
  <si>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</si>
  <si>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</si>
  <si>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</si>
  <si>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</si>
  <si>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</si>
  <si>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</si>
  <si>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</si>
  <si>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</si>
  <si>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</si>
  <si>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</si>
  <si>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</si>
  <si>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</si>
  <si>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</si>
  <si>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</si>
  <si>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</si>
  <si>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</si>
  <si>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</si>
  <si>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</si>
  <si>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</si>
  <si>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</si>
  <si>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</si>
  <si>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</si>
  <si>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</si>
  <si>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</si>
  <si>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</si>
  <si>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</si>
  <si>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</si>
  <si>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</si>
  <si>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</si>
  <si>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</si>
  <si>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</si>
  <si>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</si>
  <si>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</si>
  <si>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</si>
  <si>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</si>
  <si>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</si>
  <si>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</si>
  <si>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</si>
  <si>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</si>
  <si>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</si>
  <si>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</si>
  <si>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</si>
  <si>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</si>
  <si>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</si>
  <si>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</si>
  <si>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</si>
  <si>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</si>
  <si>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</si>
  <si>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</si>
  <si>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</si>
  <si>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</si>
  <si>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</si>
  <si>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</si>
  <si>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</si>
  <si>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</si>
  <si>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</si>
  <si>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</si>
  <si>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</si>
  <si>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</si>
  <si>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</si>
  <si>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</si>
  <si>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</si>
  <si>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</si>
  <si>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</si>
  <si>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</si>
  <si>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</si>
  <si>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</si>
  <si>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</si>
  <si>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</si>
  <si>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</si>
  <si>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</si>
  <si>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</si>
  <si>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</si>
  <si>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</si>
  <si>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</si>
  <si>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</si>
  <si>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</si>
  <si>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</si>
  <si>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</si>
  <si>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</si>
  <si>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</si>
  <si>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</si>
  <si>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</si>
  <si>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</si>
  <si>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</si>
  <si>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</si>
  <si>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</si>
  <si>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</si>
  <si>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</si>
  <si>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</si>
  <si>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</si>
  <si>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</si>
  <si>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</si>
  <si>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</si>
  <si>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</si>
  <si>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</si>
  <si>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</si>
  <si>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</si>
  <si>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</si>
  <si>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</si>
  <si>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</si>
  <si>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</si>
  <si>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</si>
  <si>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</si>
  <si>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</si>
  <si>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</si>
  <si>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</si>
  <si>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</si>
  <si>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</si>
  <si>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</si>
  <si>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</si>
  <si>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</si>
  <si>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</si>
  <si>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</si>
  <si>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</si>
  <si>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</si>
  <si>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</si>
  <si>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</si>
  <si>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</si>
  <si>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</si>
  <si>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</si>
  <si>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</si>
  <si>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</si>
  <si>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</si>
  <si>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</si>
  <si>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</si>
  <si>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</si>
  <si>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</si>
  <si>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</si>
  <si>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</si>
  <si>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</si>
  <si>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</si>
  <si>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</si>
  <si>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</si>
  <si>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</si>
  <si>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</si>
  <si>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</si>
  <si>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</si>
  <si>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</si>
  <si>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</si>
  <si>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</si>
  <si>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</si>
  <si>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</si>
  <si>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</si>
  <si>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</si>
  <si>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</si>
  <si>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</si>
  <si>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</si>
  <si>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</si>
  <si>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</si>
  <si>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</si>
  <si>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</si>
  <si>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</si>
  <si>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</si>
  <si>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</si>
  <si>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</si>
  <si>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</si>
  <si>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</si>
  <si>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</si>
  <si>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</si>
  <si>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</si>
  <si>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</si>
  <si>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</si>
  <si>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</si>
  <si>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</si>
  <si>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</si>
  <si>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</si>
  <si>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</si>
  <si>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</si>
  <si>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</si>
  <si>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</si>
  <si>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</si>
  <si>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</si>
  <si>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</si>
  <si>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</si>
  <si>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</si>
  <si>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</si>
  <si>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</si>
  <si>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</si>
  <si>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</si>
  <si>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</si>
  <si>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</si>
  <si>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</si>
  <si>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</si>
  <si>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</si>
  <si>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</si>
  <si>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</si>
  <si>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</si>
  <si>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</si>
  <si>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</si>
  <si>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</si>
  <si>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</si>
  <si>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</si>
  <si>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</si>
  <si>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</si>
  <si>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</si>
  <si>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</si>
  <si>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</si>
  <si>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</si>
  <si>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</si>
  <si>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</si>
  <si>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</si>
  <si>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</si>
  <si>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</si>
  <si>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</si>
  <si>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</si>
  <si>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</si>
  <si>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</si>
  <si>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</si>
  <si>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</si>
  <si>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</si>
  <si>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</si>
  <si>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</si>
  <si>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</si>
  <si>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</si>
  <si>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</si>
  <si>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</si>
  <si>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</si>
  <si>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</si>
  <si>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</si>
  <si>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</si>
  <si>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</si>
  <si>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</si>
  <si>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</si>
  <si>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</si>
  <si>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</si>
  <si>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</si>
  <si>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</si>
  <si>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</si>
  <si>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</si>
  <si>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</si>
  <si>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</si>
  <si>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</si>
  <si>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</si>
  <si>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</si>
  <si>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</si>
  <si>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</si>
  <si>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</si>
  <si>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</si>
  <si>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</si>
  <si>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</si>
  <si>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</si>
  <si>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</si>
  <si>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</si>
  <si>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</si>
  <si>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</si>
  <si>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</si>
  <si>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</si>
  <si>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</si>
  <si>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</si>
  <si>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</si>
  <si>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</si>
  <si>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</si>
  <si>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</si>
  <si>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</si>
  <si>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</si>
  <si>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</si>
  <si>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</si>
  <si>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</si>
  <si>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</si>
  <si>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</si>
  <si>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</si>
  <si>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</si>
  <si>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</si>
  <si>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</si>
  <si>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</si>
  <si>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</si>
  <si>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</si>
  <si>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</si>
  <si>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</si>
  <si>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</si>
  <si>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</si>
  <si>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</si>
  <si>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</si>
  <si>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</si>
  <si>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</si>
  <si>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</si>
  <si>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</si>
  <si>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</si>
  <si>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</si>
  <si>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</si>
  <si>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</si>
  <si>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</si>
  <si>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</si>
  <si>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</si>
  <si>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</si>
  <si>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</si>
  <si>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</si>
  <si>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</si>
  <si>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</si>
  <si>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</si>
  <si>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</si>
  <si>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</si>
  <si>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</si>
  <si>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</si>
  <si>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</si>
  <si>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</si>
  <si>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</si>
  <si>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</si>
  <si>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</si>
  <si>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</si>
  <si>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</si>
  <si>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</si>
  <si>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</si>
  <si>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</si>
  <si>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</si>
  <si>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</si>
  <si>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</si>
  <si>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</si>
  <si>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</si>
  <si>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</si>
  <si>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</si>
  <si>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</si>
  <si>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</si>
  <si>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</si>
  <si>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</si>
  <si>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</si>
  <si>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</si>
  <si>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</si>
  <si>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</si>
  <si>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</si>
  <si>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</si>
  <si>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</si>
  <si>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</si>
  <si>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</si>
  <si>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</si>
  <si>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</si>
  <si>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</si>
  <si>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</si>
  <si>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</si>
  <si>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</si>
  <si>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</si>
  <si>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</si>
  <si>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</si>
  <si>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</si>
  <si>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</si>
  <si>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</si>
  <si>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</si>
  <si>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</si>
  <si>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</si>
  <si>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</si>
  <si>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</si>
  <si>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</si>
  <si>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</si>
  <si>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</si>
  <si>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</si>
  <si>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</si>
  <si>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</si>
  <si>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</si>
  <si>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</si>
  <si>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</si>
  <si>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</si>
  <si>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</si>
  <si>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</si>
  <si>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</si>
  <si>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</si>
  <si>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</si>
  <si>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</si>
  <si>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</si>
  <si>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</si>
  <si>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</si>
  <si>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</si>
  <si>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</si>
  <si>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</si>
  <si>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</si>
  <si>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</si>
  <si>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</si>
  <si>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</si>
  <si>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</si>
  <si>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</si>
  <si>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</si>
  <si>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</si>
  <si>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</si>
  <si>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</si>
  <si>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</si>
  <si>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</si>
  <si>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</si>
  <si>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</si>
  <si>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</si>
  <si>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</si>
  <si>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</si>
  <si>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</si>
  <si>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</si>
  <si>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</si>
  <si>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</si>
  <si>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</si>
  <si>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</si>
  <si>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</si>
  <si>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</si>
  <si>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</si>
  <si>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</si>
  <si>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</si>
  <si>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</si>
  <si>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</si>
  <si>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</si>
  <si>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</si>
  <si>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</si>
  <si>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</si>
  <si>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</si>
  <si>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</si>
  <si>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</si>
  <si>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</si>
  <si>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</si>
  <si>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</si>
  <si>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</si>
  <si>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</si>
  <si>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</si>
  <si>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</si>
  <si>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</si>
  <si>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</si>
  <si>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</si>
  <si>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</si>
  <si>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</si>
  <si>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</si>
  <si>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</si>
  <si>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</si>
  <si>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</si>
  <si>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</si>
  <si>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</si>
  <si>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</si>
  <si>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</si>
  <si>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</si>
  <si>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</si>
  <si>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</si>
  <si>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</si>
  <si>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</si>
  <si>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</si>
  <si>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</si>
  <si>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</si>
  <si>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</si>
  <si>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</si>
  <si>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</si>
  <si>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</si>
  <si>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</si>
  <si>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</si>
  <si>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</si>
  <si>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</si>
  <si>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</si>
  <si>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</si>
  <si>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</si>
  <si>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</si>
  <si>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</si>
  <si>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</si>
  <si>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</si>
  <si>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</si>
  <si>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</si>
  <si>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</si>
  <si>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</si>
  <si>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</si>
  <si>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</si>
  <si>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</si>
  <si>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</si>
  <si>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</si>
  <si>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</si>
  <si>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</si>
  <si>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</si>
  <si>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</si>
  <si>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</si>
  <si>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</si>
  <si>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</si>
  <si>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</si>
  <si>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</si>
  <si>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</si>
  <si>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</si>
  <si>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</si>
  <si>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</si>
  <si>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</si>
  <si>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</si>
  <si>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</si>
  <si>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</si>
  <si>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</si>
  <si>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</si>
  <si>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</si>
  <si>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</si>
  <si>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</si>
  <si>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</si>
  <si>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</si>
  <si>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</si>
  <si>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</si>
  <si>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</si>
  <si>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</si>
  <si>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</si>
  <si>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</si>
  <si>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</si>
  <si>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</si>
  <si>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</si>
  <si>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</si>
  <si>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</si>
  <si>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</si>
  <si>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</si>
  <si>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</si>
  <si>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</si>
  <si>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</si>
  <si>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</si>
  <si>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</si>
  <si>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</si>
  <si>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</si>
  <si>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</si>
  <si>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</si>
  <si>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</si>
  <si>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</si>
  <si>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</si>
  <si>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</si>
  <si>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</si>
  <si>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</si>
  <si>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</si>
  <si>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</si>
  <si>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</si>
  <si>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</si>
  <si>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</si>
  <si>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</si>
  <si>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</si>
  <si>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</si>
  <si>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</si>
  <si>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</si>
  <si>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</si>
  <si>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</si>
  <si>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</si>
  <si>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</si>
  <si>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</si>
  <si>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</si>
  <si>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</si>
  <si>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</si>
  <si>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</si>
  <si>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</si>
  <si>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</si>
  <si>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</si>
  <si>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</si>
  <si>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</si>
  <si>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</si>
  <si>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</si>
  <si>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</si>
  <si>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</si>
  <si>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</si>
  <si>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</si>
  <si>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</si>
  <si>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</si>
  <si>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</si>
  <si>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</si>
  <si>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</si>
  <si>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</si>
  <si>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</si>
  <si>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</si>
  <si>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</si>
  <si>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</si>
  <si>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</si>
  <si>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</si>
  <si>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</si>
  <si>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</si>
  <si>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</si>
  <si>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</si>
  <si>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</si>
  <si>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</si>
  <si>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</si>
  <si>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</si>
  <si>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</si>
  <si>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</si>
  <si>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</si>
  <si>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</si>
  <si>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</si>
  <si>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</si>
  <si>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</si>
  <si>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</si>
  <si>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</si>
  <si>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</si>
  <si>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</si>
  <si>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</si>
  <si>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</si>
  <si>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</si>
  <si>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</si>
  <si>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</si>
  <si>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</si>
  <si>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</si>
  <si>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</si>
  <si>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</si>
  <si>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</si>
  <si>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</si>
  <si>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</si>
  <si>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</si>
  <si>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</si>
  <si>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</si>
  <si>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</si>
  <si>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</si>
  <si>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</si>
  <si>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</si>
  <si>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</si>
  <si>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</si>
  <si>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</si>
  <si>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</si>
  <si>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</si>
  <si>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</si>
  <si>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</si>
  <si>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</si>
  <si>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</si>
  <si>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</si>
  <si>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</si>
  <si>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</si>
  <si>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</si>
  <si>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</si>
  <si>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</si>
  <si>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</si>
  <si>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</si>
  <si>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</si>
  <si>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</si>
  <si>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</si>
  <si>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</si>
  <si>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</si>
  <si>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</si>
  <si>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</si>
  <si>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</si>
  <si>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</si>
  <si>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</si>
  <si>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</si>
  <si>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</si>
  <si>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</si>
  <si>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</si>
  <si>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</si>
  <si>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</si>
  <si>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</si>
  <si>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</si>
  <si>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</si>
  <si>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</si>
  <si>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</si>
  <si>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</si>
  <si>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</si>
  <si>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</si>
  <si>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</si>
  <si>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</si>
  <si>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</si>
  <si>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</si>
  <si>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</si>
  <si>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</si>
  <si>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</si>
  <si>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</si>
  <si>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</si>
  <si>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</si>
  <si>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</si>
  <si>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</si>
  <si>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</si>
  <si>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</si>
  <si>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</si>
  <si>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</si>
  <si>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</si>
  <si>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</si>
  <si>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</si>
  <si>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</si>
  <si>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</si>
  <si>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</si>
  <si>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</si>
  <si>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</si>
  <si>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</si>
  <si>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</si>
  <si>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</si>
  <si>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</si>
  <si>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</si>
  <si>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</si>
  <si>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</si>
  <si>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</si>
  <si>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</si>
  <si>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</si>
  <si>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</si>
  <si>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</si>
  <si>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</si>
  <si>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</si>
  <si>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</si>
  <si>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</si>
  <si>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</si>
  <si>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</si>
  <si>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</si>
  <si>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</si>
  <si>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</si>
  <si>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</si>
  <si>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</si>
  <si>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</si>
  <si>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</si>
  <si>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</si>
  <si>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</si>
  <si>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</si>
  <si>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</si>
  <si>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</si>
  <si>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</si>
  <si>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</si>
  <si>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</si>
  <si>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</si>
  <si>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</si>
  <si>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</si>
  <si>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</si>
  <si>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</si>
  <si>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</si>
  <si>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</si>
  <si>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</si>
  <si>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</si>
  <si>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</si>
  <si>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</si>
  <si>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</si>
  <si>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</si>
  <si>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</si>
  <si>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</si>
  <si>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</si>
  <si>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</si>
  <si>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</si>
  <si>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</si>
  <si>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</si>
  <si>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</si>
  <si>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</si>
  <si>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</si>
  <si>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</si>
  <si>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</si>
  <si>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</si>
  <si>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</si>
  <si>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</si>
  <si>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</si>
  <si>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</si>
  <si>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</si>
  <si>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</si>
  <si>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</si>
  <si>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</si>
  <si>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</si>
  <si>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</si>
  <si>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</si>
  <si>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</si>
  <si>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</si>
  <si>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</si>
  <si>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</si>
  <si>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</si>
  <si>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</si>
  <si>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</si>
  <si>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</si>
  <si>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</si>
  <si>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</si>
  <si>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</si>
  <si>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</si>
  <si>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</si>
  <si>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</si>
  <si>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</si>
  <si>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</si>
  <si>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</si>
  <si>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</si>
  <si>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</si>
  <si>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</si>
  <si>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</si>
  <si>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</si>
  <si>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</si>
  <si>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</si>
  <si>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</si>
  <si>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</si>
  <si>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</si>
  <si>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</si>
  <si>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</si>
  <si>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</si>
  <si>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</si>
  <si>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</si>
  <si>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</si>
  <si>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</si>
  <si>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</si>
  <si>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</si>
  <si>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</si>
  <si>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</si>
  <si>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</si>
  <si>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</si>
  <si>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</si>
  <si>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</si>
  <si>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</si>
  <si>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</si>
  <si>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</si>
  <si>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</si>
  <si>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</si>
  <si>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</si>
  <si>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</si>
  <si>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</si>
  <si>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</si>
  <si>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</si>
  <si>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</si>
  <si>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</si>
  <si>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</si>
  <si>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</si>
  <si>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</si>
  <si>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</si>
  <si>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</si>
  <si>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</si>
  <si>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</si>
  <si>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</si>
  <si>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</si>
  <si>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</si>
  <si>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</si>
  <si>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</si>
  <si>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</si>
  <si>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</si>
  <si>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</si>
  <si>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</si>
  <si>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</si>
  <si>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</si>
  <si>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</si>
  <si>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</si>
  <si>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</si>
  <si>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</si>
  <si>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</si>
  <si>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</si>
  <si>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</si>
  <si>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</si>
  <si>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</si>
  <si>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</si>
  <si>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</si>
  <si>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</si>
  <si>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</si>
  <si>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</si>
  <si>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</si>
  <si>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</si>
  <si>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</si>
  <si>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</si>
  <si>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</si>
  <si>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</si>
  <si>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</si>
  <si>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</si>
  <si>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</si>
  <si>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</si>
  <si>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</si>
  <si>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</si>
  <si>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</si>
  <si>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</si>
  <si>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</si>
  <si>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</si>
  <si>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</si>
  <si>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</si>
  <si>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</si>
  <si>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</si>
  <si>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</si>
  <si>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</si>
  <si>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</si>
  <si>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</si>
  <si>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</si>
  <si>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</si>
  <si>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</si>
  <si>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</si>
  <si>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</si>
  <si>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</si>
  <si>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</si>
  <si>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</si>
  <si>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</si>
  <si>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</si>
  <si>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</si>
  <si>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</si>
  <si>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</si>
  <si>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</si>
  <si>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</si>
  <si>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</si>
  <si>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</si>
  <si>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</si>
  <si>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</si>
  <si>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</si>
  <si>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</si>
  <si>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</si>
  <si>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</si>
  <si>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</si>
  <si>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</si>
  <si>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</si>
  <si>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</si>
  <si>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</si>
  <si>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</si>
  <si>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</si>
  <si>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</si>
  <si>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</si>
  <si>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</si>
  <si>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</si>
  <si>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</si>
  <si>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</si>
  <si>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</si>
  <si>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</si>
  <si>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</si>
  <si>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</si>
  <si>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</si>
  <si>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</si>
  <si>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</si>
  <si>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</si>
  <si>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</si>
  <si>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</si>
  <si>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</si>
  <si>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</si>
  <si>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</si>
  <si>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</si>
  <si>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</si>
  <si>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</si>
  <si>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</si>
  <si>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</si>
  <si>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</si>
  <si>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</si>
  <si>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</si>
  <si>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</si>
  <si>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</si>
  <si>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</si>
  <si>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</si>
  <si>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</si>
  <si>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</si>
  <si>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</si>
  <si>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</si>
  <si>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</si>
  <si>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</si>
  <si>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</si>
  <si>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</si>
  <si>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</si>
  <si>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</si>
  <si>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</si>
  <si>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</si>
  <si>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</si>
  <si>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</si>
  <si>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</si>
  <si>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</si>
  <si>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</si>
  <si>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</si>
  <si>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</si>
  <si>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</si>
  <si>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</si>
  <si>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</si>
  <si>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</si>
  <si>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</si>
  <si>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</si>
  <si>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</si>
  <si>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</si>
  <si>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</si>
  <si>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</si>
  <si>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</si>
  <si>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</si>
  <si>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</si>
  <si>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</si>
  <si>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</si>
  <si>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</si>
  <si>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</si>
  <si>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</si>
  <si>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</si>
  <si>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</si>
  <si>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</si>
  <si>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</si>
  <si>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</si>
  <si>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</si>
  <si>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</si>
  <si>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</si>
  <si>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</si>
  <si>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</si>
  <si>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</si>
  <si>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</si>
  <si>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</si>
  <si>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</si>
  <si>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</si>
  <si>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</si>
  <si>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</si>
  <si>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</si>
  <si>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</si>
  <si>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</si>
  <si>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</si>
  <si>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</si>
  <si>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</si>
  <si>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</si>
  <si>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</si>
  <si>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</si>
  <si>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</si>
  <si>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</si>
  <si>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</si>
  <si>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</si>
  <si>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</si>
  <si>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</si>
  <si>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</si>
  <si>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</si>
  <si>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</si>
  <si>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</si>
  <si>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</si>
  <si>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</si>
  <si>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</si>
  <si>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</si>
  <si>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</si>
  <si>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</si>
  <si>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</si>
  <si>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</si>
  <si>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</si>
  <si>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</si>
  <si>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</si>
  <si>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</si>
  <si>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</si>
  <si>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</si>
  <si>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</si>
  <si>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</si>
  <si>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</si>
  <si>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</si>
  <si>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</si>
  <si>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</si>
  <si>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</si>
  <si>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</si>
  <si>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</si>
  <si>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</si>
  <si>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</si>
  <si>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</si>
  <si>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</si>
  <si>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</si>
  <si>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</si>
  <si>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</si>
  <si>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</si>
  <si>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</si>
  <si>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</si>
  <si>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</si>
  <si>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</si>
  <si>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</si>
  <si>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</si>
  <si>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</si>
  <si>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</si>
  <si>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</si>
  <si>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</si>
  <si>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</si>
  <si>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</si>
  <si>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</si>
  <si>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</si>
  <si>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</si>
  <si>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</si>
  <si>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</si>
  <si>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</si>
  <si>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</si>
  <si>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</si>
  <si>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</si>
  <si>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</si>
  <si>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</si>
  <si>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</si>
  <si>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</si>
  <si>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</si>
  <si>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</si>
  <si>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</si>
  <si>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</si>
  <si>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</si>
  <si>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</si>
  <si>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</si>
  <si>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</si>
  <si>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</si>
  <si>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</si>
  <si>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</si>
  <si>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</si>
  <si>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</si>
  <si>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</si>
  <si>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</si>
  <si>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</si>
  <si>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</si>
  <si>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</si>
  <si>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</si>
  <si>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</si>
  <si>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</si>
  <si>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</si>
  <si>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</si>
  <si>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</si>
  <si>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</si>
  <si>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</si>
  <si>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</si>
  <si>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</si>
  <si>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</si>
  <si>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</si>
  <si>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</si>
  <si>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</si>
  <si>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</si>
  <si>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</si>
  <si>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</si>
  <si>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</si>
  <si>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</si>
  <si>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</si>
  <si>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</si>
  <si>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</si>
  <si>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</si>
  <si>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</si>
  <si>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</si>
  <si>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</si>
  <si>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</si>
  <si>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</si>
  <si>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</si>
  <si>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</si>
  <si>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</si>
  <si>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</si>
  <si>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</si>
  <si>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</si>
  <si>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</si>
  <si>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</si>
  <si>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</si>
  <si>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</si>
  <si>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</si>
  <si>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</si>
  <si>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</si>
  <si>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</si>
  <si>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</si>
  <si>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</si>
  <si>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</si>
  <si>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</si>
  <si>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</si>
  <si>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</si>
  <si>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</si>
  <si>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</si>
  <si>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</si>
  <si>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</si>
  <si>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</si>
  <si>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</si>
  <si>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</si>
  <si>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</si>
  <si>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</si>
  <si>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</si>
  <si>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</si>
  <si>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</si>
  <si>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</si>
  <si>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</si>
  <si>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</si>
  <si>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</si>
  <si>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</si>
  <si>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</si>
  <si>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</si>
  <si>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</si>
  <si>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</si>
  <si>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</si>
  <si>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</si>
  <si>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</si>
  <si>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</si>
  <si>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</si>
  <si>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</si>
  <si>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</si>
  <si>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</si>
  <si>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</si>
  <si>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</si>
  <si>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</si>
  <si>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</si>
  <si>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</si>
  <si>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</si>
  <si>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</si>
  <si>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</si>
  <si>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</si>
  <si>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</si>
  <si>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</si>
  <si>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</si>
  <si>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</si>
  <si>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</si>
  <si>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</si>
  <si>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</si>
  <si>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</si>
  <si>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</si>
  <si>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</si>
  <si>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</si>
  <si>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</si>
  <si>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</si>
  <si>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</si>
  <si>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</si>
  <si>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</si>
  <si>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</si>
  <si>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</si>
  <si>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</si>
  <si>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</si>
  <si>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</si>
  <si>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</si>
  <si>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</si>
  <si>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</si>
  <si>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</si>
  <si>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</si>
  <si>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</si>
  <si>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</si>
  <si>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</si>
  <si>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</si>
  <si>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</si>
  <si>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</si>
  <si>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</si>
  <si>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</si>
  <si>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</si>
  <si>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</si>
  <si>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</si>
  <si>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</si>
  <si>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</si>
  <si>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</si>
  <si>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</si>
  <si>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</si>
  <si>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</si>
  <si>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</si>
  <si>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</si>
  <si>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</si>
  <si>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</si>
  <si>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</si>
  <si>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</si>
  <si>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</si>
  <si>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</si>
  <si>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</si>
  <si>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</si>
  <si>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</si>
  <si>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</si>
  <si>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</si>
  <si>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</si>
  <si>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</si>
  <si>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</si>
  <si>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</si>
  <si>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</si>
  <si>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</si>
  <si>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</si>
  <si>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</si>
  <si>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</si>
  <si>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</si>
  <si>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</si>
  <si>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</si>
  <si>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</si>
  <si>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</si>
  <si>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</si>
  <si>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</si>
  <si>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</si>
  <si>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</si>
  <si>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</si>
  <si>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</si>
  <si>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</si>
  <si>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</si>
  <si>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</si>
  <si>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</si>
  <si>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</si>
  <si>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</si>
  <si>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</si>
  <si>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</si>
  <si>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</si>
  <si>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</si>
  <si>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</si>
  <si>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</si>
  <si>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</si>
  <si>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</si>
  <si>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</si>
  <si>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</si>
  <si>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</si>
  <si>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</si>
  <si>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</si>
  <si>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</si>
  <si>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</si>
  <si>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</si>
  <si>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</si>
  <si>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</si>
  <si>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</si>
  <si>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</si>
  <si>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</si>
  <si>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</si>
  <si>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</si>
  <si>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</si>
  <si>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</si>
  <si>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</si>
  <si>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</si>
  <si>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</si>
  <si>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</si>
  <si>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</si>
  <si>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</si>
  <si>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</si>
  <si>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</si>
  <si>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</si>
  <si>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</si>
  <si>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</si>
  <si>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</si>
  <si>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</si>
  <si>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</si>
  <si>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</si>
  <si>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</si>
  <si>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</si>
  <si>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</si>
  <si>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</si>
  <si>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</si>
  <si>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</si>
  <si>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</si>
  <si>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</si>
  <si>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</si>
  <si>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</si>
  <si>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</si>
  <si>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</si>
  <si>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</si>
  <si>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</si>
  <si>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</si>
  <si>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</si>
  <si>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</si>
  <si>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</si>
  <si>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</si>
  <si>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</si>
  <si>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</si>
  <si>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</si>
  <si>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</si>
  <si>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</si>
  <si>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</si>
  <si>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</si>
  <si>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</si>
  <si>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</si>
  <si>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</si>
  <si>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</si>
  <si>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</si>
  <si>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</si>
  <si>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</si>
  <si>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</si>
  <si>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</si>
  <si>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</si>
  <si>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</si>
  <si>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</si>
  <si>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</si>
  <si>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</si>
  <si>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</si>
  <si>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</si>
  <si>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</si>
  <si>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</si>
  <si>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</si>
  <si>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</si>
  <si>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</si>
  <si>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</si>
  <si>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</si>
  <si>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</si>
  <si>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</si>
  <si>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</si>
  <si>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</si>
  <si>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</si>
  <si>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</si>
  <si>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</si>
  <si>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</si>
  <si>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</si>
  <si>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</si>
  <si>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</si>
  <si>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</si>
  <si>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</si>
  <si>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</si>
  <si>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</si>
  <si>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</si>
  <si>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</si>
  <si>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</si>
  <si>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</si>
  <si>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</si>
  <si>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</si>
  <si>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</si>
  <si>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</si>
  <si>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</si>
  <si>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</si>
  <si>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</si>
  <si>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</si>
  <si>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</si>
  <si>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</si>
  <si>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</si>
  <si>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</si>
  <si>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</si>
  <si>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</si>
  <si>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</si>
  <si>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</si>
  <si>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</si>
  <si>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</si>
  <si>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</si>
  <si>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</si>
  <si>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</si>
  <si>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</si>
  <si>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</si>
  <si>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</si>
  <si>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</si>
  <si>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</si>
  <si>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</si>
  <si>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</si>
  <si>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</si>
  <si>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</si>
  <si>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</si>
  <si>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</si>
  <si>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</si>
  <si>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</si>
  <si>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</si>
  <si>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</si>
  <si>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</si>
  <si>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</si>
  <si>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</si>
  <si>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</si>
  <si>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</si>
  <si>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</si>
  <si>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</si>
  <si>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</si>
  <si>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</si>
  <si>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</si>
  <si>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</si>
  <si>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</si>
  <si>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</si>
  <si>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</si>
  <si>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</si>
  <si>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</si>
  <si>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</si>
  <si>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</si>
  <si>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</si>
  <si>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</si>
  <si>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</si>
  <si>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</si>
  <si>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</si>
  <si>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</si>
  <si>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</si>
  <si>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</si>
  <si>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</si>
  <si>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</si>
  <si>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</si>
  <si>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</si>
  <si>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</si>
  <si>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</si>
  <si>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</si>
  <si>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</si>
  <si>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</si>
  <si>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</si>
  <si>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</si>
  <si>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</si>
  <si>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</si>
  <si>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</si>
  <si>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</si>
  <si>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</si>
  <si>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</si>
  <si>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</si>
  <si>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</si>
  <si>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</si>
  <si>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</si>
  <si>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</si>
  <si>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</si>
  <si>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</si>
  <si>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</si>
  <si>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</si>
  <si>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</si>
  <si>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</si>
  <si>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</si>
  <si>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</si>
  <si>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</si>
  <si>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</si>
  <si>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</si>
  <si>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</si>
  <si>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</si>
  <si>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</si>
  <si>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</si>
  <si>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</si>
  <si>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</si>
  <si>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</si>
  <si>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</si>
  <si>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</si>
  <si>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</si>
  <si>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</si>
  <si>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</si>
  <si>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</si>
  <si>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</si>
  <si>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</si>
  <si>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</si>
  <si>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</si>
  <si>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</si>
  <si>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</si>
  <si>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</si>
  <si>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</si>
  <si>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</si>
  <si>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</si>
  <si>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</si>
  <si>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</si>
  <si>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</si>
  <si>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</si>
  <si>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</si>
  <si>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</si>
  <si>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</si>
  <si>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</si>
  <si>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</si>
  <si>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</si>
  <si>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</si>
  <si>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</si>
  <si>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</si>
  <si>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</si>
  <si>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</si>
  <si>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</si>
  <si>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</si>
  <si>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</si>
  <si>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</si>
  <si>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</si>
  <si>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</si>
  <si>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</si>
  <si>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</si>
  <si>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</si>
  <si>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</si>
  <si>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</si>
  <si>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</si>
  <si>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</si>
  <si>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</si>
  <si>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</si>
  <si>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</si>
  <si>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</si>
  <si>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</si>
  <si>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</si>
  <si>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</si>
  <si>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</si>
  <si>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</si>
  <si>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</si>
  <si>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</si>
  <si>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</si>
  <si>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</si>
  <si>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</si>
  <si>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</si>
  <si>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</si>
  <si>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</si>
  <si>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</si>
  <si>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</si>
  <si>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</si>
  <si>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</si>
  <si>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</si>
  <si>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</si>
  <si>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</si>
  <si>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</si>
  <si>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</si>
  <si>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</si>
  <si>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</si>
  <si>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</si>
  <si>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</si>
  <si>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</si>
  <si>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</si>
  <si>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</si>
  <si>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</si>
  <si>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</si>
  <si>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</si>
  <si>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</si>
  <si>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</si>
  <si>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</si>
  <si>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</si>
  <si>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</si>
  <si>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</si>
  <si>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</si>
  <si>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</si>
  <si>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</si>
  <si>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</si>
  <si>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</si>
  <si>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</si>
  <si>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</si>
  <si>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</si>
  <si>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</si>
  <si>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</si>
  <si>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</si>
  <si>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</si>
  <si>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</si>
  <si>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</si>
  <si>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</si>
  <si>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</si>
  <si>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</si>
  <si>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</si>
  <si>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</si>
  <si>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</si>
  <si>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</si>
  <si>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</si>
  <si>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</si>
  <si>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</si>
  <si>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</si>
  <si>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</si>
  <si>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</si>
  <si>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</si>
  <si>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</si>
  <si>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</si>
  <si>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</si>
  <si>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</si>
  <si>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</si>
  <si>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</si>
  <si>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</si>
  <si>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</si>
  <si>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</si>
  <si>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</si>
  <si>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</si>
  <si>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</si>
  <si>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</si>
  <si>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</si>
  <si>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</si>
  <si>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</si>
  <si>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</si>
  <si>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</si>
  <si>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</si>
  <si>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</si>
  <si>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</si>
  <si>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</si>
  <si>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</si>
  <si>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</si>
  <si>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</si>
  <si>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</si>
  <si>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</si>
  <si>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</si>
  <si>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</si>
  <si>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</si>
  <si>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</si>
  <si>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</si>
  <si>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</si>
  <si>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</si>
  <si>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</si>
  <si>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</si>
  <si>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</si>
  <si>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</si>
  <si>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</si>
  <si>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</si>
  <si>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</si>
  <si>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</si>
  <si>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</si>
  <si>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</si>
  <si>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</si>
  <si>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</si>
  <si>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</si>
  <si>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</si>
  <si>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</si>
  <si>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</si>
  <si>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</si>
  <si>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</si>
  <si>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</si>
  <si>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</si>
  <si>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</si>
  <si>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</si>
  <si>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</si>
  <si>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</si>
  <si>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</si>
  <si>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</si>
  <si>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</si>
  <si>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</si>
  <si>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</si>
  <si>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</si>
  <si>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</si>
  <si>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</si>
  <si>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</si>
  <si>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</si>
  <si>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</si>
  <si>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</si>
  <si>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</si>
  <si>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</si>
  <si>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</si>
  <si>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</si>
  <si>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</si>
  <si>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</si>
  <si>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</si>
  <si>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</si>
  <si>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</si>
  <si>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</si>
  <si>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</si>
  <si>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</si>
  <si>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</si>
  <si>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</si>
  <si>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</si>
  <si>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</si>
  <si>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</si>
  <si>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</si>
  <si>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</si>
  <si>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</si>
  <si>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</si>
  <si>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</si>
  <si>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</si>
  <si>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</si>
  <si>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</si>
  <si>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</si>
  <si>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</si>
  <si>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</si>
  <si>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</si>
  <si>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</si>
  <si>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</si>
  <si>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</si>
  <si>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</si>
  <si>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</si>
  <si>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</si>
  <si>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</si>
  <si>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</si>
  <si>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</si>
  <si>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</si>
  <si>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</si>
  <si>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</si>
  <si>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</si>
  <si>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</si>
  <si>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</si>
  <si>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</si>
  <si>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</si>
  <si>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</si>
  <si>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</si>
  <si>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</si>
  <si>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</si>
  <si>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</si>
  <si>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</si>
  <si>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</si>
  <si>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</si>
  <si>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</si>
  <si>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</si>
  <si>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</si>
  <si>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</si>
  <si>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</si>
  <si>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</si>
  <si>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</si>
  <si>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</si>
  <si>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</si>
  <si>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</si>
  <si>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</si>
  <si>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</si>
  <si>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</si>
  <si>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</si>
  <si>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</si>
  <si>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</si>
  <si>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</si>
  <si>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</si>
  <si>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</si>
  <si>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</si>
  <si>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</si>
  <si>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</si>
  <si>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</si>
  <si>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</si>
  <si>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</si>
  <si>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</si>
  <si>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</si>
  <si>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</si>
  <si>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</si>
  <si>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</si>
  <si>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</si>
  <si>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</si>
  <si>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</si>
  <si>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</si>
  <si>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</si>
  <si>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</si>
  <si>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</si>
  <si>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</si>
  <si>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</si>
  <si>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</si>
  <si>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</si>
  <si>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</si>
  <si>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</si>
  <si>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</si>
  <si>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</si>
  <si>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</si>
  <si>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</si>
  <si>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</si>
  <si>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</si>
  <si>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</si>
  <si>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</si>
  <si>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</si>
  <si>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</si>
  <si>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</si>
  <si>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</si>
  <si>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</si>
  <si>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</si>
  <si>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</si>
  <si>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</si>
  <si>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</si>
  <si>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</si>
  <si>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</si>
  <si>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</si>
  <si>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</si>
  <si>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</si>
  <si>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</si>
  <si>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</si>
  <si>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</si>
  <si>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</si>
  <si>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</si>
  <si>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</si>
  <si>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</si>
  <si>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</si>
  <si>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</si>
  <si>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</si>
  <si>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</si>
  <si>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</si>
  <si>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</si>
  <si>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</si>
  <si>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</si>
  <si>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</si>
  <si>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</si>
  <si>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</si>
  <si>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</si>
  <si>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</si>
  <si>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</si>
  <si>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</si>
  <si>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</si>
  <si>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</si>
  <si>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</si>
  <si>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</si>
  <si>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</si>
  <si>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</si>
  <si>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</si>
  <si>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</si>
  <si>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</si>
  <si>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</si>
  <si>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</si>
  <si>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</si>
  <si>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</si>
  <si>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</si>
  <si>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</si>
  <si>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</si>
  <si>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</si>
  <si>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</si>
  <si>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</si>
  <si>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</si>
  <si>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</si>
  <si>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</si>
  <si>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</si>
  <si>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</si>
  <si>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</si>
  <si>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</si>
  <si>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</si>
  <si>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</si>
  <si>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</si>
  <si>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</si>
  <si>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</si>
  <si>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</si>
  <si>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</si>
  <si>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</si>
  <si>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</si>
  <si>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</si>
  <si>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</si>
  <si>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</si>
  <si>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</si>
  <si>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</si>
  <si>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</si>
  <si>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</si>
  <si>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</si>
  <si>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</si>
  <si>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</si>
  <si>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</si>
  <si>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</si>
  <si>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</si>
  <si>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</si>
  <si>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</si>
  <si>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</si>
  <si>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</si>
  <si>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</si>
  <si>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</si>
  <si>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</si>
  <si>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</si>
  <si>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</si>
  <si>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</si>
  <si>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</si>
  <si>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</si>
  <si>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</si>
  <si>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</si>
  <si>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</si>
  <si>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</si>
  <si>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</si>
  <si>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</si>
  <si>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</si>
  <si>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</si>
  <si>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</si>
  <si>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</si>
  <si>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</si>
  <si>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</si>
  <si>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</si>
  <si>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</si>
  <si>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</si>
  <si>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</si>
  <si>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</si>
  <si>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</si>
  <si>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</si>
  <si>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</si>
  <si>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</si>
  <si>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</si>
  <si>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</si>
  <si>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</si>
  <si>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</si>
  <si>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</si>
  <si>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</si>
  <si>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</si>
  <si>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</si>
  <si>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</si>
  <si>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</si>
  <si>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</si>
  <si>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</si>
  <si>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</si>
  <si>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</si>
  <si>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</si>
  <si>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</si>
  <si>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</si>
  <si>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</si>
  <si>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</si>
  <si>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</si>
  <si>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</si>
  <si>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</si>
  <si>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</si>
  <si>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</si>
  <si>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</si>
  <si>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</si>
  <si>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</si>
  <si>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</si>
  <si>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</si>
  <si>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</si>
  <si>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</si>
  <si>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</si>
  <si>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</si>
  <si>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</si>
  <si>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</si>
  <si>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</si>
  <si>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</si>
  <si>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</si>
  <si>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</si>
  <si>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</si>
  <si>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</si>
  <si>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</si>
  <si>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</si>
  <si>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</si>
  <si>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</si>
  <si>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</si>
  <si>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</si>
  <si>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</si>
  <si>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</si>
  <si>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</si>
  <si>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</si>
  <si>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</si>
  <si>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</si>
  <si>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</si>
  <si>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</si>
  <si>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</si>
  <si>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</si>
  <si>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</si>
  <si>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</si>
  <si>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</si>
  <si>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</si>
  <si>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</si>
  <si>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</si>
  <si>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</si>
  <si>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</si>
  <si>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</si>
  <si>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</si>
  <si>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</si>
  <si>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</si>
  <si>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</si>
  <si>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</si>
  <si>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</si>
  <si>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</si>
  <si>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</si>
  <si>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</si>
  <si>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</si>
  <si>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</si>
  <si>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</si>
  <si>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</si>
  <si>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</si>
  <si>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</si>
  <si>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</si>
  <si>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</si>
  <si>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</si>
  <si>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</si>
  <si>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</si>
  <si>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</si>
  <si>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</si>
  <si>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</si>
  <si>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</si>
  <si>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</si>
  <si>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</si>
  <si>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</si>
  <si>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</si>
  <si>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</si>
  <si>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</si>
  <si>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</si>
  <si>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</si>
  <si>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</si>
  <si>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</si>
  <si>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</si>
  <si>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</si>
  <si>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</si>
  <si>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</si>
  <si>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</si>
  <si>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</si>
  <si>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</si>
  <si>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</si>
  <si>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</si>
  <si>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</si>
  <si>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</si>
  <si>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</si>
  <si>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</si>
  <si>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</si>
  <si>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</si>
  <si>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</si>
  <si>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</si>
  <si>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</si>
  <si>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</si>
  <si>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</si>
  <si>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</si>
  <si>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</si>
  <si>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</si>
  <si>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</si>
  <si>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</si>
  <si>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</si>
  <si>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</si>
  <si>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</si>
  <si>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</si>
  <si>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</si>
  <si>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</si>
  <si>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</si>
  <si>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</si>
  <si>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</si>
  <si>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</si>
  <si>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</si>
  <si>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</si>
  <si>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</si>
  <si>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</si>
  <si>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</si>
  <si>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</si>
  <si>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</si>
  <si>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</si>
  <si>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</si>
  <si>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</si>
  <si>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</si>
  <si>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</si>
  <si>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</si>
  <si>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</si>
  <si>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</si>
  <si>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</si>
  <si>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</si>
  <si>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</si>
  <si>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</si>
  <si>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</si>
  <si>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</si>
  <si>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</si>
  <si>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</si>
  <si>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</si>
  <si>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</si>
  <si>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</si>
  <si>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</si>
  <si>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</si>
  <si>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</si>
  <si>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</si>
  <si>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</si>
  <si>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</si>
  <si>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</si>
  <si>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</si>
  <si>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</si>
  <si>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</si>
  <si>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</si>
  <si>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</si>
  <si>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</si>
  <si>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</si>
  <si>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</si>
  <si>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</si>
  <si>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</si>
  <si>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</si>
  <si>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</si>
  <si>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</si>
  <si>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</si>
  <si>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</si>
  <si>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</si>
  <si>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</si>
  <si>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</si>
  <si>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</si>
  <si>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</si>
  <si>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</si>
  <si>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</si>
  <si>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</si>
  <si>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</si>
  <si>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</si>
  <si>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</si>
  <si>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</si>
  <si>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</si>
  <si>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</si>
  <si>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</si>
  <si>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</si>
  <si>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</si>
  <si>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</si>
  <si>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</si>
  <si>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</si>
  <si>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</si>
  <si>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</si>
  <si>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</si>
  <si>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</si>
  <si>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</si>
  <si>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</si>
  <si>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</si>
  <si>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</si>
  <si>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</si>
  <si>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</si>
  <si>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</si>
  <si>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</si>
  <si>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</si>
  <si>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</si>
  <si>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</si>
  <si>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</si>
  <si>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</si>
  <si>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</si>
  <si>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</si>
  <si>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</si>
  <si>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</si>
  <si>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</si>
  <si>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</si>
  <si>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</si>
  <si>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</si>
  <si>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</si>
  <si>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</si>
  <si>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</si>
  <si>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</si>
  <si>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</si>
  <si>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</si>
  <si>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</si>
  <si>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</si>
  <si>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</si>
  <si>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</si>
  <si>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</si>
  <si>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</si>
  <si>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</si>
  <si>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</si>
  <si>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</si>
  <si>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</si>
  <si>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</si>
  <si>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</si>
  <si>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</si>
  <si>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</si>
  <si>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</si>
  <si>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</si>
  <si>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</si>
  <si>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</si>
  <si>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</si>
  <si>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</si>
  <si>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</si>
  <si>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</si>
  <si>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</si>
  <si>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</si>
  <si>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</si>
  <si>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</si>
  <si>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</si>
  <si>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</si>
  <si>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</si>
  <si>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</si>
  <si>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</si>
  <si>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</si>
  <si>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</si>
  <si>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</si>
  <si>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</si>
  <si>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</si>
  <si>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</si>
  <si>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</si>
  <si>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</si>
  <si>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</si>
  <si>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</si>
  <si>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</si>
  <si>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</si>
  <si>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</si>
  <si>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</si>
  <si>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</si>
  <si>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</si>
  <si>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</si>
  <si>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</si>
  <si>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</si>
  <si>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</si>
  <si>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</si>
  <si>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</si>
  <si>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</si>
  <si>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</si>
  <si>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</si>
  <si>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</si>
  <si>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</si>
  <si>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</si>
  <si>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</si>
  <si>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</si>
  <si>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</si>
  <si>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</si>
  <si>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</si>
  <si>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</si>
  <si>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</si>
  <si>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</si>
  <si>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</si>
  <si>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</si>
  <si>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</si>
  <si>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</si>
  <si>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</si>
  <si>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</si>
  <si>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</si>
  <si>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</si>
  <si>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</si>
  <si>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</si>
  <si>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</si>
  <si>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</si>
  <si>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</si>
  <si>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</si>
  <si>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</si>
  <si>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</si>
  <si>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</si>
  <si>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</si>
  <si>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</si>
  <si>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</si>
  <si>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</si>
  <si>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</si>
  <si>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</si>
  <si>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</si>
  <si>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</si>
  <si>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</si>
  <si>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</si>
  <si>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</si>
  <si>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</si>
  <si>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</si>
  <si>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</si>
  <si>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</si>
  <si>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</si>
  <si>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</si>
  <si>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</si>
  <si>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</si>
  <si>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</si>
  <si>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</si>
  <si>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</si>
  <si>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</si>
  <si>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</si>
  <si>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</si>
  <si>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</si>
  <si>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</si>
  <si>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</si>
  <si>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</si>
  <si>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</si>
  <si>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</si>
  <si>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</si>
  <si>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</si>
  <si>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</si>
  <si>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</si>
  <si>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</si>
  <si>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</si>
  <si>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</si>
  <si>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</si>
  <si>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</si>
  <si>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</si>
  <si>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</si>
  <si>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</si>
  <si>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</si>
  <si>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</si>
  <si>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</si>
  <si>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</si>
  <si>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</si>
  <si>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</si>
  <si>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</si>
  <si>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</si>
  <si>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</si>
  <si>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</si>
  <si>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</si>
  <si>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</si>
  <si>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</si>
  <si>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</si>
  <si>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</si>
  <si>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</si>
  <si>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</si>
  <si>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</si>
  <si>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</si>
  <si>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</si>
  <si>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</si>
  <si>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</si>
  <si>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</si>
  <si>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</si>
  <si>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</si>
  <si>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</si>
  <si>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</si>
  <si>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</si>
  <si>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</si>
  <si>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</si>
  <si>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</si>
  <si>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</si>
  <si>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</si>
  <si>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</si>
  <si>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</si>
  <si>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</si>
  <si>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</si>
  <si>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</si>
  <si>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</si>
  <si>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</si>
  <si>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</si>
  <si>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</si>
  <si>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</si>
  <si>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</si>
  <si>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</si>
  <si>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</si>
  <si>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</si>
  <si>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</si>
  <si>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</si>
  <si>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</si>
  <si>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</si>
  <si>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</si>
  <si>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</si>
  <si>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</si>
  <si>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</si>
  <si>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</si>
  <si>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</si>
  <si>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</si>
  <si>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</si>
  <si>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</si>
  <si>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</si>
  <si>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</si>
  <si>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</si>
  <si>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</si>
  <si>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</si>
  <si>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</si>
  <si>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</si>
  <si>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</si>
  <si>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</si>
  <si>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</si>
  <si>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</si>
  <si>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</si>
  <si>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</si>
  <si>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</si>
  <si>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</si>
  <si>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</si>
  <si>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</si>
  <si>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</si>
  <si>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</si>
  <si>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</si>
  <si>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</si>
  <si>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</si>
  <si>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</si>
  <si>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</si>
  <si>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</si>
  <si>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</si>
  <si>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</si>
  <si>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</si>
  <si>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</si>
  <si>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</si>
  <si>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</si>
  <si>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</si>
  <si>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</si>
  <si>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</si>
  <si>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</si>
  <si>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</si>
  <si>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</si>
  <si>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</si>
  <si>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</si>
  <si>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</si>
  <si>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</si>
  <si>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</si>
  <si>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</si>
  <si>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</si>
  <si>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</si>
  <si>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</si>
  <si>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</si>
  <si>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</si>
  <si>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</si>
  <si>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</si>
  <si>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</si>
  <si>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</si>
  <si>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</si>
  <si>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</si>
  <si>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</si>
  <si>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</si>
  <si>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</si>
  <si>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</si>
  <si>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</si>
  <si>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</si>
  <si>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</si>
  <si>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</si>
  <si>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</si>
  <si>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</si>
  <si>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</si>
  <si>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</si>
  <si>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</si>
  <si>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</si>
  <si>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</si>
  <si>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</si>
  <si>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</si>
  <si>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</si>
  <si>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</si>
  <si>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</si>
  <si>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</si>
  <si>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</si>
  <si>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</si>
  <si>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</si>
  <si>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</si>
  <si>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</si>
  <si>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</si>
  <si>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</si>
  <si>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</si>
  <si>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</si>
  <si>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</si>
  <si>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</si>
  <si>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</si>
  <si>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</si>
  <si>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</si>
  <si>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</si>
  <si>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</si>
  <si>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</si>
  <si>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</si>
  <si>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</si>
  <si>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</si>
  <si>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</si>
  <si>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</si>
  <si>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</si>
  <si>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</si>
  <si>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</si>
  <si>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</si>
  <si>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</si>
  <si>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</si>
  <si>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</si>
  <si>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</si>
  <si>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</si>
  <si>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</si>
  <si>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</si>
  <si>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</si>
  <si>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</si>
  <si>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</si>
  <si>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</si>
  <si>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</si>
  <si>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</si>
  <si>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</si>
  <si>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</si>
  <si>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</si>
  <si>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</si>
  <si>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</si>
  <si>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</si>
  <si>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</si>
  <si>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</si>
  <si>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</si>
  <si>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</si>
  <si>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</si>
  <si>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</si>
  <si>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</si>
  <si>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</si>
  <si>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</si>
  <si>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</si>
  <si>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</si>
  <si>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</si>
  <si>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</si>
  <si>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</si>
  <si>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</si>
  <si>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</si>
  <si>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</si>
  <si>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</si>
  <si>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</si>
  <si>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</si>
  <si>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</si>
  <si>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</si>
  <si>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</si>
  <si>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</si>
  <si>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</si>
  <si>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</si>
  <si>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</si>
  <si>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</si>
  <si>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</si>
  <si>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</si>
  <si>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</si>
  <si>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</si>
  <si>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</si>
  <si>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</si>
  <si>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</si>
  <si>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</si>
  <si>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</si>
  <si>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</si>
  <si>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</si>
  <si>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</si>
  <si>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</si>
  <si>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</si>
  <si>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</si>
  <si>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</si>
  <si>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</si>
  <si>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</si>
  <si>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</si>
  <si>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</si>
  <si>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</si>
  <si>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</si>
  <si>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</si>
  <si>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</si>
  <si>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</si>
  <si>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</si>
  <si>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</si>
  <si>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</si>
  <si>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</si>
  <si>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</si>
  <si>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</si>
  <si>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</si>
  <si>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</si>
  <si>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</si>
  <si>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</si>
  <si>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</si>
  <si>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</si>
  <si>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</si>
  <si>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</si>
  <si>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</si>
  <si>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</si>
  <si>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</si>
  <si>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</si>
  <si>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</si>
  <si>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</si>
  <si>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</si>
  <si>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</si>
  <si>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</si>
  <si>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</si>
  <si>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</si>
  <si>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</si>
  <si>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</si>
  <si>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</si>
  <si>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</si>
  <si>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</si>
  <si>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</si>
  <si>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</si>
  <si>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</si>
  <si>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</si>
  <si>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</si>
  <si>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</si>
  <si>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</si>
  <si>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</si>
  <si>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</si>
  <si>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</si>
  <si>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</si>
  <si>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</si>
  <si>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</si>
  <si>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</si>
  <si>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</si>
  <si>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</si>
  <si>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</si>
  <si>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</si>
  <si>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</si>
  <si>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</si>
  <si>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</si>
  <si>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</si>
  <si>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</si>
  <si>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</si>
  <si>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</si>
  <si>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</si>
  <si>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</si>
  <si>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</si>
  <si>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</si>
  <si>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</si>
  <si>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</si>
  <si>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</si>
  <si>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</si>
  <si>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</si>
  <si>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</si>
  <si>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</si>
  <si>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</si>
  <si>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</si>
  <si>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</si>
  <si>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</si>
  <si>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</si>
  <si>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</si>
  <si>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</si>
  <si>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</si>
  <si>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</si>
  <si>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</si>
  <si>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</si>
  <si>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</si>
  <si>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</si>
  <si>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</si>
  <si>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</si>
  <si>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</si>
  <si>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</si>
  <si>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</si>
  <si>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</si>
  <si>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</si>
  <si>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</si>
  <si>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</si>
  <si>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</si>
  <si>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</si>
  <si>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</si>
  <si>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</si>
  <si>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</si>
  <si>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</si>
  <si>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</si>
  <si>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</si>
  <si>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</si>
  <si>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</si>
  <si>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</si>
  <si>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</si>
  <si>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</si>
  <si>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</si>
  <si>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</si>
  <si>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</si>
  <si>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</si>
  <si>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</si>
  <si>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</si>
  <si>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</si>
  <si>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</si>
  <si>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</si>
  <si>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</si>
  <si>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</si>
  <si>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</si>
  <si>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</si>
  <si>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</si>
  <si>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</si>
  <si>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</si>
  <si>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</si>
  <si>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</si>
  <si>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</si>
  <si>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</si>
  <si>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</si>
  <si>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</si>
  <si>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</si>
  <si>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</si>
  <si>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</si>
  <si>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</si>
  <si>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</si>
  <si>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</si>
  <si>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</si>
  <si>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</si>
  <si>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</si>
  <si>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</si>
  <si>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</si>
  <si>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</si>
  <si>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</si>
  <si>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</si>
  <si>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</si>
  <si>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</si>
  <si>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</si>
  <si>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</si>
  <si>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</si>
  <si>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</si>
  <si>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</si>
  <si>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</si>
  <si>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</si>
  <si>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</si>
  <si>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</si>
  <si>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</si>
  <si>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</si>
  <si>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</si>
  <si>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</si>
  <si>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</si>
  <si>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</si>
  <si>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</si>
  <si>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</si>
  <si>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</si>
  <si>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</si>
  <si>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</si>
  <si>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</si>
  <si>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</si>
  <si>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</si>
  <si>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</si>
  <si>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</si>
  <si>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</si>
  <si>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</si>
  <si>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</si>
  <si>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</si>
  <si>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</si>
  <si>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</si>
  <si>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</si>
  <si>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</si>
  <si>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</si>
  <si>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</si>
  <si>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</si>
  <si>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</si>
  <si>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</si>
  <si>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</si>
  <si>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</si>
  <si>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</si>
  <si>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</si>
  <si>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</si>
  <si>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</si>
  <si>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</si>
  <si>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</si>
  <si>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</si>
  <si>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</si>
  <si>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</si>
  <si>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</si>
  <si>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</si>
  <si>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</si>
  <si>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</si>
  <si>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</si>
  <si>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</si>
  <si>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</si>
  <si>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</si>
  <si>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</si>
  <si>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</si>
  <si>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</si>
  <si>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</si>
  <si>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</si>
  <si>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</si>
  <si>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</si>
  <si>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</si>
  <si>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</si>
  <si>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</si>
  <si>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</si>
  <si>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</si>
  <si>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</si>
  <si>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</si>
  <si>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</si>
  <si>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</si>
  <si>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</si>
  <si>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</si>
  <si>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</si>
  <si>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</si>
  <si>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</si>
  <si>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</si>
  <si>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</si>
  <si>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</si>
  <si>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</si>
  <si>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</si>
  <si>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</si>
  <si>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</si>
  <si>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</si>
  <si>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</si>
  <si>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</si>
  <si>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</si>
  <si>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</si>
  <si>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</si>
  <si>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</si>
  <si>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</si>
  <si>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</si>
  <si>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</si>
  <si>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</si>
  <si>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</si>
  <si>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</si>
  <si>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</si>
  <si>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</si>
  <si>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</si>
  <si>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</si>
  <si>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</si>
  <si>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</si>
  <si>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</si>
  <si>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</si>
  <si>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</si>
  <si>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</si>
  <si>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</si>
  <si>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</si>
  <si>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</si>
  <si>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</si>
  <si>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</si>
  <si>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</si>
  <si>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</si>
  <si>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</si>
  <si>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</si>
  <si>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</si>
  <si>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</si>
  <si>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</si>
  <si>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</si>
  <si>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</si>
  <si>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</si>
  <si>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</si>
  <si>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</si>
  <si>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</si>
  <si>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</si>
  <si>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</si>
  <si>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</si>
  <si>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</si>
  <si>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</si>
  <si>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</si>
  <si>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</si>
  <si>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</si>
  <si>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</si>
  <si>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</si>
  <si>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</si>
  <si>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</si>
  <si>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</si>
  <si>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</si>
  <si>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</si>
  <si>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</si>
  <si>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</si>
  <si>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</si>
  <si>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</si>
  <si>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</si>
  <si>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</si>
  <si>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</si>
  <si>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</si>
  <si>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</si>
  <si>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</si>
  <si>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</si>
  <si>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</si>
  <si>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</si>
  <si>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</si>
  <si>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</si>
  <si>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</si>
  <si>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</si>
  <si>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</si>
  <si>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</si>
  <si>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</si>
  <si>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</si>
  <si>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</si>
  <si>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</si>
  <si>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</si>
  <si>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</si>
  <si>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</si>
  <si>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</si>
  <si>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</si>
  <si>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</si>
  <si>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</si>
  <si>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</si>
  <si>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</si>
  <si>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</si>
  <si>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</si>
  <si>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</si>
  <si>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</si>
  <si>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</si>
  <si>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</si>
  <si>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</si>
  <si>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</si>
  <si>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</si>
  <si>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</si>
  <si>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</si>
  <si>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</si>
  <si>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</si>
  <si>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</si>
  <si>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</si>
  <si>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</si>
  <si>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</si>
  <si>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</si>
  <si>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</si>
  <si>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</si>
  <si>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</si>
  <si>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</si>
  <si>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</si>
  <si>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</si>
  <si>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</si>
  <si>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</si>
  <si>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</si>
  <si>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</si>
  <si>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</si>
  <si>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</si>
  <si>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</si>
  <si>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</si>
  <si>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</si>
  <si>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</si>
  <si>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</si>
  <si>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</si>
  <si>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</si>
  <si>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</si>
  <si>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</si>
  <si>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</si>
  <si>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</si>
  <si>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</si>
  <si>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</si>
  <si>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</si>
  <si>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</si>
  <si>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</si>
  <si>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</si>
  <si>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</si>
  <si>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</si>
  <si>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</si>
  <si>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</si>
  <si>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</si>
  <si>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</si>
  <si>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</si>
  <si>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</si>
  <si>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</si>
  <si>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</si>
  <si>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</si>
  <si>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</si>
  <si>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</si>
  <si>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</si>
  <si>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</si>
  <si>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</si>
  <si>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</si>
  <si>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</si>
  <si>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</si>
  <si>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</si>
  <si>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</si>
  <si>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</si>
  <si>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</si>
  <si>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</si>
  <si>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</si>
  <si>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</si>
  <si>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</si>
  <si>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</si>
  <si>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</si>
  <si>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</si>
  <si>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</si>
  <si>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</si>
  <si>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</si>
  <si>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</si>
  <si>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</si>
  <si>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</si>
  <si>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</si>
  <si>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</si>
  <si>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</si>
  <si>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</si>
  <si>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</si>
  <si>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</si>
  <si>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</si>
  <si>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</si>
  <si>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</si>
  <si>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</si>
  <si>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</si>
  <si>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</si>
  <si>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</si>
  <si>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</si>
  <si>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</si>
  <si>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</si>
  <si>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</si>
  <si>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</si>
  <si>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</si>
  <si>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</si>
  <si>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</si>
  <si>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</si>
  <si>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</si>
  <si>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</si>
  <si>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</si>
  <si>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</si>
  <si>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</si>
  <si>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</si>
  <si>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</si>
  <si>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</si>
  <si>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</si>
  <si>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</si>
  <si>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</si>
  <si>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</si>
  <si>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</si>
  <si>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</si>
  <si>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</si>
  <si>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</si>
  <si>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</si>
  <si>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</si>
  <si>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</si>
  <si>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</si>
  <si>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</si>
  <si>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</si>
  <si>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</si>
  <si>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</si>
  <si>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</si>
  <si>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</si>
  <si>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</si>
  <si>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</si>
  <si>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</si>
  <si>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</si>
  <si>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</si>
  <si>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</si>
  <si>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</si>
  <si>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</si>
  <si>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</si>
  <si>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</si>
  <si>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</si>
  <si>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</si>
  <si>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</si>
  <si>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</si>
  <si>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</si>
  <si>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</si>
  <si>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</si>
  <si>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</si>
  <si>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</si>
  <si>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</si>
  <si>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</si>
  <si>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</si>
  <si>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</si>
  <si>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</si>
  <si>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</si>
  <si>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</si>
  <si>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</si>
  <si>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</si>
  <si>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</si>
  <si>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</si>
  <si>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</si>
  <si>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</si>
  <si>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</si>
  <si>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</si>
  <si>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</si>
  <si>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</si>
  <si>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</si>
  <si>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</si>
  <si>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</si>
  <si>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</si>
  <si>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</si>
  <si>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</si>
  <si>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</si>
  <si>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</si>
  <si>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</si>
  <si>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</si>
  <si>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</si>
  <si>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</si>
  <si>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</si>
  <si>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</si>
  <si>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</si>
  <si>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</si>
  <si>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</si>
  <si>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</si>
  <si>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</si>
  <si>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</si>
  <si>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</si>
  <si>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</si>
  <si>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</si>
  <si>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</si>
  <si>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</si>
  <si>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</si>
  <si>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</si>
  <si>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</si>
  <si>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</si>
  <si>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</si>
  <si>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</si>
  <si>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</si>
  <si>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</si>
  <si>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</si>
  <si>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</si>
  <si>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</si>
  <si>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</si>
  <si>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</si>
  <si>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</si>
  <si>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</si>
  <si>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</si>
  <si>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</si>
  <si>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</si>
  <si>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</si>
  <si>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</si>
  <si>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</si>
  <si>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</si>
  <si>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</si>
  <si>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</si>
  <si>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</si>
  <si>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</si>
  <si>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</si>
  <si>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</si>
  <si>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</si>
  <si>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</si>
  <si>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</si>
  <si>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</si>
  <si>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</si>
  <si>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</si>
  <si>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</si>
  <si>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</si>
  <si>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</si>
  <si>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</si>
  <si>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</si>
  <si>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</si>
  <si>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</si>
  <si>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</si>
  <si>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</si>
  <si>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</si>
  <si>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</si>
  <si>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</si>
  <si>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</si>
  <si>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</si>
  <si>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</si>
  <si>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</si>
  <si>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</si>
  <si>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</si>
  <si>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</si>
  <si>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</si>
  <si>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</si>
  <si>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</si>
  <si>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</si>
  <si>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</si>
  <si>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</si>
  <si>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</si>
  <si>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</si>
  <si>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</si>
  <si>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</si>
  <si>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</si>
  <si>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</si>
  <si>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</si>
  <si>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</si>
  <si>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</si>
  <si>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</si>
  <si>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</si>
  <si>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</si>
  <si>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</si>
  <si>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</si>
  <si>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</si>
  <si>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</si>
  <si>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</si>
  <si>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</si>
  <si>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</si>
  <si>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</si>
  <si>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</si>
  <si>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</si>
  <si>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</si>
  <si>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</si>
  <si>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</si>
  <si>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</si>
  <si>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</si>
  <si>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</si>
  <si>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</si>
  <si>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</si>
  <si>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</si>
  <si>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</si>
  <si>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</si>
  <si>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</si>
  <si>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</si>
  <si>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</si>
  <si>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</si>
  <si>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</si>
  <si>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现房</t>
  </si>
  <si>
    <t>旭宇</t>
    <phoneticPr fontId="6" type="noConversion"/>
  </si>
  <si>
    <t>综合项目（商业、办公）</t>
  </si>
  <si>
    <t>名称</t>
  </si>
  <si>
    <t>层数</t>
  </si>
  <si>
    <t>建筑面积</t>
  </si>
  <si>
    <t>套内面积</t>
  </si>
  <si>
    <t>规划用途</t>
  </si>
  <si>
    <t>地上/地下</t>
  </si>
  <si>
    <t>A座</t>
  </si>
  <si>
    <t>人防</t>
  </si>
  <si>
    <t>地下</t>
  </si>
  <si>
    <t>地上</t>
  </si>
  <si>
    <t>Total</t>
  </si>
  <si>
    <t>总建面(含人防）</t>
  </si>
  <si>
    <t>人防面积</t>
  </si>
  <si>
    <t>产权证面积</t>
  </si>
  <si>
    <t>地上产权面积</t>
  </si>
  <si>
    <t>地下产权面积</t>
  </si>
  <si>
    <t xml:space="preserve"> -1层车库面积按35㎡一个计算</t>
    <phoneticPr fontId="134" type="noConversion"/>
  </si>
  <si>
    <t>租赁期间</t>
    <phoneticPr fontId="134" type="noConversion"/>
  </si>
  <si>
    <t>租赁面积</t>
    <phoneticPr fontId="134" type="noConversion"/>
  </si>
  <si>
    <t>含税单价
（元/平方米/月）</t>
    <phoneticPr fontId="134" type="noConversion"/>
  </si>
  <si>
    <t>不含税单价
（元/平方米/月）</t>
    <phoneticPr fontId="134" type="noConversion"/>
  </si>
  <si>
    <t>含税年租金（元）</t>
    <phoneticPr fontId="134" type="noConversion"/>
  </si>
  <si>
    <t>不含税年租金（元）</t>
    <phoneticPr fontId="134" type="noConversion"/>
  </si>
  <si>
    <t xml:space="preserve"> -1层车位个数</t>
    <phoneticPr fontId="134" type="noConversion"/>
  </si>
  <si>
    <t>地上2层至地上6层（F2-F6）租金明细</t>
    <phoneticPr fontId="134" type="noConversion"/>
  </si>
  <si>
    <t>现状用途</t>
    <phoneticPr fontId="134" type="noConversion"/>
  </si>
  <si>
    <t>第一个计租年度</t>
    <phoneticPr fontId="134" type="noConversion"/>
  </si>
  <si>
    <t>车库</t>
    <phoneticPr fontId="134" type="noConversion"/>
  </si>
  <si>
    <t>第二个计租年度</t>
    <phoneticPr fontId="134" type="noConversion"/>
  </si>
  <si>
    <t>车库</t>
    <phoneticPr fontId="134" type="noConversion"/>
  </si>
  <si>
    <t>第三个计租年度</t>
    <phoneticPr fontId="134" type="noConversion"/>
  </si>
  <si>
    <t>商业配套</t>
    <phoneticPr fontId="134" type="noConversion"/>
  </si>
  <si>
    <t>第四个计租年度</t>
    <phoneticPr fontId="134" type="noConversion"/>
  </si>
  <si>
    <t>商业</t>
    <phoneticPr fontId="134" type="noConversion"/>
  </si>
  <si>
    <t>地上1层（F1）租金明细</t>
    <phoneticPr fontId="134" type="noConversion"/>
  </si>
  <si>
    <t>总土地面积</t>
    <phoneticPr fontId="3" type="noConversion"/>
  </si>
  <si>
    <t xml:space="preserve"> </t>
    <phoneticPr fontId="134" type="noConversion"/>
  </si>
  <si>
    <t>办公</t>
    <phoneticPr fontId="134" type="noConversion"/>
  </si>
  <si>
    <t>总建筑面积</t>
    <phoneticPr fontId="3" type="noConversion"/>
  </si>
  <si>
    <t>出让建筑面积</t>
    <phoneticPr fontId="134" type="noConversion"/>
  </si>
  <si>
    <t>第二个计租年度</t>
    <phoneticPr fontId="134" type="noConversion"/>
  </si>
  <si>
    <t>出让容积率</t>
    <phoneticPr fontId="134" type="noConversion"/>
  </si>
  <si>
    <t>分摊土地面积</t>
    <phoneticPr fontId="134" type="noConversion"/>
  </si>
  <si>
    <t>出让分摊土地面积</t>
    <phoneticPr fontId="134" type="noConversion"/>
  </si>
  <si>
    <t>地下1层（B1）租金明细</t>
    <phoneticPr fontId="134" type="noConversion"/>
  </si>
  <si>
    <t>地下车库</t>
    <phoneticPr fontId="134" type="noConversion"/>
  </si>
  <si>
    <t>地下仓储</t>
    <phoneticPr fontId="134" type="noConversion"/>
  </si>
  <si>
    <t>地下办公</t>
    <phoneticPr fontId="134" type="noConversion"/>
  </si>
  <si>
    <t>合计</t>
    <phoneticPr fontId="134" type="noConversion"/>
  </si>
  <si>
    <t>月租金</t>
    <phoneticPr fontId="134" type="noConversion"/>
  </si>
  <si>
    <t>日租金</t>
    <phoneticPr fontId="134" type="noConversion"/>
  </si>
  <si>
    <t>0</t>
    <phoneticPr fontId="6" type="noConversion"/>
  </si>
  <si>
    <t>是</t>
  </si>
  <si>
    <t>整体出租部分</t>
  </si>
  <si>
    <t>整体出租部分</t>
    <phoneticPr fontId="16" type="noConversion"/>
  </si>
  <si>
    <t>整租部分</t>
  </si>
  <si>
    <t>整租部分</t>
    <phoneticPr fontId="7" type="noConversion"/>
  </si>
  <si>
    <t>地下车库</t>
    <phoneticPr fontId="7" type="noConversion"/>
  </si>
  <si>
    <t>利息：取LPR加浮动点数</t>
  </si>
  <si>
    <t>成新度</t>
  </si>
  <si>
    <t>年限</t>
    <phoneticPr fontId="3" type="noConversion"/>
  </si>
  <si>
    <t>观察</t>
    <phoneticPr fontId="3" type="noConversion"/>
  </si>
  <si>
    <t>车库净月租金1000，管理费150，时租八块</t>
    <phoneticPr fontId="3" type="noConversion"/>
  </si>
  <si>
    <t>从2021.7.1起算租金，2026.6.30到期</t>
    <phoneticPr fontId="134" type="noConversion"/>
  </si>
  <si>
    <t>剩余租赁期</t>
    <phoneticPr fontId="134" type="noConversion"/>
  </si>
  <si>
    <t>剩余租期内平均租金</t>
    <phoneticPr fontId="134" type="noConversion"/>
  </si>
  <si>
    <t>3.5年</t>
  </si>
  <si>
    <t>收益法</t>
  </si>
  <si>
    <t>钢混</t>
  </si>
  <si>
    <t>非生产用房</t>
  </si>
  <si>
    <t>自定义</t>
  </si>
  <si>
    <t>估价对象容积率</t>
  </si>
  <si>
    <t>不临65条商业街</t>
  </si>
  <si>
    <t>通路</t>
  </si>
  <si>
    <t>通电</t>
  </si>
  <si>
    <t>通讯</t>
  </si>
  <si>
    <t>通上水</t>
  </si>
  <si>
    <t>通下水</t>
  </si>
  <si>
    <t>与级别开发程度一致</t>
  </si>
  <si>
    <t>通热</t>
  </si>
  <si>
    <t>燃气</t>
  </si>
  <si>
    <t>平整</t>
  </si>
  <si>
    <t>较好</t>
  </si>
  <si>
    <t>好</t>
  </si>
  <si>
    <t>未包含在土地购买价格中</t>
  </si>
  <si>
    <t>已包含在土地取得成本中</t>
  </si>
  <si>
    <t>全部缴纳</t>
  </si>
  <si>
    <t>收益法 (车位)</t>
  </si>
  <si>
    <t>收益法 (车位)</t>
    <phoneticPr fontId="16" type="noConversion"/>
  </si>
  <si>
    <t>地下车库</t>
  </si>
  <si>
    <t>收益法（汇总）</t>
  </si>
  <si>
    <t>融中心A座</t>
    <phoneticPr fontId="3" type="noConversion"/>
  </si>
  <si>
    <t>中融信托广场</t>
    <phoneticPr fontId="134" type="noConversion"/>
  </si>
  <si>
    <t>嘉汇中心</t>
    <phoneticPr fontId="134" type="noConversion"/>
  </si>
  <si>
    <t>安中大厦</t>
    <phoneticPr fontId="134" type="noConversion"/>
  </si>
  <si>
    <t>元立大厦</t>
    <phoneticPr fontId="134" type="noConversion"/>
  </si>
  <si>
    <t>天元港中心</t>
    <phoneticPr fontId="134" type="noConversion"/>
  </si>
  <si>
    <t>南银大厦</t>
    <phoneticPr fontId="134" type="noConversion"/>
  </si>
  <si>
    <t>凤凰置地广场</t>
    <phoneticPr fontId="134" type="noConversion"/>
  </si>
  <si>
    <t>https://www.yxdc.top/bj/xzl_1212/?utm_source=sem&amp;utm_medium=baidu-pc&amp;utm_term=%E5%A4%A9%E5%85%83%E6%B8%AF%E4%B8%AD%E5%BF%83&amp;utm_campaign=%E5%8C%97%E4%BA%AC-PC-%E6%A5%BC%E7%9B%98&amp;sdclkid=ALfs1526bJD6AJD6As-&amp;bd_vid=10712983941064112716</t>
  </si>
  <si>
    <t>https://www.yxdc.top/bj/xzl_1934/?utm_source=sem&amp;utm_medium=baidu-pc&amp;utm_term=%E5%8C%97%E4%BA%AC%E5%8D%97%E9%93%B6%E5%A4%A7%E5%8E%A6&amp;utm_campaign=%E5%8C%97%E4%BA%AC-PC-%E6%A5%BC%E7%9B%98&amp;sdclkid=ALfs1526bJD6AJD6As-&amp;bd_vid=11937676041032289015</t>
  </si>
  <si>
    <t>https://www.yxdc.top/bj/xzl_1333/?utm_source=sem&amp;utm_medium=baidu-pc&amp;utm_term=%E5%8C%97%E4%BA%AC%E5%87%A4%E5%87%B0%E7%BD%AE%E5%9C%B0%E5%B9%BF%E5%9C%BA&amp;utm_campaign=%E5%8C%97%E4%BA%AC-PC-%E6%A5%BC%E7%9B%98&amp;sdclkid=ALfs1526bJD6AJD6As-&amp;bd_vid=11838678561041005413</t>
  </si>
  <si>
    <t>http://www.bjxzlou.com/zhongrongxintuoguangchang.html</t>
  </si>
  <si>
    <t>http://www.beijing-office.com/office/1470.shtml</t>
  </si>
  <si>
    <t>https://bj.58.com/zhaozu/52829929460400x.shtml?utm_source=market&amp;spm=u-2d2yxv86y3v43nkddh1.BDPCPZ_BT&amp;prd=gd8bEtbgDlQ0YEV8hO7jLWdTvi8HLOnRB2V6n6UFnBo%3D&amp;houseId=2840107727559695&amp;gpos=4&amp;positionType=anxuanhouse&amp;cocoTestType=coco_area_expand_test&amp;legoCocoTestType=coco_area_expand_test&amp;filterJson=eyJTSEFOR1FVQU4iOlt7ImtleSI6IiIsImxhYmVsIjoi5aSq6Ziz5a6rIiwidmFsIjoidGFpeWFuZ2dvbmcifV0sIlFVWVUiOlt7ImtleSI6IiIsImxhYmVsIjoi5pyd6ZizIiwidmFsIjoiY2hhb3lhbmcifV19&amp;jx_abtest=Y29jb19hcmVhX2V4cGFuZF90ZXN0LGVpY19zeWRjX3BjX3JlY29tbWVuZF9iYXNl&amp;list_type=main&amp;PGTID=0d30000d-0000-1d6e-60c5-c41ab6e9e6af&amp;ClickID=16</t>
  </si>
  <si>
    <t>https://bj.58.com/zhaozu/53225492373163x.shtml?utm_source=market&amp;prd=Kg8SF7j9AZREfe5myLuq727dJpjYj%2FPHst8LfcRCszE%3D&amp;houseId=2890821339636736&amp;gpos=29&amp;positionType=promationinfo&amp;key=%E7%8B%AC%E6%A0%8B&amp;cocoTestType=coco_area_expand_test&amp;legoCocoTestType=coco_area_expand_test&amp;filterJson=eyJRVVlVIjpbeyJrZXkiOiIiLCJsYWJlbCI6IuacnemYsyIsInZhbCI6ImNoYW95YW5nIn1dLCJLRVlfV09SRCI6W3sia2V5Ijoia2V5IiwibGFiZWwiOiLni6zmoIsiLCJ2YWwiOiLni6zmoIsifV19&amp;jx_abtest=cHRyX2ZhbmdfYnVkZ2V0X2JvdHRvbXwxLGNvY29fYXJlYV9leHBhbmRfdGVzdCxYWkxfU0VBUkNIX0VYUF9QQVJBTQ&amp;list_type=main&amp;PGTID=0d30000d-0000-190a-bd26-c6ef19f53a9c&amp;ClickID=45</t>
  </si>
  <si>
    <t>https://bj.58.com/zhaozu/52273967506179x.shtml?utm_source=market&amp;prd=2Qq5WcgTO9BKhJn%2BsWrA0bTsZVgItS1yTFJAfrPrS%2BI%3D&amp;houseId=2769026156358668&amp;gpos=91&amp;positionType=promationinfo&amp;key=%E7%8B%AC%E6%A0%8B&amp;cocoTestType=coco_area_expand_test&amp;legoCocoTestType=coco_area_expand_test&amp;filterJson=eyJRVVlVIjpbeyJrZXkiOiIiLCJsYWJlbCI6IuacnemYsyIsInZhbCI6ImNoYW95YW5nIn1dLCJLRVlfV09SRCI6W3sia2V5Ijoia2V5IiwibGFiZWwiOiLni6zmoIsiLCJ2YWwiOiLni6zmoIsifV19&amp;jx_abtest=cHRyX2ZhbmdfYnVkZ2V0X2JvdHRvbXwxLGNvY29fYXJlYV9leHBhbmRfdGVzdCxYWkxfU0VBUkNIX0VYUF9QQVJBTQ&amp;list_type=main&amp;PGTID=0d30000d-0000-1546-6ee5-af626a38cef9&amp;ClickID=63</t>
  </si>
  <si>
    <t>https://bj.58.com/zhaozu/53280116653374x.shtml?utm_source=market&amp;prd=I3Ln1GFho%2B02W3D5EwryjUPAmYdOZulbUI0s%2F%2FjoCn8%3D&amp;houseId=2897813247519748&amp;gpos=151&amp;positionType=promationinfo&amp;key=%E7%8B%AC%E6%A0%8B&amp;cocoTestType=coco_area_expand_test&amp;legoCocoTestType=coco_area_expand_test&amp;filterJson=eyJRVVlVIjpbeyJrZXkiOiIiLCJsYWJlbCI6IuacnemYsyIsInZhbCI6ImNoYW95YW5nIn1dLCJLRVlfV09SRCI6W3sia2V5Ijoia2V5IiwibGFiZWwiOiLni6zmoIsiLCJ2YWwiOiLni6zmoIsifV19&amp;jx_abtest=Y29jb19hcmVhX2V4cGFuZF90ZXN0LFhaTF9TRUFSQ0hfRVhQX1BBUkFN&amp;list_type=main&amp;PGTID=0d30000d-0000-1a92-b1a6-04d0534eb7a8&amp;ClickID=28</t>
  </si>
  <si>
    <t>https://bj.58.com/zhaozu/49180459743532x.shtml?utm_source=market&amp;prd=Ju5z9535AOy0eGF65c%2FoY2dTvi8HLOnRB2V6n6UFnBo%3D&amp;houseId=2373057163027465&amp;gpos=1&amp;positionType=anxuanhouseplus&amp;key=%E9%A6%96%E5%8D%8E%E5%A4%A7%E5%8E%A6&amp;cocoTestType=coco_area_expand_test&amp;legoCocoTestType=coco_area_expand_test&amp;filterJson=eyJLRVlfV09SRCI6W3sia2V5Ijoia2V5IiwibGFiZWwiOiLpppbljY7lpKfljqYiLCJ2YWwiOiLpppbljY7lpKfljqYifV19&amp;jx_abtest=Y29jb19hcmVhX2V4cGFuZF90ZXN0LFhaTF9TRUFSQ0hfRVhQX0JVSUxESU5H&amp;list_type=main&amp;PGTID=0d30000d-0000-15a2-857f-6be57afba05f&amp;ClickID=5</t>
  </si>
  <si>
    <t>http://www.huarunwuye.cn/</t>
  </si>
  <si>
    <t>地上租金</t>
    <phoneticPr fontId="134" type="noConversion"/>
  </si>
  <si>
    <t>车位租金</t>
    <phoneticPr fontId="134" type="noConversion"/>
  </si>
  <si>
    <t>http://www.fhzdoffice.com/</t>
  </si>
  <si>
    <r>
      <rPr>
        <b/>
        <sz val="11"/>
        <rFont val="宋体"/>
        <family val="3"/>
        <charset val="134"/>
        <scheme val="minor"/>
      </rPr>
      <t>2022年上海大宗交易</t>
    </r>
  </si>
  <si>
    <t>项目</t>
    <phoneticPr fontId="3" type="noConversion"/>
  </si>
  <si>
    <t>城市</t>
    <phoneticPr fontId="3" type="noConversion"/>
  </si>
  <si>
    <t>行政区</t>
    <phoneticPr fontId="3" type="noConversion"/>
  </si>
  <si>
    <t>物业类型</t>
    <phoneticPr fontId="3" type="noConversion"/>
  </si>
  <si>
    <t>计价面积（平方米）</t>
    <phoneticPr fontId="3" type="noConversion"/>
  </si>
  <si>
    <t>季度</t>
    <phoneticPr fontId="3" type="noConversion"/>
  </si>
  <si>
    <t>年份</t>
    <phoneticPr fontId="3" type="noConversion"/>
  </si>
  <si>
    <t>卖方</t>
    <phoneticPr fontId="3" type="noConversion"/>
  </si>
  <si>
    <t>买房</t>
    <phoneticPr fontId="3" type="noConversion"/>
  </si>
  <si>
    <t>总价（百万元）</t>
    <phoneticPr fontId="3" type="noConversion"/>
  </si>
  <si>
    <t>单价（元/平方米）</t>
    <phoneticPr fontId="3" type="noConversion"/>
  </si>
  <si>
    <t>交易方式</t>
    <phoneticPr fontId="3"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</si>
  <si>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</si>
  <si>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</si>
  <si>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</si>
  <si>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</si>
  <si>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</si>
  <si>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</si>
  <si>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</si>
  <si>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</si>
  <si>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</si>
  <si>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</si>
  <si>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</si>
  <si>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</si>
  <si>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</si>
  <si>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</si>
  <si>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</si>
  <si>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</si>
  <si>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</si>
  <si>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</si>
  <si>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</si>
  <si>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</si>
  <si>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</si>
  <si>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</si>
  <si>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</si>
  <si>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</si>
  <si>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</si>
  <si>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</si>
  <si>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</si>
  <si>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</si>
  <si>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</si>
  <si>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</si>
  <si>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</si>
  <si>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</si>
  <si>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</si>
  <si>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</si>
  <si>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</si>
  <si>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</si>
  <si>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</si>
  <si>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</si>
  <si>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</si>
  <si>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</si>
  <si>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</si>
  <si>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</si>
  <si>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</si>
  <si>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</si>
  <si>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</si>
  <si>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</si>
  <si>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</si>
  <si>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</si>
  <si>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</si>
  <si>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</si>
  <si>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</si>
  <si>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</si>
  <si>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</si>
  <si>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</si>
  <si>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</si>
  <si>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</si>
  <si>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</si>
  <si>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</si>
  <si>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</si>
  <si>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</si>
  <si>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</si>
  <si>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</si>
  <si>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</si>
  <si>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</si>
  <si>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</si>
  <si>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</si>
  <si>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</si>
  <si>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</si>
  <si>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</si>
  <si>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</si>
  <si>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</si>
  <si>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</si>
  <si>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</si>
  <si>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</si>
  <si>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</si>
  <si>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</si>
  <si>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</si>
  <si>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</si>
  <si>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</si>
  <si>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</si>
  <si>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</si>
  <si>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</si>
  <si>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</si>
  <si>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</si>
  <si>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</si>
  <si>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</si>
  <si>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</si>
  <si>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</si>
  <si>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</si>
  <si>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</si>
  <si>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</si>
  <si>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</si>
  <si>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</si>
  <si>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</si>
  <si>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</si>
  <si>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</si>
  <si>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</si>
  <si>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</si>
  <si>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</si>
  <si>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</si>
  <si>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</si>
  <si>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</si>
  <si>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</si>
  <si>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</si>
  <si>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</si>
  <si>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</si>
  <si>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</si>
  <si>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</si>
  <si>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</si>
  <si>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</si>
  <si>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</si>
  <si>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3"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</si>
  <si>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</si>
  <si>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</si>
  <si>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</si>
  <si>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</si>
  <si>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</si>
  <si>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</si>
  <si>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</si>
  <si>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</si>
  <si>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</si>
  <si>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</si>
  <si>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</si>
  <si>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</si>
  <si>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</si>
  <si>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</si>
  <si>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</si>
  <si>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</si>
  <si>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</si>
  <si>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</si>
  <si>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</si>
  <si>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</si>
  <si>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</si>
  <si>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</si>
  <si>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</si>
  <si>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</si>
  <si>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</si>
  <si>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</si>
  <si>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</si>
  <si>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</si>
  <si>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</si>
  <si>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</si>
  <si>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</si>
  <si>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</si>
  <si>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</si>
  <si>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</si>
  <si>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</si>
  <si>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</si>
  <si>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</si>
  <si>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</si>
  <si>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</si>
  <si>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</si>
  <si>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</si>
  <si>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</si>
  <si>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</si>
  <si>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</si>
  <si>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</si>
  <si>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</si>
  <si>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</si>
  <si>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</si>
  <si>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</si>
  <si>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</si>
  <si>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</si>
  <si>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</si>
  <si>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</si>
  <si>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</si>
  <si>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</si>
  <si>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</si>
  <si>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</si>
  <si>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</si>
  <si>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</si>
  <si>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</si>
  <si>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</si>
  <si>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</si>
  <si>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</si>
  <si>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</si>
  <si>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</si>
  <si>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</si>
  <si>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</si>
  <si>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</si>
  <si>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</si>
  <si>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</si>
  <si>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</si>
  <si>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</si>
  <si>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</si>
  <si>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</si>
  <si>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</si>
  <si>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</si>
  <si>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</si>
  <si>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</si>
  <si>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</si>
  <si>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</si>
  <si>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</si>
  <si>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</si>
  <si>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</si>
  <si>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</si>
  <si>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</si>
  <si>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</si>
  <si>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</si>
  <si>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</si>
  <si>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</si>
  <si>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</si>
  <si>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</si>
  <si>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</si>
  <si>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</si>
  <si>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</si>
  <si>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</si>
  <si>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</si>
  <si>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</si>
  <si>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</si>
  <si>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</si>
  <si>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</si>
  <si>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</si>
  <si>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</si>
  <si>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</si>
  <si>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</si>
  <si>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</si>
  <si>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</si>
  <si>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</si>
  <si>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</si>
  <si>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</si>
  <si>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</si>
  <si>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</si>
  <si>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</si>
  <si>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</si>
  <si>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</si>
  <si>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</si>
  <si>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</si>
  <si>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</si>
  <si>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</si>
  <si>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</si>
  <si>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</si>
  <si>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</si>
  <si>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</si>
  <si>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</si>
  <si>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</si>
  <si>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</si>
  <si>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</si>
  <si>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</si>
  <si>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</si>
  <si>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</si>
  <si>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</si>
  <si>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</si>
  <si>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</si>
  <si>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</si>
  <si>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</si>
  <si>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</si>
  <si>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</si>
  <si>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</si>
  <si>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</si>
  <si>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</si>
  <si>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</si>
  <si>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</si>
  <si>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</si>
  <si>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t>亚奥家和超市</t>
  </si>
  <si>
    <t>北京</t>
  </si>
  <si>
    <t>朝阳区</t>
  </si>
  <si>
    <t>八大处控股</t>
  </si>
  <si>
    <t>翰同资本</t>
  </si>
  <si>
    <t>境内股权交易</t>
  </si>
  <si>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</si>
  <si>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</si>
  <si>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</si>
  <si>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</si>
  <si>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</si>
  <si>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</si>
  <si>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</si>
  <si>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</si>
  <si>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</si>
  <si>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境内股权交易</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</si>
  <si>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</si>
  <si>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</si>
  <si>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</si>
  <si>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</si>
  <si>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</si>
  <si>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颐堤港一期项目50%股权</t>
  </si>
  <si>
    <t>远洋</t>
  </si>
  <si>
    <t>国寿资本</t>
  </si>
  <si>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</si>
  <si>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</si>
  <si>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</si>
  <si>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</si>
  <si>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</si>
  <si>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</si>
  <si>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</si>
  <si>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</si>
  <si>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朝阳区</t>
    </r>
  </si>
  <si>
    <r>
      <rPr>
        <sz val="8"/>
        <rFont val="宋体"/>
        <family val="3"/>
        <charset val="134"/>
        <scheme val="minor"/>
      </rPr>
      <t>翰同资本</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</si>
  <si>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</si>
  <si>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</si>
  <si>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</si>
  <si>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</si>
  <si>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t>招商局航华科贸中心（46.41%股权）</t>
  </si>
  <si>
    <t>招商蛇口</t>
  </si>
  <si>
    <t>招商局商业房地产投资信托基金</t>
  </si>
  <si>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</si>
  <si>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</si>
  <si>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</si>
  <si>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</si>
  <si>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</si>
  <si>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</si>
  <si>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</si>
  <si>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</si>
  <si>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</si>
  <si>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</si>
  <si>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t>博瑞大厦(法拍）</t>
  </si>
  <si>
    <t>Q4</t>
  </si>
  <si>
    <t>大连永嘉集团</t>
  </si>
  <si>
    <t>凯德</t>
  </si>
  <si>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</si>
  <si>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</si>
  <si>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</si>
  <si>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</si>
  <si>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</si>
  <si>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</si>
  <si>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</si>
  <si>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</si>
  <si>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</si>
  <si>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</si>
  <si>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</si>
  <si>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</si>
  <si>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</si>
  <si>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</si>
  <si>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</si>
  <si>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</si>
  <si>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</si>
  <si>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</si>
  <si>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</si>
  <si>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</si>
  <si>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</si>
  <si>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</si>
  <si>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</si>
  <si>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</si>
  <si>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</si>
  <si>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</si>
  <si>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</si>
  <si>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</si>
  <si>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</si>
  <si>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</si>
  <si>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</si>
  <si>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国寿资本</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</si>
  <si>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</si>
  <si>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</si>
  <si>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</si>
  <si>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</si>
  <si>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</si>
  <si>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</si>
  <si>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</si>
  <si>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</si>
  <si>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</si>
  <si>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</si>
  <si>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</si>
  <si>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</si>
  <si>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</si>
  <si>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</si>
  <si>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</si>
  <si>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</si>
  <si>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</si>
  <si>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</si>
  <si>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</si>
  <si>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综合体</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</si>
  <si>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</si>
  <si>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</si>
  <si>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</si>
  <si>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</si>
  <si>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</si>
  <si>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</si>
  <si>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</si>
  <si>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</si>
  <si>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</si>
  <si>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</si>
  <si>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</si>
  <si>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</si>
  <si>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</si>
  <si>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</si>
  <si>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</si>
  <si>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</si>
  <si>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</si>
  <si>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</si>
  <si>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</si>
  <si>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</si>
  <si>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</si>
  <si>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</si>
  <si>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</si>
  <si>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</si>
  <si>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</si>
  <si>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</si>
  <si>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</si>
  <si>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</si>
  <si>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</si>
  <si>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</si>
  <si>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</si>
  <si>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</si>
  <si>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</si>
  <si>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</si>
  <si>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</si>
  <si>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</si>
  <si>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</si>
  <si>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</si>
  <si>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</si>
  <si>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</si>
  <si>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</si>
  <si>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</si>
  <si>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</si>
  <si>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</si>
  <si>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</si>
  <si>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</si>
  <si>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</si>
  <si>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</si>
  <si>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</si>
  <si>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</si>
  <si>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</si>
  <si>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</si>
  <si>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</si>
  <si>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</si>
  <si>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</si>
  <si>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</si>
  <si>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</si>
  <si>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</si>
  <si>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</si>
  <si>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</si>
  <si>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</si>
  <si>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</si>
  <si>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</si>
  <si>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</si>
  <si>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</si>
  <si>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</si>
  <si>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</si>
  <si>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</si>
  <si>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</si>
  <si>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</si>
  <si>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</si>
  <si>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</si>
  <si>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</si>
  <si>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</si>
  <si>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</si>
  <si>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</si>
  <si>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</si>
  <si>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</si>
  <si>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</si>
  <si>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</si>
  <si>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</si>
  <si>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</si>
  <si>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</si>
  <si>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</si>
  <si>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</si>
  <si>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</si>
  <si>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</si>
  <si>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</si>
  <si>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</si>
  <si>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</si>
  <si>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</si>
  <si>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</si>
  <si>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</si>
  <si>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</si>
  <si>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</si>
  <si>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</si>
  <si>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</si>
  <si>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</si>
  <si>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</si>
  <si>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</si>
  <si>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</si>
  <si>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</si>
  <si>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</si>
  <si>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</si>
  <si>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</si>
  <si>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</si>
  <si>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</si>
  <si>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</si>
  <si>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</si>
  <si>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</si>
  <si>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</si>
  <si>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</si>
  <si>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</si>
  <si>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</si>
  <si>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</si>
  <si>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</si>
  <si>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</si>
  <si>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</si>
  <si>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</si>
  <si>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</si>
  <si>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</si>
  <si>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</si>
  <si>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东三环北路甲26号</t>
    <phoneticPr fontId="3" type="noConversion"/>
  </si>
  <si>
    <t>博瑞大厦</t>
    <phoneticPr fontId="134" type="noConversion"/>
  </si>
  <si>
    <t>正常</t>
  </si>
  <si>
    <t>办公</t>
    <phoneticPr fontId="31" type="noConversion"/>
  </si>
  <si>
    <t>是否含地下车库</t>
    <phoneticPr fontId="31" type="noConversion"/>
  </si>
  <si>
    <t>是</t>
    <phoneticPr fontId="31" type="noConversion"/>
  </si>
  <si>
    <t>https://paimai.jd.com/290973235</t>
  </si>
  <si>
    <t>http://fapaiwang.cn/show/view?id=19284</t>
  </si>
  <si>
    <r>
      <t>2</t>
    </r>
    <r>
      <rPr>
        <sz val="11"/>
        <color theme="1"/>
        <rFont val="宋体"/>
        <family val="3"/>
        <charset val="134"/>
        <scheme val="minor"/>
      </rPr>
      <t>010年建成</t>
    </r>
    <phoneticPr fontId="134" type="noConversion"/>
  </si>
  <si>
    <t>比较法-办公</t>
  </si>
  <si>
    <t>朝阳北苑路158号</t>
  </si>
  <si>
    <t>收购商改办</t>
    <phoneticPr fontId="134" type="noConversion"/>
  </si>
  <si>
    <t>首华大厦</t>
    <phoneticPr fontId="3" type="noConversion"/>
  </si>
  <si>
    <t>中国航空结算中心大厦</t>
    <phoneticPr fontId="3" type="noConversion"/>
  </si>
  <si>
    <t>30-40</t>
    <phoneticPr fontId="31" type="noConversion"/>
  </si>
  <si>
    <t>是</t>
    <phoneticPr fontId="31" type="noConversion"/>
  </si>
  <si>
    <t>是</t>
    <phoneticPr fontId="31" type="noConversion"/>
  </si>
  <si>
    <t>中融信托大厦</t>
    <phoneticPr fontId="134" type="noConversion"/>
  </si>
  <si>
    <t>七通</t>
  </si>
  <si>
    <t>城市高速路</t>
    <phoneticPr fontId="3" type="noConversion"/>
  </si>
  <si>
    <t>城市快速路</t>
    <phoneticPr fontId="3" type="noConversion"/>
  </si>
  <si>
    <t>城市主干道</t>
    <phoneticPr fontId="3" type="noConversion"/>
  </si>
  <si>
    <t>钢混</t>
    <phoneticPr fontId="31" type="noConversion"/>
  </si>
  <si>
    <t>精装修</t>
  </si>
  <si>
    <t>精装修</t>
    <phoneticPr fontId="31" type="noConversion"/>
  </si>
  <si>
    <t>物业公司管理</t>
  </si>
  <si>
    <t>物业公司管理</t>
    <phoneticPr fontId="31" type="noConversion"/>
  </si>
  <si>
    <t>七通</t>
    <phoneticPr fontId="3" type="noConversion"/>
  </si>
  <si>
    <t>六通</t>
    <phoneticPr fontId="3" type="noConversion"/>
  </si>
  <si>
    <t>五通</t>
    <phoneticPr fontId="3" type="noConversion"/>
  </si>
  <si>
    <t>精装修</t>
    <phoneticPr fontId="3" type="noConversion"/>
  </si>
  <si>
    <t>普通装修</t>
    <phoneticPr fontId="3" type="noConversion"/>
  </si>
  <si>
    <t>简单装修</t>
    <phoneticPr fontId="3" type="noConversion"/>
  </si>
  <si>
    <t>毛坯</t>
    <phoneticPr fontId="3" type="noConversion"/>
  </si>
  <si>
    <t>是</t>
    <phoneticPr fontId="31" type="noConversion"/>
  </si>
  <si>
    <t>否</t>
    <phoneticPr fontId="31" type="noConversion"/>
  </si>
  <si>
    <t>五通</t>
  </si>
  <si>
    <r>
      <t>2</t>
    </r>
    <r>
      <rPr>
        <sz val="11"/>
        <color theme="1"/>
        <rFont val="宋体"/>
        <family val="3"/>
        <charset val="134"/>
        <scheme val="minor"/>
      </rPr>
      <t>015年建成</t>
    </r>
    <phoneticPr fontId="134" type="noConversion"/>
  </si>
  <si>
    <t>普通装修</t>
  </si>
  <si>
    <t>30-40</t>
    <phoneticPr fontId="31" type="noConversion"/>
  </si>
  <si>
    <t>城市次干道</t>
    <phoneticPr fontId="31" type="noConversion"/>
  </si>
  <si>
    <t>城市支路</t>
    <phoneticPr fontId="31" type="noConversion"/>
  </si>
  <si>
    <r>
      <rPr>
        <sz val="11"/>
        <rFont val="宋体"/>
        <family val="3"/>
        <charset val="134"/>
      </rPr>
      <t>城市次干道</t>
    </r>
    <r>
      <rPr>
        <sz val="11"/>
        <rFont val="Arial"/>
        <family val="2"/>
      </rPr>
      <t>-</t>
    </r>
    <r>
      <rPr>
        <sz val="11"/>
        <rFont val="宋体"/>
        <family val="3"/>
        <charset val="134"/>
      </rPr>
      <t>七圣北路</t>
    </r>
    <phoneticPr fontId="31" type="noConversion"/>
  </si>
  <si>
    <r>
      <rPr>
        <sz val="11"/>
        <rFont val="宋体"/>
        <family val="3"/>
        <charset val="134"/>
      </rPr>
      <t>城市次干道</t>
    </r>
    <r>
      <rPr>
        <sz val="11"/>
        <rFont val="Arial"/>
        <family val="2"/>
      </rPr>
      <t>-</t>
    </r>
    <r>
      <rPr>
        <sz val="11"/>
        <rFont val="宋体"/>
        <family val="3"/>
        <charset val="134"/>
      </rPr>
      <t>西坝河西路</t>
    </r>
    <phoneticPr fontId="31" type="noConversion"/>
  </si>
  <si>
    <r>
      <rPr>
        <sz val="11"/>
        <rFont val="宋体"/>
        <family val="3"/>
        <charset val="134"/>
      </rPr>
      <t>城市快速路</t>
    </r>
    <r>
      <rPr>
        <sz val="11"/>
        <rFont val="Arial"/>
        <family val="2"/>
      </rPr>
      <t>-</t>
    </r>
    <r>
      <rPr>
        <sz val="11"/>
        <rFont val="宋体"/>
        <family val="3"/>
        <charset val="134"/>
      </rPr>
      <t>北四环东路</t>
    </r>
    <phoneticPr fontId="31" type="noConversion"/>
  </si>
  <si>
    <t>城市快速路</t>
  </si>
  <si>
    <r>
      <rPr>
        <sz val="11"/>
        <rFont val="宋体"/>
        <family val="3"/>
        <charset val="134"/>
      </rPr>
      <t>城市快速路</t>
    </r>
    <r>
      <rPr>
        <sz val="11"/>
        <rFont val="Arial"/>
        <family val="2"/>
      </rPr>
      <t>-</t>
    </r>
    <r>
      <rPr>
        <sz val="11"/>
        <rFont val="宋体"/>
        <family val="3"/>
        <charset val="134"/>
      </rPr>
      <t>东三环北路</t>
    </r>
    <phoneticPr fontId="31" type="noConversion"/>
  </si>
  <si>
    <r>
      <t>距地铁惠新西街北口站</t>
    </r>
    <r>
      <rPr>
        <sz val="11"/>
        <rFont val="Arial"/>
        <family val="2"/>
      </rPr>
      <t>196</t>
    </r>
    <r>
      <rPr>
        <sz val="11"/>
        <rFont val="宋体"/>
        <family val="3"/>
        <charset val="134"/>
      </rPr>
      <t>米</t>
    </r>
  </si>
  <si>
    <t>售价</t>
  </si>
  <si>
    <t>项目模式</t>
  </si>
  <si>
    <t>办公楼</t>
  </si>
  <si>
    <t>办公楼</t>
    <phoneticPr fontId="31" type="noConversion"/>
  </si>
  <si>
    <t>押三</t>
  </si>
  <si>
    <t>博瑞大厦</t>
    <phoneticPr fontId="3" type="noConversion"/>
  </si>
  <si>
    <t>城市次干道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</si>
</sst>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000_ ;_ * \-#,##0.000_ ;_ * &quot;-&quot;??_ ;_ @_ "/>
    <numFmt numFmtId="198" formatCode="_ * #,##0.000_ ;_ * \-#,##0.000_ ;_ * &quot;-&quot;???_ ;_ @_ "/>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Arial Narrow"/>
      <family val="2"/>
    </font>
    <font>
      <sz val="9"/>
      <color rgb="FFFF0000"/>
      <name val="宋体"/>
      <family val="3"/>
      <charset val="134"/>
      <scheme val="minor"/>
    </font>
    <font>
      <sz val="12"/>
      <color theme="1"/>
      <name val="宋体"/>
      <family val="2"/>
      <scheme val="minor"/>
    </font>
    <font>
      <sz val="10"/>
      <color rgb="FFFF0000"/>
      <name val="Arial Narrow"/>
      <family val="2"/>
    </font>
    <font>
      <sz val="11"/>
      <color theme="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8"/>
      <color rgb="FFFF0000"/>
      <name val="宋体"/>
      <family val="3"/>
      <charset val="134"/>
      <scheme val="minor"/>
    </font>
    <font>
      <sz val="11"/>
      <color rgb="FF000000"/>
      <name val="宋体"/>
      <family val="2"/>
      <charset val="134"/>
    </font>
    <font>
      <sz val="11"/>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ashed">
        <color auto="1"/>
      </left>
      <right style="dashed">
        <color auto="1"/>
      </right>
      <top style="dashed">
        <color auto="1"/>
      </top>
      <bottom style="dashed">
        <color auto="1"/>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71" fillId="0" borderId="0"/>
    <xf numFmtId="43" fontId="273" fillId="0" borderId="0" applyFont="0" applyFill="0" applyBorder="0" applyAlignment="0" applyProtection="0">
      <alignment vertical="center"/>
    </xf>
    <xf numFmtId="0" fontId="274" fillId="0" borderId="0"/>
    <xf numFmtId="43" fontId="274"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0" xfId="0" applyFont="1" applyFill="1" applyBorder="1" applyAlignment="1" applyProtection="1">
      <alignment vertical="center"/>
      <protection locked="0"/>
    </xf>
    <xf numFmtId="43" fontId="270" fillId="0" borderId="0" xfId="10" applyNumberFormat="1" applyFont="1">
      <alignment vertical="center"/>
    </xf>
    <xf numFmtId="43" fontId="246" fillId="0" borderId="0" xfId="19" applyFont="1" applyBorder="1">
      <alignment vertical="center"/>
    </xf>
    <xf numFmtId="43" fontId="246" fillId="0" borderId="0" xfId="19" applyFont="1">
      <alignment vertical="center"/>
    </xf>
    <xf numFmtId="197" fontId="246" fillId="0" borderId="0" xfId="19" applyNumberFormat="1" applyFont="1" applyBorder="1">
      <alignment vertical="center"/>
    </xf>
    <xf numFmtId="43" fontId="246" fillId="5" borderId="0" xfId="10" applyNumberFormat="1" applyFont="1" applyFill="1">
      <alignment vertical="center"/>
    </xf>
    <xf numFmtId="43" fontId="246" fillId="5" borderId="0" xfId="19" applyFont="1" applyFill="1">
      <alignment vertical="center"/>
    </xf>
    <xf numFmtId="197" fontId="246" fillId="0" borderId="1" xfId="19" applyNumberFormat="1" applyFont="1" applyBorder="1">
      <alignment vertical="center"/>
    </xf>
    <xf numFmtId="43" fontId="246" fillId="0" borderId="1" xfId="19" applyFont="1" applyBorder="1">
      <alignment vertical="center"/>
    </xf>
    <xf numFmtId="43" fontId="246" fillId="5" borderId="0" xfId="19" applyFont="1" applyFill="1" applyBorder="1">
      <alignment vertical="center"/>
    </xf>
    <xf numFmtId="43" fontId="246" fillId="0" borderId="0" xfId="10" applyNumberFormat="1" applyFont="1">
      <alignment vertical="center"/>
    </xf>
    <xf numFmtId="0" fontId="246" fillId="0" borderId="0" xfId="10" applyFont="1">
      <alignment vertical="center"/>
    </xf>
    <xf numFmtId="0" fontId="246" fillId="0" borderId="176" xfId="10" applyFont="1" applyBorder="1">
      <alignment vertical="center"/>
    </xf>
    <xf numFmtId="196" fontId="246" fillId="0" borderId="176" xfId="10" applyNumberFormat="1" applyFont="1" applyBorder="1">
      <alignment vertical="center"/>
    </xf>
    <xf numFmtId="0" fontId="246" fillId="0" borderId="176" xfId="10" applyFont="1" applyFill="1" applyBorder="1">
      <alignment vertical="center"/>
    </xf>
    <xf numFmtId="196" fontId="246" fillId="0" borderId="176" xfId="10" applyNumberFormat="1" applyFont="1" applyFill="1" applyBorder="1">
      <alignment vertical="center"/>
    </xf>
    <xf numFmtId="0" fontId="246" fillId="0" borderId="176" xfId="10" applyFont="1" applyBorder="1" applyAlignment="1">
      <alignment horizontal="center" vertical="center"/>
    </xf>
    <xf numFmtId="196" fontId="122" fillId="0" borderId="0" xfId="10" applyNumberFormat="1" applyFont="1" applyFill="1">
      <alignment vertical="center"/>
    </xf>
    <xf numFmtId="196" fontId="246" fillId="5" borderId="176" xfId="10" applyNumberFormat="1" applyFont="1" applyFill="1" applyBorder="1">
      <alignment vertical="center"/>
    </xf>
    <xf numFmtId="0" fontId="246" fillId="0" borderId="0" xfId="10" applyFont="1" applyBorder="1">
      <alignment vertical="center"/>
    </xf>
    <xf numFmtId="196" fontId="246" fillId="0" borderId="0" xfId="10" applyNumberFormat="1" applyFont="1" applyBorder="1">
      <alignment vertical="center"/>
    </xf>
    <xf numFmtId="0" fontId="246" fillId="0" borderId="0" xfId="10" applyFont="1" applyAlignment="1">
      <alignment horizontal="right" vertical="center"/>
    </xf>
    <xf numFmtId="0" fontId="246" fillId="0" borderId="0" xfId="10" applyFont="1" applyAlignment="1">
      <alignment vertical="center" wrapText="1"/>
    </xf>
    <xf numFmtId="0" fontId="246" fillId="0" borderId="1" xfId="10" applyFont="1" applyBorder="1" applyAlignment="1">
      <alignment vertical="center" wrapText="1"/>
    </xf>
    <xf numFmtId="0" fontId="246" fillId="0" borderId="1" xfId="10" applyFont="1" applyBorder="1">
      <alignment vertical="center"/>
    </xf>
    <xf numFmtId="9" fontId="246" fillId="0" borderId="0" xfId="21" applyFont="1" applyAlignment="1">
      <alignment vertical="center" wrapText="1"/>
    </xf>
    <xf numFmtId="9" fontId="246" fillId="0" borderId="0" xfId="21" applyFont="1">
      <alignment vertical="center"/>
    </xf>
    <xf numFmtId="0" fontId="107" fillId="0" borderId="0" xfId="10" applyFont="1">
      <alignment vertical="center"/>
    </xf>
    <xf numFmtId="0" fontId="246" fillId="5" borderId="0" xfId="10" applyFont="1" applyFill="1" applyBorder="1">
      <alignment vertical="center"/>
    </xf>
    <xf numFmtId="0" fontId="246" fillId="5" borderId="0" xfId="10" applyFont="1" applyFill="1">
      <alignment vertical="center"/>
    </xf>
    <xf numFmtId="197" fontId="246" fillId="0" borderId="0" xfId="10" applyNumberFormat="1" applyFont="1">
      <alignment vertical="center"/>
    </xf>
    <xf numFmtId="0" fontId="270" fillId="5" borderId="0" xfId="10" applyFont="1" applyFill="1">
      <alignment vertical="center"/>
    </xf>
    <xf numFmtId="196" fontId="129" fillId="5" borderId="0" xfId="10" applyNumberFormat="1" applyFon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9" fontId="47" fillId="12" borderId="0" xfId="21" applyFont="1" applyFill="1" applyAlignment="1" applyProtection="1">
      <alignment vertical="center"/>
      <protection locked="0"/>
    </xf>
    <xf numFmtId="198" fontId="246" fillId="0" borderId="0" xfId="19" applyNumberFormat="1" applyFont="1">
      <alignment vertical="center"/>
    </xf>
    <xf numFmtId="43" fontId="246" fillId="5" borderId="0" xfId="23" applyFont="1" applyFill="1">
      <alignment vertical="center"/>
    </xf>
    <xf numFmtId="43" fontId="44" fillId="0" borderId="3" xfId="0" applyNumberFormat="1" applyFont="1" applyBorder="1" applyAlignment="1" applyProtection="1">
      <alignment vertical="center"/>
      <protection locked="0"/>
    </xf>
    <xf numFmtId="179" fontId="44" fillId="0" borderId="1" xfId="0" applyNumberFormat="1" applyFont="1" applyBorder="1" applyAlignment="1" applyProtection="1">
      <alignment horizontal="center" vertical="center"/>
      <protection locked="0"/>
    </xf>
    <xf numFmtId="43" fontId="52" fillId="6" borderId="1" xfId="0" applyNumberFormat="1" applyFont="1" applyFill="1" applyBorder="1" applyAlignment="1" applyProtection="1">
      <alignment horizontal="center" vertical="center"/>
      <protection locked="0"/>
    </xf>
    <xf numFmtId="0" fontId="95" fillId="0" borderId="0" xfId="0" applyFont="1">
      <alignment vertical="center"/>
    </xf>
    <xf numFmtId="0" fontId="0" fillId="0" borderId="0" xfId="0" applyAlignment="1">
      <alignment vertical="center" shrinkToFit="1"/>
    </xf>
    <xf numFmtId="0" fontId="275" fillId="19" borderId="60" xfId="24" applyFont="1" applyFill="1" applyBorder="1" applyAlignment="1">
      <alignment vertical="center"/>
    </xf>
    <xf numFmtId="43" fontId="275" fillId="19" borderId="60" xfId="25" applyFont="1" applyFill="1" applyBorder="1" applyAlignment="1">
      <alignment vertical="center"/>
    </xf>
    <xf numFmtId="0" fontId="277" fillId="22" borderId="0" xfId="24" applyFont="1" applyFill="1" applyBorder="1" applyAlignment="1">
      <alignment horizontal="left" vertical="center"/>
    </xf>
    <xf numFmtId="0" fontId="278" fillId="22" borderId="1" xfId="24" applyFont="1" applyFill="1" applyBorder="1" applyAlignment="1">
      <alignment horizontal="left" vertical="center"/>
    </xf>
    <xf numFmtId="43" fontId="278" fillId="22" borderId="1" xfId="25" applyFont="1" applyFill="1" applyBorder="1" applyAlignment="1">
      <alignment horizontal="left" vertical="center"/>
    </xf>
    <xf numFmtId="0" fontId="278" fillId="22" borderId="0" xfId="24" applyFont="1" applyFill="1" applyBorder="1" applyAlignment="1">
      <alignment horizontal="left" vertical="center"/>
    </xf>
    <xf numFmtId="0" fontId="280" fillId="22" borderId="1" xfId="24" applyFont="1" applyFill="1" applyBorder="1" applyAlignment="1">
      <alignment horizontal="left" vertical="center"/>
    </xf>
    <xf numFmtId="43" fontId="280" fillId="22" borderId="1" xfId="25" applyFont="1" applyFill="1" applyBorder="1" applyAlignment="1">
      <alignment horizontal="left" vertical="center"/>
    </xf>
    <xf numFmtId="0" fontId="280" fillId="22" borderId="0" xfId="24" applyFont="1" applyFill="1" applyBorder="1" applyAlignment="1">
      <alignment horizontal="left" vertical="center"/>
    </xf>
    <xf numFmtId="43" fontId="277" fillId="22" borderId="0" xfId="25" applyFont="1" applyFill="1" applyBorder="1" applyAlignment="1">
      <alignment horizontal="left" vertical="center"/>
    </xf>
    <xf numFmtId="0" fontId="280" fillId="5" borderId="1" xfId="24" applyFont="1" applyFill="1" applyBorder="1" applyAlignment="1">
      <alignment horizontal="left" vertical="center"/>
    </xf>
    <xf numFmtId="43" fontId="280" fillId="5" borderId="1" xfId="25" applyFont="1" applyFill="1" applyBorder="1" applyAlignment="1">
      <alignment horizontal="left" vertical="center"/>
    </xf>
    <xf numFmtId="0" fontId="280" fillId="5" borderId="0" xfId="24" applyFont="1" applyFill="1" applyBorder="1" applyAlignment="1">
      <alignment horizontal="left" vertical="center"/>
    </xf>
    <xf numFmtId="0" fontId="95" fillId="0" borderId="0" xfId="0" applyFont="1" applyAlignment="1">
      <alignment vertical="center" shrinkToFit="1"/>
    </xf>
    <xf numFmtId="0" fontId="128" fillId="0" borderId="51" xfId="0" applyNumberFormat="1" applyFont="1" applyFill="1" applyBorder="1" applyAlignment="1" applyProtection="1">
      <alignment horizontal="center" vertical="center" wrapText="1"/>
      <protection locked="0"/>
    </xf>
    <xf numFmtId="14" fontId="95" fillId="0" borderId="0" xfId="0" applyNumberFormat="1" applyFont="1" applyAlignment="1">
      <alignment vertical="center" shrinkToFit="1"/>
    </xf>
    <xf numFmtId="14" fontId="0" fillId="0" borderId="0" xfId="0" applyNumberFormat="1" applyAlignment="1">
      <alignment vertical="center" shrinkToFit="1"/>
    </xf>
    <xf numFmtId="43" fontId="0" fillId="0" borderId="0" xfId="23" applyFont="1" applyAlignment="1">
      <alignment vertical="center" shrinkToFit="1"/>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8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2" fillId="0" borderId="44" xfId="0" applyNumberFormat="1" applyFont="1" applyFill="1" applyBorder="1" applyAlignment="1" applyProtection="1">
      <alignment horizontal="center" vertical="center" wrapText="1"/>
      <protection locked="0"/>
    </xf>
    <xf numFmtId="9" fontId="0" fillId="0" borderId="0" xfId="17" applyFont="1" applyAlignment="1">
      <alignment vertical="center" shrinkToFit="1"/>
    </xf>
    <xf numFmtId="176" fontId="51"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3" fontId="269" fillId="0" borderId="0" xfId="23" applyFont="1" applyFill="1">
      <alignment vertical="center"/>
    </xf>
    <xf numFmtId="43" fontId="270" fillId="5" borderId="0" xfId="23" applyFont="1" applyFill="1">
      <alignment vertical="center"/>
    </xf>
    <xf numFmtId="43" fontId="272" fillId="5" borderId="0" xfId="23"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0" borderId="1" xfId="10" applyFont="1" applyBorder="1" applyAlignment="1">
      <alignment horizontal="center" vertical="center"/>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6">
    <cellStyle name="百分比" xfId="17" builtinId="5"/>
    <cellStyle name="百分比 2" xfId="14"/>
    <cellStyle name="百分比 3" xfId="21"/>
    <cellStyle name="常规" xfId="0" builtinId="0"/>
    <cellStyle name="常规 10" xfId="22"/>
    <cellStyle name="常规 11" xfId="18"/>
    <cellStyle name="常规 12" xfId="24"/>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3" builtinId="3"/>
    <cellStyle name="千位分隔 2" xfId="20"/>
    <cellStyle name="千位分隔 3" xfId="19"/>
    <cellStyle name="千位分隔 4" xfId="25"/>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491572</xdr:colOff>
      <xdr:row>11</xdr:row>
      <xdr:rowOff>74958</xdr:rowOff>
    </xdr:from>
    <xdr:to>
      <xdr:col>10</xdr:col>
      <xdr:colOff>932345</xdr:colOff>
      <xdr:row>23</xdr:row>
      <xdr:rowOff>40114</xdr:rowOff>
    </xdr:to>
    <xdr:pic>
      <xdr:nvPicPr>
        <xdr:cNvPr id="2" name="图片 1">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a:stretch>
          <a:fillRect/>
        </a:stretch>
      </xdr:blipFill>
      <xdr:spPr>
        <a:xfrm>
          <a:off x="4525202" y="1963393"/>
          <a:ext cx="2163556" cy="1803895"/>
        </a:xfrm>
        <a:prstGeom prst="rect">
          <a:avLst/>
        </a:prstGeom>
      </xdr:spPr>
    </xdr:pic>
    <xdr:clientData/>
  </xdr:twoCellAnchor>
  <xdr:twoCellAnchor editAs="oneCell">
    <xdr:from>
      <xdr:col>0</xdr:col>
      <xdr:colOff>19050</xdr:colOff>
      <xdr:row>23</xdr:row>
      <xdr:rowOff>127000</xdr:rowOff>
    </xdr:from>
    <xdr:to>
      <xdr:col>9</xdr:col>
      <xdr:colOff>807321</xdr:colOff>
      <xdr:row>42</xdr:row>
      <xdr:rowOff>111400</xdr:rowOff>
    </xdr:to>
    <xdr:pic>
      <xdr:nvPicPr>
        <xdr:cNvPr id="3" name="图片 2">
          <a:extLst>
            <a:ext uri="{FF2B5EF4-FFF2-40B4-BE49-F238E27FC236}">
              <a16:creationId xmlns:a16="http://schemas.microsoft.com/office/drawing/2014/main" id="{BCE1C52D-3B2F-4A92-9C4D-AE61E80C2A87}"/>
            </a:ext>
          </a:extLst>
        </xdr:cNvPr>
        <xdr:cNvPicPr>
          <a:picLocks noChangeAspect="1"/>
        </xdr:cNvPicPr>
      </xdr:nvPicPr>
      <xdr:blipFill>
        <a:blip xmlns:r="http://schemas.openxmlformats.org/officeDocument/2006/relationships" r:embed="rId2"/>
        <a:stretch>
          <a:fillRect/>
        </a:stretch>
      </xdr:blipFill>
      <xdr:spPr>
        <a:xfrm>
          <a:off x="19050" y="3879850"/>
          <a:ext cx="5655546" cy="2699025"/>
        </a:xfrm>
        <a:prstGeom prst="rect">
          <a:avLst/>
        </a:prstGeom>
      </xdr:spPr>
    </xdr:pic>
    <xdr:clientData/>
  </xdr:twoCellAnchor>
  <xdr:twoCellAnchor editAs="oneCell">
    <xdr:from>
      <xdr:col>1</xdr:col>
      <xdr:colOff>0</xdr:colOff>
      <xdr:row>43</xdr:row>
      <xdr:rowOff>0</xdr:rowOff>
    </xdr:from>
    <xdr:to>
      <xdr:col>10</xdr:col>
      <xdr:colOff>681896</xdr:colOff>
      <xdr:row>52</xdr:row>
      <xdr:rowOff>95067</xdr:rowOff>
    </xdr:to>
    <xdr:pic>
      <xdr:nvPicPr>
        <xdr:cNvPr id="5" name="图片 4">
          <a:extLst>
            <a:ext uri="{FF2B5EF4-FFF2-40B4-BE49-F238E27FC236}">
              <a16:creationId xmlns:a16="http://schemas.microsoft.com/office/drawing/2014/main" id="{9B3C927D-6AB3-4B02-9957-DBC9E704A300}"/>
            </a:ext>
          </a:extLst>
        </xdr:cNvPr>
        <xdr:cNvPicPr>
          <a:picLocks noChangeAspect="1"/>
        </xdr:cNvPicPr>
      </xdr:nvPicPr>
      <xdr:blipFill>
        <a:blip xmlns:r="http://schemas.openxmlformats.org/officeDocument/2006/relationships" r:embed="rId3"/>
        <a:stretch>
          <a:fillRect/>
        </a:stretch>
      </xdr:blipFill>
      <xdr:spPr>
        <a:xfrm>
          <a:off x="152400" y="6610350"/>
          <a:ext cx="6292121" cy="1380942"/>
        </a:xfrm>
        <a:prstGeom prst="rect">
          <a:avLst/>
        </a:prstGeom>
      </xdr:spPr>
    </xdr:pic>
    <xdr:clientData/>
  </xdr:twoCellAnchor>
  <xdr:twoCellAnchor editAs="oneCell">
    <xdr:from>
      <xdr:col>6</xdr:col>
      <xdr:colOff>44173</xdr:colOff>
      <xdr:row>53</xdr:row>
      <xdr:rowOff>16566</xdr:rowOff>
    </xdr:from>
    <xdr:to>
      <xdr:col>15</xdr:col>
      <xdr:colOff>247868</xdr:colOff>
      <xdr:row>64</xdr:row>
      <xdr:rowOff>30156</xdr:rowOff>
    </xdr:to>
    <xdr:pic>
      <xdr:nvPicPr>
        <xdr:cNvPr id="6" name="图片 5">
          <a:extLst>
            <a:ext uri="{FF2B5EF4-FFF2-40B4-BE49-F238E27FC236}">
              <a16:creationId xmlns:a16="http://schemas.microsoft.com/office/drawing/2014/main" id="{7C4385E5-3E43-4DF7-9F70-A9F17D4C8320}"/>
            </a:ext>
          </a:extLst>
        </xdr:cNvPr>
        <xdr:cNvPicPr>
          <a:picLocks noChangeAspect="1"/>
        </xdr:cNvPicPr>
      </xdr:nvPicPr>
      <xdr:blipFill>
        <a:blip xmlns:r="http://schemas.openxmlformats.org/officeDocument/2006/relationships" r:embed="rId4"/>
        <a:stretch>
          <a:fillRect/>
        </a:stretch>
      </xdr:blipFill>
      <xdr:spPr>
        <a:xfrm>
          <a:off x="2818847" y="7967870"/>
          <a:ext cx="7691173" cy="1562438"/>
        </a:xfrm>
        <a:prstGeom prst="rect">
          <a:avLst/>
        </a:prstGeom>
      </xdr:spPr>
    </xdr:pic>
    <xdr:clientData/>
  </xdr:twoCellAnchor>
  <xdr:twoCellAnchor editAs="oneCell">
    <xdr:from>
      <xdr:col>0</xdr:col>
      <xdr:colOff>132522</xdr:colOff>
      <xdr:row>65</xdr:row>
      <xdr:rowOff>41413</xdr:rowOff>
    </xdr:from>
    <xdr:to>
      <xdr:col>12</xdr:col>
      <xdr:colOff>947729</xdr:colOff>
      <xdr:row>96</xdr:row>
      <xdr:rowOff>38384</xdr:rowOff>
    </xdr:to>
    <xdr:pic>
      <xdr:nvPicPr>
        <xdr:cNvPr id="7" name="图片 6"/>
        <xdr:cNvPicPr>
          <a:picLocks noChangeAspect="1"/>
        </xdr:cNvPicPr>
      </xdr:nvPicPr>
      <xdr:blipFill>
        <a:blip xmlns:r="http://schemas.openxmlformats.org/officeDocument/2006/relationships" r:embed="rId5"/>
        <a:stretch>
          <a:fillRect/>
        </a:stretch>
      </xdr:blipFill>
      <xdr:spPr>
        <a:xfrm>
          <a:off x="132522" y="9682370"/>
          <a:ext cx="8352381" cy="4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321107</xdr:colOff>
      <xdr:row>25</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35907" cy="4429125"/>
        </a:xfrm>
        <a:prstGeom prst="rect">
          <a:avLst/>
        </a:prstGeom>
      </xdr:spPr>
    </xdr:pic>
    <xdr:clientData/>
  </xdr:twoCellAnchor>
  <xdr:twoCellAnchor editAs="oneCell">
    <xdr:from>
      <xdr:col>7</xdr:col>
      <xdr:colOff>0</xdr:colOff>
      <xdr:row>0</xdr:row>
      <xdr:rowOff>0</xdr:rowOff>
    </xdr:from>
    <xdr:to>
      <xdr:col>14</xdr:col>
      <xdr:colOff>475540</xdr:colOff>
      <xdr:row>14</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5676190" cy="2561905"/>
        </a:xfrm>
        <a:prstGeom prst="rect">
          <a:avLst/>
        </a:prstGeom>
      </xdr:spPr>
    </xdr:pic>
    <xdr:clientData/>
  </xdr:twoCellAnchor>
  <xdr:twoCellAnchor editAs="oneCell">
    <xdr:from>
      <xdr:col>0</xdr:col>
      <xdr:colOff>0</xdr:colOff>
      <xdr:row>38</xdr:row>
      <xdr:rowOff>85725</xdr:rowOff>
    </xdr:from>
    <xdr:to>
      <xdr:col>15</xdr:col>
      <xdr:colOff>350984</xdr:colOff>
      <xdr:row>66</xdr:row>
      <xdr:rowOff>138212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00825"/>
          <a:ext cx="11038034" cy="4853087"/>
        </a:xfrm>
        <a:prstGeom prst="rect">
          <a:avLst/>
        </a:prstGeom>
      </xdr:spPr>
    </xdr:pic>
    <xdr:clientData/>
  </xdr:twoCellAnchor>
  <xdr:twoCellAnchor editAs="oneCell">
    <xdr:from>
      <xdr:col>0</xdr:col>
      <xdr:colOff>0</xdr:colOff>
      <xdr:row>68</xdr:row>
      <xdr:rowOff>114300</xdr:rowOff>
    </xdr:from>
    <xdr:to>
      <xdr:col>16</xdr:col>
      <xdr:colOff>322388</xdr:colOff>
      <xdr:row>108</xdr:row>
      <xdr:rowOff>113443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772900"/>
          <a:ext cx="11695238" cy="6857143"/>
        </a:xfrm>
        <a:prstGeom prst="rect">
          <a:avLst/>
        </a:prstGeom>
      </xdr:spPr>
    </xdr:pic>
    <xdr:clientData/>
  </xdr:twoCellAnchor>
  <xdr:twoCellAnchor editAs="oneCell">
    <xdr:from>
      <xdr:col>0</xdr:col>
      <xdr:colOff>9525</xdr:colOff>
      <xdr:row>110</xdr:row>
      <xdr:rowOff>19050</xdr:rowOff>
    </xdr:from>
    <xdr:to>
      <xdr:col>16</xdr:col>
      <xdr:colOff>550961</xdr:colOff>
      <xdr:row>151</xdr:row>
      <xdr:rowOff>2485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18878550"/>
          <a:ext cx="11914286" cy="7009524"/>
        </a:xfrm>
        <a:prstGeom prst="rect">
          <a:avLst/>
        </a:prstGeom>
      </xdr:spPr>
    </xdr:pic>
    <xdr:clientData/>
  </xdr:twoCellAnchor>
  <xdr:twoCellAnchor editAs="oneCell">
    <xdr:from>
      <xdr:col>0</xdr:col>
      <xdr:colOff>0</xdr:colOff>
      <xdr:row>154</xdr:row>
      <xdr:rowOff>0</xdr:rowOff>
    </xdr:from>
    <xdr:to>
      <xdr:col>10</xdr:col>
      <xdr:colOff>551524</xdr:colOff>
      <xdr:row>169</xdr:row>
      <xdr:rowOff>142536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403300"/>
          <a:ext cx="7409524" cy="2714286"/>
        </a:xfrm>
        <a:prstGeom prst="rect">
          <a:avLst/>
        </a:prstGeom>
      </xdr:spPr>
    </xdr:pic>
    <xdr:clientData/>
  </xdr:twoCellAnchor>
  <xdr:twoCellAnchor editAs="oneCell">
    <xdr:from>
      <xdr:col>0</xdr:col>
      <xdr:colOff>11206</xdr:colOff>
      <xdr:row>172</xdr:row>
      <xdr:rowOff>123266</xdr:rowOff>
    </xdr:from>
    <xdr:to>
      <xdr:col>16</xdr:col>
      <xdr:colOff>594662</xdr:colOff>
      <xdr:row>191</xdr:row>
      <xdr:rowOff>101018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11206" y="29034442"/>
          <a:ext cx="11923809" cy="3171429"/>
        </a:xfrm>
        <a:prstGeom prst="rect">
          <a:avLst/>
        </a:prstGeom>
      </xdr:spPr>
    </xdr:pic>
    <xdr:clientData/>
  </xdr:twoCellAnchor>
  <xdr:twoCellAnchor editAs="oneCell">
    <xdr:from>
      <xdr:col>15</xdr:col>
      <xdr:colOff>358588</xdr:colOff>
      <xdr:row>38</xdr:row>
      <xdr:rowOff>22411</xdr:rowOff>
    </xdr:from>
    <xdr:to>
      <xdr:col>30</xdr:col>
      <xdr:colOff>533777</xdr:colOff>
      <xdr:row>46</xdr:row>
      <xdr:rowOff>1515</xdr:rowOff>
    </xdr:to>
    <xdr:pic>
      <xdr:nvPicPr>
        <xdr:cNvPr id="9" name="图片 8"/>
        <xdr:cNvPicPr>
          <a:picLocks noChangeAspect="1"/>
        </xdr:cNvPicPr>
      </xdr:nvPicPr>
      <xdr:blipFill>
        <a:blip xmlns:r="http://schemas.openxmlformats.org/officeDocument/2006/relationships" r:embed="rId8"/>
        <a:stretch>
          <a:fillRect/>
        </a:stretch>
      </xdr:blipFill>
      <xdr:spPr>
        <a:xfrm>
          <a:off x="11015382" y="6409764"/>
          <a:ext cx="10428571" cy="1323810"/>
        </a:xfrm>
        <a:prstGeom prst="rect">
          <a:avLst/>
        </a:prstGeom>
      </xdr:spPr>
    </xdr:pic>
    <xdr:clientData/>
  </xdr:twoCellAnchor>
  <xdr:twoCellAnchor editAs="oneCell">
    <xdr:from>
      <xdr:col>0</xdr:col>
      <xdr:colOff>0</xdr:colOff>
      <xdr:row>194</xdr:row>
      <xdr:rowOff>0</xdr:rowOff>
    </xdr:from>
    <xdr:to>
      <xdr:col>19</xdr:col>
      <xdr:colOff>323257</xdr:colOff>
      <xdr:row>236</xdr:row>
      <xdr:rowOff>149818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609118"/>
          <a:ext cx="13714286" cy="7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12</xdr:col>
      <xdr:colOff>379924</xdr:colOff>
      <xdr:row>9</xdr:row>
      <xdr:rowOff>37944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3375"/>
          <a:ext cx="8609524" cy="1247619"/>
        </a:xfrm>
        <a:prstGeom prst="rect">
          <a:avLst/>
        </a:prstGeom>
      </xdr:spPr>
    </xdr:pic>
    <xdr:clientData/>
  </xdr:twoCellAnchor>
  <xdr:twoCellAnchor editAs="oneCell">
    <xdr:from>
      <xdr:col>0</xdr:col>
      <xdr:colOff>0</xdr:colOff>
      <xdr:row>11</xdr:row>
      <xdr:rowOff>0</xdr:rowOff>
    </xdr:from>
    <xdr:to>
      <xdr:col>12</xdr:col>
      <xdr:colOff>341828</xdr:colOff>
      <xdr:row>18</xdr:row>
      <xdr:rowOff>56993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885950"/>
          <a:ext cx="8571428" cy="1257143"/>
        </a:xfrm>
        <a:prstGeom prst="rect">
          <a:avLst/>
        </a:prstGeom>
      </xdr:spPr>
    </xdr:pic>
    <xdr:clientData/>
  </xdr:twoCellAnchor>
  <xdr:twoCellAnchor editAs="oneCell">
    <xdr:from>
      <xdr:col>0</xdr:col>
      <xdr:colOff>0</xdr:colOff>
      <xdr:row>20</xdr:row>
      <xdr:rowOff>0</xdr:rowOff>
    </xdr:from>
    <xdr:to>
      <xdr:col>12</xdr:col>
      <xdr:colOff>465638</xdr:colOff>
      <xdr:row>27</xdr:row>
      <xdr:rowOff>95088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429000"/>
          <a:ext cx="8695238" cy="1295238"/>
        </a:xfrm>
        <a:prstGeom prst="rect">
          <a:avLst/>
        </a:prstGeom>
      </xdr:spPr>
    </xdr:pic>
    <xdr:clientData/>
  </xdr:twoCellAnchor>
  <xdr:twoCellAnchor editAs="oneCell">
    <xdr:from>
      <xdr:col>13</xdr:col>
      <xdr:colOff>9525</xdr:colOff>
      <xdr:row>20</xdr:row>
      <xdr:rowOff>28575</xdr:rowOff>
    </xdr:from>
    <xdr:to>
      <xdr:col>16</xdr:col>
      <xdr:colOff>342587</xdr:colOff>
      <xdr:row>25</xdr:row>
      <xdr:rowOff>142754</xdr:rowOff>
    </xdr:to>
    <xdr:pic>
      <xdr:nvPicPr>
        <xdr:cNvPr id="6" name="图片 5"/>
        <xdr:cNvPicPr>
          <a:picLocks noChangeAspect="1"/>
        </xdr:cNvPicPr>
      </xdr:nvPicPr>
      <xdr:blipFill>
        <a:blip xmlns:r="http://schemas.openxmlformats.org/officeDocument/2006/relationships" r:embed="rId4"/>
        <a:stretch>
          <a:fillRect/>
        </a:stretch>
      </xdr:blipFill>
      <xdr:spPr>
        <a:xfrm>
          <a:off x="8924925" y="3457575"/>
          <a:ext cx="2504762" cy="971429"/>
        </a:xfrm>
        <a:prstGeom prst="rect">
          <a:avLst/>
        </a:prstGeom>
      </xdr:spPr>
    </xdr:pic>
    <xdr:clientData/>
  </xdr:twoCellAnchor>
  <xdr:twoCellAnchor editAs="oneCell">
    <xdr:from>
      <xdr:col>0</xdr:col>
      <xdr:colOff>0</xdr:colOff>
      <xdr:row>29</xdr:row>
      <xdr:rowOff>0</xdr:rowOff>
    </xdr:from>
    <xdr:to>
      <xdr:col>12</xdr:col>
      <xdr:colOff>532305</xdr:colOff>
      <xdr:row>36</xdr:row>
      <xdr:rowOff>133183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4972050"/>
          <a:ext cx="8761905" cy="1333333"/>
        </a:xfrm>
        <a:prstGeom prst="rect">
          <a:avLst/>
        </a:prstGeom>
      </xdr:spPr>
    </xdr:pic>
    <xdr:clientData/>
  </xdr:twoCellAnchor>
  <xdr:twoCellAnchor editAs="oneCell">
    <xdr:from>
      <xdr:col>0</xdr:col>
      <xdr:colOff>0</xdr:colOff>
      <xdr:row>38</xdr:row>
      <xdr:rowOff>0</xdr:rowOff>
    </xdr:from>
    <xdr:to>
      <xdr:col>12</xdr:col>
      <xdr:colOff>513257</xdr:colOff>
      <xdr:row>45</xdr:row>
      <xdr:rowOff>66517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6515100"/>
          <a:ext cx="8742857" cy="1266667"/>
        </a:xfrm>
        <a:prstGeom prst="rect">
          <a:avLst/>
        </a:prstGeom>
      </xdr:spPr>
    </xdr:pic>
    <xdr:clientData/>
  </xdr:twoCellAnchor>
  <xdr:twoCellAnchor editAs="oneCell">
    <xdr:from>
      <xdr:col>0</xdr:col>
      <xdr:colOff>0</xdr:colOff>
      <xdr:row>51</xdr:row>
      <xdr:rowOff>114300</xdr:rowOff>
    </xdr:from>
    <xdr:to>
      <xdr:col>8</xdr:col>
      <xdr:colOff>342171</xdr:colOff>
      <xdr:row>64</xdr:row>
      <xdr:rowOff>9260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858250"/>
          <a:ext cx="5828571" cy="2123810"/>
        </a:xfrm>
        <a:prstGeom prst="rect">
          <a:avLst/>
        </a:prstGeom>
      </xdr:spPr>
    </xdr:pic>
    <xdr:clientData/>
  </xdr:twoCellAnchor>
  <xdr:twoCellAnchor editAs="oneCell">
    <xdr:from>
      <xdr:col>0</xdr:col>
      <xdr:colOff>0</xdr:colOff>
      <xdr:row>64</xdr:row>
      <xdr:rowOff>28575</xdr:rowOff>
    </xdr:from>
    <xdr:to>
      <xdr:col>13</xdr:col>
      <xdr:colOff>446505</xdr:colOff>
      <xdr:row>88</xdr:row>
      <xdr:rowOff>151870</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001375"/>
          <a:ext cx="9361905" cy="4238095"/>
        </a:xfrm>
        <a:prstGeom prst="rect">
          <a:avLst/>
        </a:prstGeom>
      </xdr:spPr>
    </xdr:pic>
    <xdr:clientData/>
  </xdr:twoCellAnchor>
  <xdr:twoCellAnchor editAs="oneCell">
    <xdr:from>
      <xdr:col>14</xdr:col>
      <xdr:colOff>28575</xdr:colOff>
      <xdr:row>1</xdr:row>
      <xdr:rowOff>152400</xdr:rowOff>
    </xdr:from>
    <xdr:to>
      <xdr:col>16</xdr:col>
      <xdr:colOff>495070</xdr:colOff>
      <xdr:row>6</xdr:row>
      <xdr:rowOff>171340</xdr:rowOff>
    </xdr:to>
    <xdr:pic>
      <xdr:nvPicPr>
        <xdr:cNvPr id="11" name="图片 10"/>
        <xdr:cNvPicPr>
          <a:picLocks noChangeAspect="1"/>
        </xdr:cNvPicPr>
      </xdr:nvPicPr>
      <xdr:blipFill>
        <a:blip xmlns:r="http://schemas.openxmlformats.org/officeDocument/2006/relationships" r:embed="rId9"/>
        <a:stretch>
          <a:fillRect/>
        </a:stretch>
      </xdr:blipFill>
      <xdr:spPr>
        <a:xfrm>
          <a:off x="9744075" y="323850"/>
          <a:ext cx="1838095" cy="876190"/>
        </a:xfrm>
        <a:prstGeom prst="rect">
          <a:avLst/>
        </a:prstGeom>
      </xdr:spPr>
    </xdr:pic>
    <xdr:clientData/>
  </xdr:twoCellAnchor>
  <xdr:twoCellAnchor editAs="oneCell">
    <xdr:from>
      <xdr:col>18</xdr:col>
      <xdr:colOff>11206</xdr:colOff>
      <xdr:row>2</xdr:row>
      <xdr:rowOff>0</xdr:rowOff>
    </xdr:from>
    <xdr:to>
      <xdr:col>21</xdr:col>
      <xdr:colOff>658906</xdr:colOff>
      <xdr:row>8</xdr:row>
      <xdr:rowOff>114773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2427324" y="336176"/>
          <a:ext cx="2698376" cy="1123303"/>
        </a:xfrm>
        <a:prstGeom prst="rect">
          <a:avLst/>
        </a:prstGeom>
      </xdr:spPr>
    </xdr:pic>
    <xdr:clientData/>
  </xdr:twoCellAnchor>
  <xdr:twoCellAnchor editAs="oneCell">
    <xdr:from>
      <xdr:col>0</xdr:col>
      <xdr:colOff>0</xdr:colOff>
      <xdr:row>92</xdr:row>
      <xdr:rowOff>1</xdr:rowOff>
    </xdr:from>
    <xdr:to>
      <xdr:col>7</xdr:col>
      <xdr:colOff>9394</xdr:colOff>
      <xdr:row>124</xdr:row>
      <xdr:rowOff>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15773401"/>
          <a:ext cx="4809994" cy="5486400"/>
        </a:xfrm>
        <a:prstGeom prst="rect">
          <a:avLst/>
        </a:prstGeom>
      </xdr:spPr>
    </xdr:pic>
    <xdr:clientData/>
  </xdr:twoCellAnchor>
  <xdr:twoCellAnchor editAs="oneCell">
    <xdr:from>
      <xdr:col>0</xdr:col>
      <xdr:colOff>0</xdr:colOff>
      <xdr:row>124</xdr:row>
      <xdr:rowOff>0</xdr:rowOff>
    </xdr:from>
    <xdr:to>
      <xdr:col>8</xdr:col>
      <xdr:colOff>218362</xdr:colOff>
      <xdr:row>130</xdr:row>
      <xdr:rowOff>47490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1259800"/>
          <a:ext cx="5704762" cy="1076190"/>
        </a:xfrm>
        <a:prstGeom prst="rect">
          <a:avLst/>
        </a:prstGeom>
      </xdr:spPr>
    </xdr:pic>
    <xdr:clientData/>
  </xdr:twoCellAnchor>
  <xdr:twoCellAnchor editAs="oneCell">
    <xdr:from>
      <xdr:col>13</xdr:col>
      <xdr:colOff>9525</xdr:colOff>
      <xdr:row>38</xdr:row>
      <xdr:rowOff>9525</xdr:rowOff>
    </xdr:from>
    <xdr:to>
      <xdr:col>14</xdr:col>
      <xdr:colOff>428370</xdr:colOff>
      <xdr:row>45</xdr:row>
      <xdr:rowOff>130848</xdr:rowOff>
    </xdr:to>
    <xdr:pic>
      <xdr:nvPicPr>
        <xdr:cNvPr id="15" name="图片 14"/>
        <xdr:cNvPicPr>
          <a:picLocks noChangeAspect="1"/>
        </xdr:cNvPicPr>
      </xdr:nvPicPr>
      <xdr:blipFill>
        <a:blip xmlns:r="http://schemas.openxmlformats.org/officeDocument/2006/relationships" r:embed="rId13"/>
        <a:stretch>
          <a:fillRect/>
        </a:stretch>
      </xdr:blipFill>
      <xdr:spPr>
        <a:xfrm>
          <a:off x="8924925" y="6524625"/>
          <a:ext cx="1218945" cy="1321473"/>
        </a:xfrm>
        <a:prstGeom prst="rect">
          <a:avLst/>
        </a:prstGeom>
      </xdr:spPr>
    </xdr:pic>
    <xdr:clientData/>
  </xdr:twoCellAnchor>
  <xdr:twoCellAnchor editAs="oneCell">
    <xdr:from>
      <xdr:col>13</xdr:col>
      <xdr:colOff>781050</xdr:colOff>
      <xdr:row>46</xdr:row>
      <xdr:rowOff>95250</xdr:rowOff>
    </xdr:from>
    <xdr:to>
      <xdr:col>24</xdr:col>
      <xdr:colOff>684778</xdr:colOff>
      <xdr:row>77</xdr:row>
      <xdr:rowOff>156425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9696450" y="7981950"/>
          <a:ext cx="7561828" cy="5376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0849;&#20139;&#25991;&#20214;&#22841;\&#36164;&#20135;&#24037;&#20316;\&#39033;&#30446;\&#36827;&#34892;&#39033;&#30446;\&#39640;&#21644;-&#34701;&#20013;&#24515;\&#36807;&#31243;\&#26093;&#23431;&#12304;2021&#12305;&#8212;&#30005;&#31639;&#34920;%20&#32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6164;&#20135;&#24037;&#20316;\&#39033;&#30446;\&#24050;&#20986;&#39033;&#30446;\2022&#24180;\2022&#39640;&#21644;-&#34701;&#20013;&#24515;\&#36807;&#31243;\&#20462;&#25913;-01-&#26093;&#23431;-A&#24231;&#27979;&#31639;&#35843;&#25972;-&#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3号楼"/>
      <sheetName val="面积2号楼"/>
      <sheetName val="大宗交易案例"/>
      <sheetName val="周边商业案例"/>
      <sheetName val="案例位置"/>
      <sheetName val="中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附属用房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独立商业</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t="str">
            <v>商业、办公、地下车库</v>
          </cell>
          <cell r="D63" t="str">
            <v>商业、办公</v>
          </cell>
          <cell r="E63" t="str">
            <v>商业</v>
          </cell>
        </row>
        <row r="86">
          <cell r="B86" t="str">
            <v>临街状况</v>
          </cell>
        </row>
        <row r="90">
          <cell r="B90" t="str">
            <v>人流量</v>
          </cell>
        </row>
        <row r="92">
          <cell r="B92" t="str">
            <v>楼层</v>
          </cell>
        </row>
        <row r="100">
          <cell r="B100" t="str">
            <v>商业类型</v>
          </cell>
          <cell r="C100" t="str">
            <v>综合体</v>
          </cell>
        </row>
        <row r="105">
          <cell r="B105" t="str">
            <v>建筑结构</v>
          </cell>
          <cell r="C105" t="str">
            <v>塔楼</v>
          </cell>
        </row>
        <row r="107">
          <cell r="B107" t="str">
            <v>公共部分装修</v>
          </cell>
          <cell r="C107" t="str">
            <v>精装修</v>
          </cell>
        </row>
        <row r="112">
          <cell r="B112" t="str">
            <v>市政基础设施</v>
          </cell>
          <cell r="C112" t="str">
            <v>七通</v>
          </cell>
        </row>
        <row r="114">
          <cell r="B114" t="str">
            <v>业态</v>
          </cell>
        </row>
        <row r="116">
          <cell r="B116" t="str">
            <v>层高</v>
          </cell>
          <cell r="C116" t="str">
            <v>标准层高</v>
          </cell>
        </row>
        <row r="120">
          <cell r="B120" t="str">
            <v>进深比</v>
          </cell>
        </row>
        <row r="122">
          <cell r="B122" t="str">
            <v>内部装修</v>
          </cell>
          <cell r="C122" t="str">
            <v>毛坯</v>
          </cell>
          <cell r="D122" t="str">
            <v>普通装修</v>
          </cell>
          <cell r="E122" t="str">
            <v>精装修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商业</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明细"/>
      <sheetName val="租金"/>
      <sheetName val="定义"/>
      <sheetName val="项目基本情况"/>
      <sheetName val="数据-基础表"/>
      <sheetName val="抵押物清单（分楼）"/>
      <sheetName val="数据-汇总表"/>
      <sheetName val="数据-取费表"/>
      <sheetName val="估价对象房地状况"/>
      <sheetName val="系统读取表"/>
      <sheetName val="结果表 "/>
      <sheetName val="成本法"/>
      <sheetName val="成本法 (元)"/>
      <sheetName val="假设开发法"/>
      <sheetName val="基准地价修正"/>
      <sheetName val="结果汇总表"/>
      <sheetName val="比较法-办公"/>
      <sheetName val="收益法（整体出租部分）"/>
      <sheetName val="收益法（车库）"/>
      <sheetName val="办公出售案例"/>
      <sheetName val="结果表 （1层商业）"/>
      <sheetName val="比较法-商业"/>
      <sheetName val="收益法（1层商业）"/>
      <sheetName val="商业出售案例"/>
      <sheetName val="结果表 （-1层商业）"/>
      <sheetName val="比较法-商业 (-1层商业)"/>
      <sheetName val="收益法（-1层商业）"/>
      <sheetName val="收益法 (元)"/>
      <sheetName val="结果表（车库）"/>
      <sheetName val="比较法-车位（B2)"/>
      <sheetName val="比较法-车位（B1) "/>
      <sheetName val="车库出售案例"/>
      <sheetName val="收益法-酒店模型"/>
      <sheetName val="收益法（汇总）"/>
      <sheetName val="比较法-住宅"/>
      <sheetName val="比较法-工业"/>
      <sheetName val="售价"/>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
          <cell r="D1" t="str">
            <v>判定</v>
          </cell>
        </row>
        <row r="2">
          <cell r="D2" t="str">
            <v>是</v>
          </cell>
        </row>
        <row r="3">
          <cell r="D3" t="str">
            <v>否</v>
          </cell>
        </row>
        <row r="4">
          <cell r="D4" t="str">
            <v>——</v>
          </cell>
        </row>
      </sheetData>
      <sheetData sheetId="12"/>
      <sheetData sheetId="13">
        <row r="3">
          <cell r="B3">
            <v>48955.32</v>
          </cell>
        </row>
      </sheetData>
      <sheetData sheetId="14"/>
      <sheetData sheetId="15"/>
      <sheetData sheetId="16"/>
      <sheetData sheetId="17"/>
      <sheetData sheetId="18"/>
      <sheetData sheetId="19">
        <row r="19">
          <cell r="G19">
            <v>176865</v>
          </cell>
        </row>
      </sheetData>
      <sheetData sheetId="20"/>
      <sheetData sheetId="21"/>
      <sheetData sheetId="22"/>
      <sheetData sheetId="23"/>
      <sheetData sheetId="24"/>
      <sheetData sheetId="25"/>
      <sheetData sheetId="26"/>
      <sheetData sheetId="27"/>
      <sheetData sheetId="28"/>
      <sheetData sheetId="29">
        <row r="19">
          <cell r="G19" t="e">
            <v>#N/A</v>
          </cell>
        </row>
      </sheetData>
      <sheetData sheetId="30"/>
      <sheetData sheetId="31"/>
      <sheetData sheetId="32"/>
      <sheetData sheetId="33">
        <row r="19">
          <cell r="G19" t="e">
            <v>#N/A</v>
          </cell>
        </row>
      </sheetData>
      <sheetData sheetId="34"/>
      <sheetData sheetId="35"/>
      <sheetData sheetId="36"/>
      <sheetData sheetId="37">
        <row r="19">
          <cell r="G19" t="e">
            <v>#REF!</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康正预评字旭宇号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估价对象为北京市房地产，为所有。根据《国有土地使用证》[]，估价对象（分摊）出让国有建设用地使用权面积为11397.7平方米，建筑面积为48955.32平方米。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综合项目（商业、办公），该项目尚在开发建设中。根据《国有土地使用证》[]，估价对象（分摊）出让国有建设用地使用权面积为11397.7平方米，规划建筑面积为48955.32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2022年12月31日</v>
      </c>
    </row>
    <row r="13" spans="1:2" s="1203" customFormat="1">
      <c r="A13" s="1201" t="s">
        <v>529</v>
      </c>
      <c r="B13" s="1202" t="str">
        <f>'预评函-1'!A18</f>
        <v>本次估价的“房地产价值”是指在正常市场情况下，在价值时点2022年12月31日，估价对象规划用途为0，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0，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48955.32</v>
      </c>
    </row>
    <row r="44" spans="1:2" s="1203" customFormat="1">
      <c r="A44" s="1201" t="s">
        <v>575</v>
      </c>
      <c r="B44" s="1202" t="str">
        <f>'预评函-3'!C2</f>
        <v>(分摊)土地面积</v>
      </c>
    </row>
    <row r="45" spans="1:2" s="1203" customFormat="1">
      <c r="A45" s="1201" t="s">
        <v>547</v>
      </c>
      <c r="B45" s="1202">
        <f>'预评函-3'!C4</f>
        <v>11397.7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1" workbookViewId="0">
      <selection activeCell="D25" sqref="D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3474</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3440</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0土地取得方式为出让，出让国有建设用地使用权剩余土地使用年限为XX年(多用途剩余年限尾数不同时，可只体现小数点后一位)，假定未设立法定优先受偿款下的房地产市场价值。</v>
      </c>
    </row>
    <row r="54" spans="1:4">
      <c r="A54" s="3574"/>
      <c r="B54" s="1554" t="s">
        <v>385</v>
      </c>
      <c r="C54" s="1551" t="s">
        <v>583</v>
      </c>
    </row>
    <row r="55" spans="1:4">
      <c r="A55" s="3574"/>
      <c r="B55" s="1554" t="s">
        <v>386</v>
      </c>
      <c r="C55" s="1551" t="s">
        <v>584</v>
      </c>
    </row>
    <row r="56" spans="1:4">
      <c r="A56" s="3574"/>
      <c r="B56" s="1554" t="s">
        <v>387</v>
      </c>
      <c r="C56" s="1551" t="s">
        <v>588</v>
      </c>
    </row>
    <row r="57" spans="1:4">
      <c r="A57" s="357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AA140"/>
  <sheetViews>
    <sheetView topLeftCell="P4" zoomScale="115" zoomScaleNormal="115" workbookViewId="0">
      <selection activeCell="Y22" sqref="Y22"/>
    </sheetView>
  </sheetViews>
  <sheetFormatPr defaultColWidth="9" defaultRowHeight="11.25"/>
  <cols>
    <col min="1" max="1" width="2" style="3460" customWidth="1"/>
    <col min="2" max="3" width="4.375" style="3460" customWidth="1"/>
    <col min="4" max="4" width="9" style="3460"/>
    <col min="5" max="5" width="8.875" style="3460" customWidth="1"/>
    <col min="6" max="6" width="7.875" style="3460" bestFit="1" customWidth="1"/>
    <col min="7" max="7" width="7.5" style="3460" bestFit="1" customWidth="1"/>
    <col min="8" max="8" width="9" style="3460"/>
    <col min="9" max="9" width="10.875" style="3460" customWidth="1"/>
    <col min="10" max="10" width="11.75" style="3460" customWidth="1"/>
    <col min="11" max="11" width="12.875" style="3460" customWidth="1"/>
    <col min="12" max="12" width="10.5" style="3460" bestFit="1" customWidth="1"/>
    <col min="13" max="13" width="13.875" style="3460" bestFit="1" customWidth="1"/>
    <col min="14" max="14" width="12.875" style="3460" customWidth="1"/>
    <col min="15" max="16" width="9" style="3460"/>
    <col min="17" max="17" width="12.25" style="3460" bestFit="1" customWidth="1"/>
    <col min="18" max="18" width="7.5" style="3460" customWidth="1"/>
    <col min="19" max="19" width="14.375" style="3460" customWidth="1"/>
    <col min="20" max="20" width="12.875" style="3460" customWidth="1"/>
    <col min="21" max="22" width="14.75" style="3460" bestFit="1" customWidth="1"/>
    <col min="23" max="24" width="9" style="3460"/>
    <col min="25" max="25" width="9" style="3475"/>
    <col min="26" max="26" width="14.75" style="3460" bestFit="1" customWidth="1"/>
    <col min="27" max="16384" width="9" style="3460"/>
  </cols>
  <sheetData>
    <row r="1" spans="2:27" s="3471" customFormat="1" ht="32.25" customHeight="1">
      <c r="D1" s="3471" t="e">
        <f>'[2]结果表 '!G19+'[2]结果表 （1层商业）'!G19+'[2]结果表 （-1层商业）'!G19+'[2]结果表（车库）'!G19</f>
        <v>#N/A</v>
      </c>
      <c r="J1" s="3476" t="s">
        <v>3402</v>
      </c>
      <c r="Q1" s="3472" t="s">
        <v>3403</v>
      </c>
      <c r="R1" s="3472" t="s">
        <v>3404</v>
      </c>
      <c r="S1" s="3472" t="s">
        <v>3405</v>
      </c>
      <c r="T1" s="3472" t="s">
        <v>3406</v>
      </c>
      <c r="U1" s="3472" t="s">
        <v>3407</v>
      </c>
      <c r="V1" s="3472" t="s">
        <v>3408</v>
      </c>
      <c r="Y1" s="3474"/>
    </row>
    <row r="2" spans="2:27">
      <c r="B2" s="3468"/>
      <c r="C2" s="3468"/>
      <c r="D2" s="3468"/>
      <c r="E2" s="3468"/>
      <c r="F2" s="3468"/>
      <c r="G2" s="3468"/>
      <c r="H2" s="3468"/>
      <c r="I2" s="3460" t="s">
        <v>3409</v>
      </c>
      <c r="J2" s="3460">
        <f>ROUND(D6/35,2)</f>
        <v>239.17</v>
      </c>
      <c r="Q2" s="3575" t="s">
        <v>3410</v>
      </c>
      <c r="R2" s="3575"/>
      <c r="S2" s="3575"/>
      <c r="T2" s="3575"/>
      <c r="U2" s="3575"/>
      <c r="V2" s="3575"/>
      <c r="Z2" s="3459"/>
    </row>
    <row r="3" spans="2:27">
      <c r="B3" s="3461" t="s">
        <v>3386</v>
      </c>
      <c r="C3" s="3461" t="s">
        <v>3387</v>
      </c>
      <c r="D3" s="3461" t="s">
        <v>3388</v>
      </c>
      <c r="E3" s="3461" t="s">
        <v>3389</v>
      </c>
      <c r="F3" s="3461" t="s">
        <v>3390</v>
      </c>
      <c r="G3" s="3461" t="s">
        <v>3411</v>
      </c>
      <c r="H3" s="3461" t="s">
        <v>3391</v>
      </c>
      <c r="Q3" s="3473" t="s">
        <v>3412</v>
      </c>
      <c r="R3" s="3473">
        <v>26143.67</v>
      </c>
      <c r="S3" s="3457">
        <v>372</v>
      </c>
      <c r="T3" s="3457">
        <v>341.28</v>
      </c>
      <c r="U3" s="3457">
        <f>ROUND(S3*R3*12,2)</f>
        <v>116705342.88</v>
      </c>
      <c r="V3" s="3457">
        <f>ROUND(W3*R3*12,2)</f>
        <v>107069121.91</v>
      </c>
      <c r="W3" s="3452">
        <f>S3/1.09</f>
        <v>341.28440366972472</v>
      </c>
      <c r="X3" s="3459">
        <f>S3/30</f>
        <v>12.4</v>
      </c>
      <c r="Z3" s="3459">
        <f>SUM(U3:U6)</f>
        <v>482382083.89999998</v>
      </c>
      <c r="AA3" s="3459">
        <f>Z3/R3/12/30/4</f>
        <v>12.813333333227083</v>
      </c>
    </row>
    <row r="4" spans="2:27">
      <c r="B4" s="3461" t="s">
        <v>3392</v>
      </c>
      <c r="C4" s="3461">
        <v>-3</v>
      </c>
      <c r="D4" s="3462">
        <v>5309.77</v>
      </c>
      <c r="E4" s="3462"/>
      <c r="F4" s="3461" t="s">
        <v>3393</v>
      </c>
      <c r="G4" s="3461" t="s">
        <v>3413</v>
      </c>
      <c r="H4" s="3461" t="s">
        <v>3394</v>
      </c>
      <c r="J4" s="3465" t="s">
        <v>3386</v>
      </c>
      <c r="K4" s="3465" t="s">
        <v>3397</v>
      </c>
      <c r="L4" s="3465" t="s">
        <v>3398</v>
      </c>
      <c r="M4" s="3465" t="s">
        <v>3399</v>
      </c>
      <c r="N4" s="3465" t="s">
        <v>3400</v>
      </c>
      <c r="O4" s="3465" t="s">
        <v>3401</v>
      </c>
      <c r="Q4" s="3473" t="s">
        <v>3414</v>
      </c>
      <c r="R4" s="3473">
        <v>26143.67</v>
      </c>
      <c r="S4" s="3457">
        <v>372</v>
      </c>
      <c r="T4" s="3457">
        <v>341.28</v>
      </c>
      <c r="U4" s="3457">
        <f t="shared" ref="U4:U11" si="0">ROUND(S4*R4*12,2)</f>
        <v>116705342.88</v>
      </c>
      <c r="V4" s="3457">
        <f t="shared" ref="V4:V6" si="1">ROUND(W4*R4*12,2)</f>
        <v>107069121.91</v>
      </c>
      <c r="W4" s="3452">
        <f t="shared" ref="W4:W15" si="2">S4/1.09</f>
        <v>341.28440366972472</v>
      </c>
      <c r="X4" s="3459">
        <f t="shared" ref="X4:X16" si="3">S4/30</f>
        <v>12.4</v>
      </c>
      <c r="Z4" s="3459"/>
    </row>
    <row r="5" spans="2:27">
      <c r="B5" s="3461" t="s">
        <v>3392</v>
      </c>
      <c r="C5" s="3461">
        <v>-2</v>
      </c>
      <c r="D5" s="3462">
        <v>8129.2</v>
      </c>
      <c r="E5" s="3462">
        <v>6778.38</v>
      </c>
      <c r="F5" s="3461" t="s">
        <v>3340</v>
      </c>
      <c r="G5" s="3461" t="s">
        <v>3415</v>
      </c>
      <c r="H5" s="3461" t="s">
        <v>3394</v>
      </c>
      <c r="I5" s="3460">
        <v>152</v>
      </c>
      <c r="J5" s="3461" t="s">
        <v>3392</v>
      </c>
      <c r="K5" s="3462">
        <f>SUMIF(B:B,J5,D:D)</f>
        <v>54294.720000000001</v>
      </c>
      <c r="L5" s="3462">
        <f>SUMIFS(D:D,B:B,J5,F:F,"人防")</f>
        <v>5339.4000000000005</v>
      </c>
      <c r="M5" s="3462">
        <f>K5-L5</f>
        <v>48955.32</v>
      </c>
      <c r="N5" s="3462">
        <f>SUMIFS(D:D,H:H,"地上",B:B,J5)-SUMIFS(D:D,H:H,"地上",F:F,"人防",B:B,J5)</f>
        <v>32455.110000000004</v>
      </c>
      <c r="O5" s="3462">
        <f>SUMIFS(D:D,H:H,"地下",B:B,J5)-SUMIFS(D:D,H:H,"地下",F:F,"人防",B:B,J5)</f>
        <v>16500.210000000003</v>
      </c>
      <c r="Q5" s="3473" t="s">
        <v>3416</v>
      </c>
      <c r="R5" s="3473">
        <v>26143.67</v>
      </c>
      <c r="S5" s="3457">
        <v>396.8</v>
      </c>
      <c r="T5" s="3457">
        <v>364.04</v>
      </c>
      <c r="U5" s="3457">
        <f t="shared" si="0"/>
        <v>124485699.06999999</v>
      </c>
      <c r="V5" s="3457">
        <f t="shared" si="1"/>
        <v>114207063.37</v>
      </c>
      <c r="W5" s="3452">
        <f t="shared" si="2"/>
        <v>364.0366972477064</v>
      </c>
      <c r="X5" s="3459">
        <f>S5/30</f>
        <v>13.226666666666667</v>
      </c>
      <c r="Y5" s="3475">
        <f>(X5-X3)/X3</f>
        <v>6.6666666666666624E-2</v>
      </c>
      <c r="Z5" s="3459"/>
    </row>
    <row r="6" spans="2:27">
      <c r="B6" s="3461" t="s">
        <v>3392</v>
      </c>
      <c r="C6" s="3461">
        <v>-1</v>
      </c>
      <c r="D6" s="3467">
        <v>8371.01</v>
      </c>
      <c r="E6" s="3462">
        <v>6980.01</v>
      </c>
      <c r="F6" s="3461" t="s">
        <v>3340</v>
      </c>
      <c r="G6" s="3461" t="s">
        <v>3417</v>
      </c>
      <c r="H6" s="3461" t="s">
        <v>3394</v>
      </c>
      <c r="I6" s="3460">
        <f>ROUND(D5/I5,2)</f>
        <v>53.48</v>
      </c>
      <c r="M6" s="3452">
        <f>M5-'[2]数据-基础表'!B3</f>
        <v>0</v>
      </c>
      <c r="Q6" s="3473" t="s">
        <v>3418</v>
      </c>
      <c r="R6" s="3473">
        <v>26143.67</v>
      </c>
      <c r="S6" s="3457">
        <v>396.8</v>
      </c>
      <c r="T6" s="3457">
        <v>364.04</v>
      </c>
      <c r="U6" s="3457">
        <f t="shared" si="0"/>
        <v>124485699.06999999</v>
      </c>
      <c r="V6" s="3457">
        <f t="shared" si="1"/>
        <v>114207063.37</v>
      </c>
      <c r="W6" s="3452">
        <f>S6/1.09</f>
        <v>364.0366972477064</v>
      </c>
      <c r="X6" s="3459">
        <f t="shared" si="3"/>
        <v>13.226666666666667</v>
      </c>
    </row>
    <row r="7" spans="2:27">
      <c r="B7" s="3463" t="s">
        <v>3392</v>
      </c>
      <c r="C7" s="3463">
        <v>1</v>
      </c>
      <c r="D7" s="3464">
        <v>29.63</v>
      </c>
      <c r="E7" s="3464">
        <v>29.63</v>
      </c>
      <c r="F7" s="3463" t="s">
        <v>3393</v>
      </c>
      <c r="G7" s="3463" t="s">
        <v>3419</v>
      </c>
      <c r="H7" s="3463" t="s">
        <v>3395</v>
      </c>
      <c r="Q7" s="3575" t="s">
        <v>3420</v>
      </c>
      <c r="R7" s="3575"/>
      <c r="S7" s="3575"/>
      <c r="T7" s="3575"/>
      <c r="U7" s="3575"/>
      <c r="V7" s="3575"/>
      <c r="W7" s="3452">
        <f t="shared" si="2"/>
        <v>0</v>
      </c>
      <c r="X7" s="3450">
        <f>AVERAGE(X3:X6)</f>
        <v>12.813333333333334</v>
      </c>
    </row>
    <row r="8" spans="2:27" ht="12.75">
      <c r="B8" s="3463" t="s">
        <v>3392</v>
      </c>
      <c r="C8" s="3463">
        <v>1</v>
      </c>
      <c r="D8" s="3467">
        <v>6311.44</v>
      </c>
      <c r="E8" s="3464">
        <v>5306.36</v>
      </c>
      <c r="F8" s="3463" t="s">
        <v>673</v>
      </c>
      <c r="G8" s="3463" t="s">
        <v>3419</v>
      </c>
      <c r="H8" s="3463" t="s">
        <v>3395</v>
      </c>
      <c r="J8" s="3466" t="s">
        <v>3421</v>
      </c>
      <c r="K8" s="3531">
        <v>54771.69</v>
      </c>
      <c r="L8" s="3532">
        <f>K8</f>
        <v>54771.69</v>
      </c>
      <c r="M8" s="3481" t="s">
        <v>3421</v>
      </c>
      <c r="N8" s="3460" t="s">
        <v>3422</v>
      </c>
      <c r="Q8" s="3473" t="s">
        <v>3412</v>
      </c>
      <c r="R8" s="3473">
        <v>6311.44</v>
      </c>
      <c r="S8" s="3457">
        <v>412</v>
      </c>
      <c r="T8" s="3457">
        <v>377.98</v>
      </c>
      <c r="U8" s="3457">
        <f t="shared" si="0"/>
        <v>31203759.359999999</v>
      </c>
      <c r="V8" s="3457">
        <f t="shared" ref="V8:V11" si="4">ROUND(W8*R8*12,2)</f>
        <v>28627302.170000002</v>
      </c>
      <c r="W8" s="3452">
        <f t="shared" si="2"/>
        <v>377.98165137614677</v>
      </c>
      <c r="X8" s="3459">
        <f t="shared" si="3"/>
        <v>13.733333333333333</v>
      </c>
      <c r="Z8" s="3459">
        <f>SUM(U8:U11)</f>
        <v>128976043.59999999</v>
      </c>
      <c r="AA8" s="3459">
        <f>Z8/R8/12/30/4</f>
        <v>14.191166666314574</v>
      </c>
    </row>
    <row r="9" spans="2:27" ht="12.75">
      <c r="B9" s="3463" t="s">
        <v>3392</v>
      </c>
      <c r="C9" s="3463">
        <v>2</v>
      </c>
      <c r="D9" s="3467">
        <v>5458.34</v>
      </c>
      <c r="E9" s="3464">
        <v>4589.1099999999997</v>
      </c>
      <c r="F9" s="3463" t="s">
        <v>673</v>
      </c>
      <c r="G9" s="3463" t="s">
        <v>3423</v>
      </c>
      <c r="H9" s="3463" t="s">
        <v>3395</v>
      </c>
      <c r="J9" s="3466" t="s">
        <v>3424</v>
      </c>
      <c r="K9" s="3531">
        <v>173812.99</v>
      </c>
      <c r="L9" s="3532">
        <f>173812.99+54743+4689+2010</f>
        <v>235254.99</v>
      </c>
      <c r="M9" s="3480" t="s">
        <v>3425</v>
      </c>
      <c r="N9" s="3460" t="s">
        <v>3422</v>
      </c>
      <c r="Q9" s="3473" t="s">
        <v>3426</v>
      </c>
      <c r="R9" s="3473">
        <v>6311.44</v>
      </c>
      <c r="S9" s="3457">
        <v>412</v>
      </c>
      <c r="T9" s="3457">
        <v>377.98</v>
      </c>
      <c r="U9" s="3457">
        <f t="shared" si="0"/>
        <v>31203759.359999999</v>
      </c>
      <c r="V9" s="3457">
        <f t="shared" si="4"/>
        <v>28627302.170000002</v>
      </c>
      <c r="W9" s="3452">
        <f t="shared" si="2"/>
        <v>377.98165137614677</v>
      </c>
      <c r="X9" s="3459">
        <f t="shared" si="3"/>
        <v>13.733333333333333</v>
      </c>
    </row>
    <row r="10" spans="2:27" ht="12.75">
      <c r="B10" s="3463" t="s">
        <v>3392</v>
      </c>
      <c r="C10" s="3463">
        <v>3</v>
      </c>
      <c r="D10" s="3467">
        <v>5464.13</v>
      </c>
      <c r="E10" s="3464">
        <v>4593.9799999999996</v>
      </c>
      <c r="F10" s="3463" t="s">
        <v>673</v>
      </c>
      <c r="G10" s="3463" t="s">
        <v>3423</v>
      </c>
      <c r="H10" s="3463" t="s">
        <v>3395</v>
      </c>
      <c r="J10" s="3466" t="s">
        <v>2802</v>
      </c>
      <c r="K10" s="3531">
        <f>K9/K8</f>
        <v>3.1734092922821988</v>
      </c>
      <c r="L10" s="3533">
        <f>L9/L8</f>
        <v>4.2951931919573774</v>
      </c>
      <c r="M10" s="3480" t="s">
        <v>3427</v>
      </c>
      <c r="Q10" s="3473" t="s">
        <v>3416</v>
      </c>
      <c r="R10" s="3473">
        <v>6311.44</v>
      </c>
      <c r="S10" s="3457">
        <v>439.47</v>
      </c>
      <c r="T10" s="3457">
        <v>403.18</v>
      </c>
      <c r="U10" s="3457">
        <f t="shared" si="0"/>
        <v>33284262.440000001</v>
      </c>
      <c r="V10" s="3457">
        <f t="shared" si="4"/>
        <v>30536020.59</v>
      </c>
      <c r="W10" s="3452">
        <f t="shared" si="2"/>
        <v>403.18348623853211</v>
      </c>
      <c r="X10" s="3459">
        <f t="shared" si="3"/>
        <v>14.649000000000001</v>
      </c>
      <c r="Y10" s="3475">
        <f>(X10-X8)/X8</f>
        <v>6.6674757281553532E-2</v>
      </c>
    </row>
    <row r="11" spans="2:27">
      <c r="B11" s="3463" t="s">
        <v>3392</v>
      </c>
      <c r="C11" s="3463">
        <v>4</v>
      </c>
      <c r="D11" s="3467">
        <v>5458.04</v>
      </c>
      <c r="E11" s="3464">
        <v>4588.8599999999997</v>
      </c>
      <c r="F11" s="3463" t="s">
        <v>673</v>
      </c>
      <c r="G11" s="3463" t="s">
        <v>3423</v>
      </c>
      <c r="H11" s="3463" t="s">
        <v>3395</v>
      </c>
      <c r="J11" s="3460" t="s">
        <v>3428</v>
      </c>
      <c r="K11" s="3532">
        <f>ROUND(N5/K10,2)</f>
        <v>10227.209999999999</v>
      </c>
      <c r="L11" s="3532">
        <f>M5/L10</f>
        <v>11397.699198179815</v>
      </c>
      <c r="M11" s="3480" t="s">
        <v>3429</v>
      </c>
      <c r="N11" s="3460">
        <f>M5/L9*L8</f>
        <v>11397.699198179815</v>
      </c>
      <c r="Q11" s="3473" t="s">
        <v>3418</v>
      </c>
      <c r="R11" s="3473">
        <v>6311.44</v>
      </c>
      <c r="S11" s="3457">
        <v>439.47</v>
      </c>
      <c r="T11" s="3457">
        <v>403.18</v>
      </c>
      <c r="U11" s="3457">
        <f t="shared" si="0"/>
        <v>33284262.440000001</v>
      </c>
      <c r="V11" s="3457">
        <f t="shared" si="4"/>
        <v>30536020.59</v>
      </c>
      <c r="W11" s="3452">
        <f t="shared" si="2"/>
        <v>403.18348623853211</v>
      </c>
      <c r="X11" s="3459">
        <f t="shared" si="3"/>
        <v>14.649000000000001</v>
      </c>
    </row>
    <row r="12" spans="2:27">
      <c r="B12" s="3463" t="s">
        <v>3392</v>
      </c>
      <c r="C12" s="3463">
        <v>5</v>
      </c>
      <c r="D12" s="3467">
        <v>4881.58</v>
      </c>
      <c r="E12" s="3464">
        <v>4104.2</v>
      </c>
      <c r="F12" s="3463" t="s">
        <v>673</v>
      </c>
      <c r="G12" s="3463" t="s">
        <v>3423</v>
      </c>
      <c r="H12" s="3463" t="s">
        <v>3395</v>
      </c>
      <c r="Q12" s="3575" t="s">
        <v>3430</v>
      </c>
      <c r="R12" s="3575"/>
      <c r="S12" s="3575"/>
      <c r="T12" s="3575"/>
      <c r="U12" s="3575"/>
      <c r="V12" s="3575"/>
      <c r="W12" s="3452">
        <f t="shared" si="2"/>
        <v>0</v>
      </c>
      <c r="X12" s="3450">
        <f>AVERAGE(X8:X11)</f>
        <v>14.191166666666668</v>
      </c>
    </row>
    <row r="13" spans="2:27">
      <c r="B13" s="3463" t="s">
        <v>3392</v>
      </c>
      <c r="C13" s="3463">
        <v>6</v>
      </c>
      <c r="D13" s="3467">
        <v>4881.58</v>
      </c>
      <c r="E13" s="3464">
        <v>4104.2</v>
      </c>
      <c r="F13" s="3463" t="s">
        <v>673</v>
      </c>
      <c r="G13" s="3463" t="s">
        <v>3423</v>
      </c>
      <c r="H13" s="3463" t="s">
        <v>3395</v>
      </c>
      <c r="Q13" s="3473" t="s">
        <v>3412</v>
      </c>
      <c r="R13" s="3473">
        <v>8371.01</v>
      </c>
      <c r="S13" s="3457">
        <v>63.85</v>
      </c>
      <c r="T13" s="3457">
        <v>58.58</v>
      </c>
      <c r="U13" s="3456">
        <f>ROUND(S13*R13*12,3)</f>
        <v>6413867.8619999997</v>
      </c>
      <c r="V13" s="3456">
        <f>ROUND(W13*R13*12,3)</f>
        <v>5884282.4419999998</v>
      </c>
      <c r="W13" s="3452">
        <f t="shared" si="2"/>
        <v>58.577981651376142</v>
      </c>
      <c r="X13" s="3459">
        <f t="shared" si="3"/>
        <v>2.1283333333333334</v>
      </c>
    </row>
    <row r="14" spans="2:27">
      <c r="B14" s="3461" t="s">
        <v>3396</v>
      </c>
      <c r="C14" s="3461"/>
      <c r="D14" s="3462">
        <f>SUM(D4:D13)</f>
        <v>54294.720000000001</v>
      </c>
      <c r="E14" s="3462">
        <f>SUM(E4:E13)</f>
        <v>41074.729999999989</v>
      </c>
      <c r="F14" s="3461"/>
      <c r="G14" s="3461"/>
      <c r="H14" s="3461"/>
      <c r="L14" s="3460" t="s">
        <v>3431</v>
      </c>
      <c r="M14" s="3460">
        <v>54743</v>
      </c>
      <c r="N14" s="3460">
        <v>280</v>
      </c>
      <c r="O14" s="3460">
        <f>M14*N14/10000</f>
        <v>1532.8040000000001</v>
      </c>
      <c r="Q14" s="3473" t="s">
        <v>3426</v>
      </c>
      <c r="R14" s="3473">
        <v>8371.01</v>
      </c>
      <c r="S14" s="3457">
        <v>63.85</v>
      </c>
      <c r="T14" s="3457">
        <v>58.58</v>
      </c>
      <c r="U14" s="3456">
        <f t="shared" ref="U14:U16" si="5">ROUND(S14*R14*12,3)</f>
        <v>6413867.8619999997</v>
      </c>
      <c r="V14" s="3456">
        <f t="shared" ref="V14:V16" si="6">ROUND(W14*R14*12,3)</f>
        <v>5884282.4419999998</v>
      </c>
      <c r="W14" s="3452">
        <f t="shared" si="2"/>
        <v>58.577981651376142</v>
      </c>
      <c r="X14" s="3459">
        <f t="shared" si="3"/>
        <v>2.1283333333333334</v>
      </c>
    </row>
    <row r="15" spans="2:27">
      <c r="B15" s="3468"/>
      <c r="C15" s="3468"/>
      <c r="D15" s="3469">
        <f>SUM(D6,D8:D13)</f>
        <v>40826.120000000003</v>
      </c>
      <c r="E15" s="3469"/>
      <c r="F15" s="3468"/>
      <c r="G15" s="3468"/>
      <c r="H15" s="3468"/>
      <c r="L15" s="3460" t="s">
        <v>3432</v>
      </c>
      <c r="M15" s="3460">
        <v>4689</v>
      </c>
      <c r="N15" s="3460">
        <v>280</v>
      </c>
      <c r="O15" s="3460">
        <f t="shared" ref="O15:O17" si="7">M15*N15/10000</f>
        <v>131.292</v>
      </c>
      <c r="Q15" s="3473" t="s">
        <v>3416</v>
      </c>
      <c r="R15" s="3473">
        <v>8371.01</v>
      </c>
      <c r="S15" s="3457">
        <v>68.099999999999994</v>
      </c>
      <c r="T15" s="3457">
        <v>62.48</v>
      </c>
      <c r="U15" s="3456">
        <f t="shared" si="5"/>
        <v>6840789.3720000004</v>
      </c>
      <c r="V15" s="3456">
        <f t="shared" si="6"/>
        <v>6275953.5520000001</v>
      </c>
      <c r="W15" s="3452">
        <f t="shared" si="2"/>
        <v>62.477064220183479</v>
      </c>
      <c r="X15" s="3459">
        <f t="shared" si="3"/>
        <v>2.27</v>
      </c>
      <c r="Y15" s="3475">
        <f>(X15-X13)/X13</f>
        <v>6.6562255285826127E-2</v>
      </c>
    </row>
    <row r="16" spans="2:27">
      <c r="B16" s="3468"/>
      <c r="C16" s="3468"/>
      <c r="D16" s="3469"/>
      <c r="E16" s="3469"/>
      <c r="F16" s="3468"/>
      <c r="G16" s="3468"/>
      <c r="H16" s="3468"/>
      <c r="L16" s="3460" t="s">
        <v>3433</v>
      </c>
      <c r="M16" s="3460">
        <v>2010</v>
      </c>
      <c r="N16" s="3460">
        <v>280</v>
      </c>
      <c r="O16" s="3460">
        <f t="shared" si="7"/>
        <v>56.28</v>
      </c>
      <c r="Q16" s="3473" t="s">
        <v>3418</v>
      </c>
      <c r="R16" s="3473">
        <v>8371.01</v>
      </c>
      <c r="S16" s="3457">
        <v>68.099999999999994</v>
      </c>
      <c r="T16" s="3457">
        <v>62.48</v>
      </c>
      <c r="U16" s="3456">
        <f t="shared" si="5"/>
        <v>6840789.3720000004</v>
      </c>
      <c r="V16" s="3456">
        <f t="shared" si="6"/>
        <v>6275953.5520000001</v>
      </c>
      <c r="W16" s="3452">
        <f>S16/1.09</f>
        <v>62.477064220183479</v>
      </c>
      <c r="X16" s="3459">
        <f t="shared" si="3"/>
        <v>2.27</v>
      </c>
    </row>
    <row r="17" spans="2:26">
      <c r="B17" s="3468"/>
      <c r="C17" s="3468"/>
      <c r="D17" s="3469"/>
      <c r="E17" s="3469"/>
      <c r="F17" s="3468"/>
      <c r="G17" s="3468"/>
      <c r="H17" s="3468"/>
      <c r="L17" s="3460" t="s">
        <v>3419</v>
      </c>
      <c r="M17" s="3460">
        <v>173812.99</v>
      </c>
      <c r="N17" s="3460">
        <v>830</v>
      </c>
      <c r="O17" s="3460">
        <f t="shared" si="7"/>
        <v>14426.478169999998</v>
      </c>
      <c r="Q17" s="3468" t="s">
        <v>3434</v>
      </c>
      <c r="R17" s="3468"/>
      <c r="S17" s="3451"/>
      <c r="T17" s="3451"/>
      <c r="U17" s="3453"/>
      <c r="V17" s="3453"/>
      <c r="W17" s="3452"/>
      <c r="X17" s="3450">
        <f>AVERAGE(X13:X16)</f>
        <v>2.1991666666666667</v>
      </c>
    </row>
    <row r="18" spans="2:26" ht="22.5">
      <c r="B18" s="3468"/>
      <c r="C18" s="3468"/>
      <c r="D18" s="3469"/>
      <c r="E18" s="3469"/>
      <c r="F18" s="3468"/>
      <c r="G18" s="3468"/>
      <c r="H18" s="3468"/>
      <c r="O18" s="3460">
        <f>SUM(O14:O17)</f>
        <v>16146.854169999999</v>
      </c>
      <c r="Q18" s="3472" t="s">
        <v>3403</v>
      </c>
      <c r="R18" s="3472" t="s">
        <v>3404</v>
      </c>
      <c r="S18" s="3472" t="s">
        <v>3405</v>
      </c>
      <c r="T18" s="3472" t="s">
        <v>3406</v>
      </c>
      <c r="U18" s="3472" t="s">
        <v>3407</v>
      </c>
      <c r="V18" s="3472" t="s">
        <v>3408</v>
      </c>
      <c r="W18" s="3452"/>
      <c r="X18" s="3459"/>
    </row>
    <row r="19" spans="2:26">
      <c r="B19" s="3468"/>
      <c r="C19" s="3468"/>
      <c r="D19" s="3469"/>
      <c r="E19" s="3469"/>
      <c r="F19" s="3468"/>
      <c r="G19" s="3468"/>
      <c r="H19" s="3468"/>
      <c r="Q19" s="3473" t="s">
        <v>3412</v>
      </c>
      <c r="R19" s="3468">
        <f>R3+R8+R13</f>
        <v>40826.119999999995</v>
      </c>
      <c r="S19" s="3451">
        <f>(S3*R3+S8*R8+S13*R13)/R19</f>
        <v>315.00048274242079</v>
      </c>
      <c r="T19" s="3451">
        <f>(T3*R3+T8*R8+T13*R13)/R19</f>
        <v>288.98860716129769</v>
      </c>
      <c r="U19" s="3453">
        <f>U3+U8+U13</f>
        <v>154322970.102</v>
      </c>
      <c r="V19" s="3453">
        <f>V3+V8+V13</f>
        <v>141580706.52199998</v>
      </c>
      <c r="W19" s="3452">
        <f t="shared" ref="W19:W21" si="8">ROUND(U19/12/R19,0)</f>
        <v>315</v>
      </c>
      <c r="X19" s="3459">
        <f>S19/30</f>
        <v>10.500016091414027</v>
      </c>
      <c r="Z19" s="3454">
        <f>U19/4</f>
        <v>38580742.5255</v>
      </c>
    </row>
    <row r="20" spans="2:26">
      <c r="B20" s="3468"/>
      <c r="C20" s="3468"/>
      <c r="D20" s="3469"/>
      <c r="E20" s="3469"/>
      <c r="F20" s="3468"/>
      <c r="G20" s="3468"/>
      <c r="H20" s="3468"/>
      <c r="Q20" s="3473" t="s">
        <v>3426</v>
      </c>
      <c r="R20" s="3468">
        <f t="shared" ref="R20:R21" si="9">R4+R9+R14</f>
        <v>40826.119999999995</v>
      </c>
      <c r="S20" s="3451">
        <f t="shared" ref="S20:S21" si="10">(S4*R4+S9*R9+S14*R14)/R20</f>
        <v>315.00048274242079</v>
      </c>
      <c r="T20" s="3451">
        <f t="shared" ref="T20:T22" si="11">(T4*R4+T9*R9+T14*R14)/R20</f>
        <v>288.98860716129769</v>
      </c>
      <c r="U20" s="3453">
        <f t="shared" ref="U20:V22" si="12">U4+U9+U14</f>
        <v>154322970.102</v>
      </c>
      <c r="V20" s="3453">
        <f t="shared" si="12"/>
        <v>141580706.52199998</v>
      </c>
      <c r="W20" s="3452">
        <f t="shared" si="8"/>
        <v>315</v>
      </c>
      <c r="X20" s="3459">
        <f>S20/30</f>
        <v>10.500016091414027</v>
      </c>
    </row>
    <row r="21" spans="2:26">
      <c r="B21" s="3468"/>
      <c r="C21" s="3468"/>
      <c r="D21" s="3469"/>
      <c r="E21" s="3469"/>
      <c r="F21" s="3468"/>
      <c r="G21" s="3468"/>
      <c r="H21" s="3468"/>
      <c r="Q21" s="3473" t="s">
        <v>3416</v>
      </c>
      <c r="R21" s="3468">
        <f t="shared" si="9"/>
        <v>40826.119999999995</v>
      </c>
      <c r="S21" s="3451">
        <f t="shared" si="10"/>
        <v>335.99966329888804</v>
      </c>
      <c r="T21" s="3451">
        <f t="shared" si="11"/>
        <v>308.25874981017063</v>
      </c>
      <c r="U21" s="3453">
        <f t="shared" si="12"/>
        <v>164610750.882</v>
      </c>
      <c r="V21" s="3453">
        <f t="shared" si="12"/>
        <v>151019037.51199999</v>
      </c>
      <c r="W21" s="3452">
        <f t="shared" si="8"/>
        <v>336</v>
      </c>
      <c r="X21" s="3459">
        <f>S21/30</f>
        <v>11.199988776629601</v>
      </c>
      <c r="Y21" s="3475">
        <f>(X21-X19)/X19</f>
        <v>6.6663963095061243E-2</v>
      </c>
    </row>
    <row r="22" spans="2:26">
      <c r="B22" s="3468"/>
      <c r="C22" s="3468"/>
      <c r="D22" s="3469"/>
      <c r="E22" s="3469"/>
      <c r="F22" s="3468"/>
      <c r="G22" s="3468"/>
      <c r="H22" s="3468"/>
      <c r="Q22" s="3473" t="s">
        <v>3418</v>
      </c>
      <c r="R22" s="3468">
        <f>R6+R11+R16</f>
        <v>40826.119999999995</v>
      </c>
      <c r="S22" s="3451">
        <f>(S6*R6+S11*R11+S16*R16)/R22</f>
        <v>335.99966329888804</v>
      </c>
      <c r="T22" s="3451">
        <f t="shared" si="11"/>
        <v>308.25874981017063</v>
      </c>
      <c r="U22" s="3453">
        <f t="shared" si="12"/>
        <v>164610750.882</v>
      </c>
      <c r="V22" s="3453">
        <f t="shared" si="12"/>
        <v>151019037.51199999</v>
      </c>
      <c r="W22" s="3452">
        <f>ROUND(U22/12/R22,0)</f>
        <v>336</v>
      </c>
      <c r="X22" s="3459">
        <f>S22/30</f>
        <v>11.199988776629601</v>
      </c>
    </row>
    <row r="23" spans="2:26">
      <c r="B23" s="3468"/>
      <c r="C23" s="3468"/>
      <c r="D23" s="3469"/>
      <c r="E23" s="3469"/>
      <c r="F23" s="3468"/>
      <c r="G23" s="3468"/>
      <c r="H23" s="3468"/>
      <c r="Q23" s="3468" t="s">
        <v>3434</v>
      </c>
      <c r="R23" s="3477" t="s">
        <v>3435</v>
      </c>
      <c r="S23" s="3458">
        <f>U23/R22/54</f>
        <v>289.33339823731581</v>
      </c>
      <c r="T23" s="3451"/>
      <c r="U23" s="3453">
        <f>SUM(U19:U22)</f>
        <v>637867441.96799994</v>
      </c>
      <c r="V23" s="3453"/>
      <c r="W23" s="3495"/>
      <c r="X23" s="3450">
        <f>AVERAGE(X19:X22)</f>
        <v>10.850002434021814</v>
      </c>
    </row>
    <row r="24" spans="2:26">
      <c r="B24" s="3468"/>
      <c r="C24" s="3468"/>
      <c r="D24" s="3469"/>
      <c r="E24" s="3469"/>
      <c r="F24" s="3468"/>
      <c r="G24" s="3468"/>
      <c r="H24" s="3468"/>
      <c r="R24" s="3478" t="s">
        <v>3436</v>
      </c>
      <c r="S24" s="3454">
        <f>S23/30</f>
        <v>9.6444466079105275</v>
      </c>
      <c r="Z24" s="3452">
        <v>25422648.300000001</v>
      </c>
    </row>
    <row r="25" spans="2:26">
      <c r="B25" s="3468"/>
      <c r="C25" s="3468"/>
      <c r="D25" s="3469"/>
      <c r="E25" s="3469"/>
      <c r="F25" s="3468"/>
      <c r="G25" s="3468"/>
      <c r="H25" s="3468"/>
      <c r="L25" s="3470"/>
      <c r="S25" s="3479">
        <f>S24*30*R22*54</f>
        <v>637867441.96799994</v>
      </c>
      <c r="U25" s="3459">
        <f>U19/12*3</f>
        <v>38580742.5255</v>
      </c>
      <c r="V25" s="3459">
        <f>V19/12*3</f>
        <v>35395176.630499996</v>
      </c>
      <c r="Z25" s="3452">
        <v>13158094.23</v>
      </c>
    </row>
    <row r="26" spans="2:26">
      <c r="B26" s="3468"/>
      <c r="C26" s="3468"/>
      <c r="D26" s="3469"/>
      <c r="E26" s="3469"/>
      <c r="F26" s="3468"/>
      <c r="G26" s="3468"/>
      <c r="H26" s="3468"/>
      <c r="Q26" s="3478" t="s">
        <v>3449</v>
      </c>
      <c r="R26" s="3478"/>
      <c r="S26" s="3459"/>
      <c r="Z26" s="3455">
        <f>SUM(Z24:Z25)</f>
        <v>38580742.530000001</v>
      </c>
    </row>
    <row r="27" spans="2:26">
      <c r="B27" s="3468"/>
      <c r="C27" s="3468"/>
      <c r="D27" s="3469"/>
      <c r="E27" s="3469"/>
      <c r="F27" s="3468"/>
      <c r="G27" s="3468"/>
      <c r="H27" s="3468"/>
      <c r="Q27" s="3478" t="s">
        <v>3450</v>
      </c>
      <c r="R27" s="3478" t="s">
        <v>3452</v>
      </c>
    </row>
    <row r="28" spans="2:26">
      <c r="B28" s="3468"/>
      <c r="C28" s="3468"/>
      <c r="D28" s="3469"/>
      <c r="E28" s="3469"/>
      <c r="F28" s="3468"/>
      <c r="G28" s="3468"/>
      <c r="H28" s="3468"/>
      <c r="Q28" s="3478" t="s">
        <v>3451</v>
      </c>
      <c r="R28" s="3496">
        <f>ROUND((U19*0.5+U20+U21+U22)/(3.5*12)/R19,2)</f>
        <v>327</v>
      </c>
    </row>
    <row r="29" spans="2:26">
      <c r="B29" s="3468"/>
      <c r="C29" s="3468"/>
      <c r="D29" s="3469"/>
      <c r="E29" s="3469"/>
      <c r="F29" s="3468"/>
      <c r="G29" s="3468"/>
      <c r="H29" s="3468"/>
    </row>
    <row r="30" spans="2:26">
      <c r="B30" s="3468"/>
      <c r="C30" s="3468"/>
      <c r="D30" s="3469"/>
      <c r="E30" s="3469"/>
      <c r="F30" s="3468"/>
      <c r="G30" s="3468"/>
      <c r="H30" s="3468"/>
    </row>
    <row r="31" spans="2:26">
      <c r="B31" s="3468"/>
      <c r="C31" s="3468"/>
      <c r="D31" s="3469"/>
      <c r="E31" s="3469"/>
      <c r="F31" s="3468"/>
      <c r="G31" s="3468"/>
      <c r="H31" s="3468"/>
    </row>
    <row r="32" spans="2:26">
      <c r="B32" s="3468"/>
      <c r="C32" s="3468"/>
      <c r="D32" s="3469"/>
      <c r="E32" s="3469"/>
      <c r="F32" s="3468"/>
      <c r="G32" s="3468"/>
      <c r="H32" s="3468"/>
    </row>
    <row r="33" spans="2:8">
      <c r="B33" s="3468"/>
      <c r="C33" s="3468"/>
      <c r="D33" s="3469"/>
      <c r="E33" s="3469"/>
      <c r="F33" s="3468"/>
      <c r="G33" s="3468"/>
      <c r="H33" s="3468"/>
    </row>
    <row r="34" spans="2:8">
      <c r="B34" s="3468"/>
      <c r="C34" s="3468"/>
      <c r="D34" s="3469"/>
      <c r="E34" s="3469"/>
      <c r="F34" s="3468"/>
      <c r="G34" s="3468"/>
      <c r="H34" s="3468"/>
    </row>
    <row r="35" spans="2:8">
      <c r="B35" s="3468"/>
      <c r="C35" s="3468"/>
      <c r="D35" s="3469"/>
      <c r="E35" s="3469"/>
      <c r="F35" s="3468"/>
      <c r="G35" s="3468"/>
      <c r="H35" s="3468"/>
    </row>
    <row r="36" spans="2:8">
      <c r="B36" s="3468"/>
      <c r="C36" s="3468"/>
      <c r="D36" s="3469"/>
      <c r="E36" s="3469"/>
      <c r="F36" s="3468"/>
      <c r="G36" s="3468"/>
      <c r="H36" s="3468"/>
    </row>
    <row r="37" spans="2:8">
      <c r="B37" s="3468"/>
      <c r="C37" s="3468"/>
      <c r="D37" s="3469"/>
      <c r="E37" s="3469"/>
      <c r="F37" s="3468"/>
      <c r="G37" s="3468"/>
      <c r="H37" s="3468"/>
    </row>
    <row r="38" spans="2:8">
      <c r="B38" s="3468"/>
      <c r="C38" s="3468"/>
      <c r="D38" s="3469"/>
      <c r="E38" s="3469"/>
      <c r="F38" s="3468"/>
      <c r="G38" s="3468"/>
      <c r="H38" s="3468"/>
    </row>
    <row r="39" spans="2:8">
      <c r="B39" s="3468"/>
      <c r="C39" s="3468"/>
      <c r="D39" s="3469"/>
      <c r="E39" s="3469"/>
      <c r="F39" s="3468"/>
      <c r="G39" s="3468"/>
      <c r="H39" s="3468"/>
    </row>
    <row r="40" spans="2:8">
      <c r="B40" s="3468"/>
      <c r="C40" s="3468"/>
      <c r="D40" s="3469"/>
      <c r="E40" s="3469"/>
      <c r="F40" s="3468"/>
      <c r="G40" s="3468"/>
      <c r="H40" s="3468"/>
    </row>
    <row r="41" spans="2:8">
      <c r="B41" s="3468"/>
      <c r="C41" s="3468"/>
      <c r="D41" s="3469"/>
      <c r="E41" s="3469"/>
      <c r="F41" s="3468"/>
      <c r="G41" s="3468"/>
      <c r="H41" s="3468"/>
    </row>
    <row r="42" spans="2:8">
      <c r="B42" s="3468"/>
      <c r="C42" s="3468"/>
      <c r="D42" s="3469"/>
      <c r="E42" s="3469"/>
      <c r="F42" s="3468"/>
      <c r="G42" s="3468"/>
      <c r="H42" s="3468"/>
    </row>
    <row r="43" spans="2:8">
      <c r="B43" s="3468"/>
      <c r="C43" s="3468"/>
      <c r="D43" s="3469"/>
      <c r="E43" s="3469"/>
      <c r="F43" s="3468"/>
      <c r="G43" s="3468"/>
      <c r="H43" s="3468"/>
    </row>
    <row r="44" spans="2:8">
      <c r="B44" s="3468"/>
      <c r="C44" s="3468"/>
      <c r="D44" s="3469"/>
      <c r="E44" s="3469"/>
      <c r="F44" s="3468"/>
      <c r="G44" s="3468"/>
      <c r="H44" s="3468"/>
    </row>
    <row r="45" spans="2:8">
      <c r="B45" s="3468"/>
      <c r="C45" s="3468"/>
      <c r="D45" s="3469"/>
      <c r="E45" s="3469"/>
      <c r="F45" s="3468"/>
      <c r="G45" s="3468"/>
      <c r="H45" s="3468"/>
    </row>
    <row r="46" spans="2:8">
      <c r="B46" s="3468"/>
      <c r="C46" s="3468"/>
      <c r="D46" s="3469"/>
      <c r="E46" s="3469"/>
      <c r="F46" s="3468"/>
      <c r="G46" s="3468"/>
      <c r="H46" s="3468"/>
    </row>
    <row r="47" spans="2:8">
      <c r="B47" s="3468"/>
      <c r="C47" s="3468"/>
      <c r="D47" s="3469"/>
      <c r="E47" s="3469"/>
      <c r="F47" s="3468"/>
      <c r="G47" s="3468"/>
      <c r="H47" s="3468"/>
    </row>
    <row r="48" spans="2:8">
      <c r="B48" s="3468"/>
      <c r="C48" s="3468"/>
      <c r="D48" s="3469"/>
      <c r="E48" s="3469"/>
      <c r="F48" s="3468"/>
      <c r="G48" s="3468"/>
      <c r="H48" s="3468"/>
    </row>
    <row r="49" spans="2:12">
      <c r="B49" s="3468"/>
      <c r="C49" s="3468"/>
      <c r="D49" s="3469"/>
      <c r="E49" s="3469"/>
      <c r="F49" s="3468"/>
      <c r="G49" s="3468"/>
      <c r="H49" s="3468"/>
    </row>
    <row r="50" spans="2:12">
      <c r="B50" s="3468"/>
      <c r="C50" s="3468"/>
      <c r="D50" s="3469"/>
      <c r="E50" s="3469"/>
      <c r="F50" s="3468"/>
      <c r="G50" s="3468"/>
      <c r="H50" s="3468"/>
    </row>
    <row r="51" spans="2:12">
      <c r="B51" s="3468"/>
      <c r="C51" s="3468"/>
      <c r="D51" s="3469"/>
      <c r="E51" s="3469"/>
      <c r="F51" s="3468"/>
      <c r="G51" s="3468"/>
      <c r="H51" s="3468"/>
    </row>
    <row r="52" spans="2:12">
      <c r="B52" s="3468"/>
      <c r="C52" s="3468"/>
      <c r="D52" s="3469"/>
      <c r="E52" s="3469"/>
      <c r="F52" s="3468"/>
      <c r="G52" s="3468"/>
      <c r="H52" s="3468"/>
    </row>
    <row r="53" spans="2:12">
      <c r="B53" s="3468"/>
      <c r="C53" s="3468"/>
      <c r="D53" s="3469"/>
      <c r="E53" s="3469"/>
      <c r="F53" s="3468"/>
      <c r="G53" s="3468"/>
      <c r="H53" s="3468"/>
    </row>
    <row r="54" spans="2:12">
      <c r="B54" s="3468"/>
      <c r="C54" s="3468"/>
      <c r="D54" s="3469">
        <v>1338</v>
      </c>
      <c r="E54" s="3469">
        <v>6</v>
      </c>
      <c r="F54" s="3451">
        <f>D54/E54</f>
        <v>223</v>
      </c>
      <c r="G54" s="3468"/>
      <c r="H54" s="3468"/>
    </row>
    <row r="55" spans="2:12">
      <c r="B55" s="3468"/>
      <c r="C55" s="3468"/>
      <c r="D55" s="3469">
        <v>542</v>
      </c>
      <c r="E55" s="3469">
        <v>5</v>
      </c>
      <c r="F55" s="3451">
        <f t="shared" ref="F55:F57" si="13">D55/E55</f>
        <v>108.4</v>
      </c>
      <c r="G55" s="3468"/>
      <c r="H55" s="3468"/>
    </row>
    <row r="56" spans="2:12">
      <c r="B56" s="3468"/>
      <c r="C56" s="3468"/>
      <c r="D56" s="3469">
        <v>661</v>
      </c>
      <c r="E56" s="3469">
        <v>9</v>
      </c>
      <c r="F56" s="3451">
        <f t="shared" si="13"/>
        <v>73.444444444444443</v>
      </c>
      <c r="G56" s="3468"/>
      <c r="H56" s="3468"/>
    </row>
    <row r="57" spans="2:12">
      <c r="B57" s="3468"/>
      <c r="C57" s="3468"/>
      <c r="D57" s="3469">
        <v>570</v>
      </c>
      <c r="E57" s="3469">
        <v>4</v>
      </c>
      <c r="F57" s="3451">
        <f t="shared" si="13"/>
        <v>142.5</v>
      </c>
      <c r="G57" s="3468"/>
      <c r="H57" s="3468"/>
    </row>
    <row r="58" spans="2:12">
      <c r="B58" s="3468"/>
      <c r="C58" s="3468"/>
      <c r="D58" s="3469">
        <f>SUM(D54:D57)</f>
        <v>3111</v>
      </c>
      <c r="E58" s="3469">
        <f>SUM(E54:E57)</f>
        <v>24</v>
      </c>
      <c r="F58" s="3451">
        <f>D8/E58</f>
        <v>262.97666666666663</v>
      </c>
      <c r="G58" s="3468"/>
      <c r="H58" s="3468"/>
    </row>
    <row r="59" spans="2:12">
      <c r="B59" s="3468"/>
      <c r="C59" s="3468"/>
      <c r="D59" s="3469"/>
      <c r="E59" s="3469"/>
      <c r="F59" s="3468"/>
      <c r="G59" s="3468"/>
      <c r="H59" s="3468"/>
    </row>
    <row r="60" spans="2:12">
      <c r="B60" s="3468"/>
      <c r="C60" s="3468"/>
      <c r="D60" s="3469"/>
      <c r="E60" s="3469"/>
      <c r="F60" s="3468"/>
      <c r="G60" s="3468"/>
      <c r="H60" s="3468"/>
    </row>
    <row r="61" spans="2:12">
      <c r="B61" s="3468"/>
      <c r="C61" s="3468"/>
      <c r="D61" s="3469">
        <f>D6</f>
        <v>8371.01</v>
      </c>
      <c r="E61" s="3469">
        <f>1+1+4+9</f>
        <v>15</v>
      </c>
      <c r="F61" s="3451">
        <f>D61/E61</f>
        <v>558.06733333333329</v>
      </c>
      <c r="G61" s="3468"/>
      <c r="H61" s="3468"/>
      <c r="L61" s="3470"/>
    </row>
    <row r="62" spans="2:12">
      <c r="B62" s="3468"/>
      <c r="C62" s="3468"/>
      <c r="D62" s="3469"/>
      <c r="E62" s="3469"/>
      <c r="F62" s="3468"/>
      <c r="G62" s="3468"/>
      <c r="H62" s="3468"/>
    </row>
    <row r="63" spans="2:12">
      <c r="B63" s="3468"/>
      <c r="C63" s="3468"/>
      <c r="D63" s="3469"/>
      <c r="E63" s="3469"/>
      <c r="F63" s="3468"/>
      <c r="G63" s="3468"/>
      <c r="H63" s="3468"/>
    </row>
    <row r="64" spans="2:12">
      <c r="B64" s="3468"/>
      <c r="C64" s="3468"/>
      <c r="D64" s="3469"/>
      <c r="E64" s="3469"/>
      <c r="F64" s="3468"/>
      <c r="G64" s="3468"/>
      <c r="H64" s="3468"/>
    </row>
    <row r="65" spans="2:12">
      <c r="B65" s="3468"/>
      <c r="C65" s="3468"/>
      <c r="D65" s="3469"/>
      <c r="E65" s="3469"/>
      <c r="F65" s="3468"/>
      <c r="G65" s="3468"/>
      <c r="H65" s="3468"/>
    </row>
    <row r="66" spans="2:12">
      <c r="B66" s="3468"/>
      <c r="C66" s="3468"/>
      <c r="D66" s="3469"/>
      <c r="E66" s="3469"/>
      <c r="F66" s="3468"/>
      <c r="G66" s="3468"/>
      <c r="H66" s="3468"/>
    </row>
    <row r="67" spans="2:12">
      <c r="B67" s="3468"/>
      <c r="C67" s="3468"/>
      <c r="D67" s="3469"/>
      <c r="E67" s="3469"/>
      <c r="F67" s="3468"/>
      <c r="G67" s="3468"/>
      <c r="H67" s="3468"/>
    </row>
    <row r="68" spans="2:12">
      <c r="B68" s="3468"/>
      <c r="C68" s="3468"/>
      <c r="D68" s="3469"/>
      <c r="E68" s="3469"/>
      <c r="F68" s="3468"/>
      <c r="G68" s="3468"/>
      <c r="H68" s="3468"/>
    </row>
    <row r="69" spans="2:12">
      <c r="B69" s="3468"/>
      <c r="C69" s="3468"/>
      <c r="D69" s="3469"/>
      <c r="E69" s="3469"/>
      <c r="F69" s="3468"/>
      <c r="G69" s="3468"/>
      <c r="H69" s="3468"/>
    </row>
    <row r="70" spans="2:12">
      <c r="B70" s="3468"/>
      <c r="C70" s="3468"/>
      <c r="D70" s="3469"/>
      <c r="E70" s="3469"/>
      <c r="F70" s="3468"/>
      <c r="G70" s="3468"/>
      <c r="H70" s="3468"/>
    </row>
    <row r="71" spans="2:12">
      <c r="B71" s="3468"/>
      <c r="C71" s="3468"/>
      <c r="D71" s="3469"/>
      <c r="E71" s="3469"/>
      <c r="F71" s="3468"/>
      <c r="G71" s="3468"/>
      <c r="H71" s="3468"/>
    </row>
    <row r="72" spans="2:12">
      <c r="B72" s="3468"/>
      <c r="C72" s="3468"/>
      <c r="D72" s="3469"/>
      <c r="E72" s="3469"/>
      <c r="F72" s="3468"/>
      <c r="G72" s="3468"/>
      <c r="H72" s="3468"/>
    </row>
    <row r="73" spans="2:12">
      <c r="B73" s="3468"/>
      <c r="C73" s="3468"/>
      <c r="D73" s="3469"/>
      <c r="E73" s="3469"/>
      <c r="F73" s="3468"/>
      <c r="G73" s="3468"/>
      <c r="H73" s="3468"/>
    </row>
    <row r="74" spans="2:12">
      <c r="B74" s="3468"/>
      <c r="C74" s="3468"/>
      <c r="D74" s="3469"/>
      <c r="E74" s="3469"/>
      <c r="F74" s="3468"/>
      <c r="G74" s="3468"/>
      <c r="H74" s="3468"/>
    </row>
    <row r="75" spans="2:12">
      <c r="B75" s="3468"/>
      <c r="C75" s="3468"/>
      <c r="D75" s="3469"/>
      <c r="E75" s="3469"/>
      <c r="F75" s="3468"/>
      <c r="G75" s="3468"/>
      <c r="H75" s="3468"/>
    </row>
    <row r="76" spans="2:12">
      <c r="B76" s="3468"/>
      <c r="C76" s="3468"/>
      <c r="D76" s="3469"/>
      <c r="E76" s="3469"/>
      <c r="F76" s="3468"/>
      <c r="G76" s="3468"/>
      <c r="H76" s="3468"/>
    </row>
    <row r="77" spans="2:12">
      <c r="B77" s="3468"/>
      <c r="C77" s="3468"/>
      <c r="D77" s="3469"/>
      <c r="E77" s="3469"/>
      <c r="F77" s="3468"/>
      <c r="G77" s="3468"/>
      <c r="H77" s="3468"/>
    </row>
    <row r="78" spans="2:12">
      <c r="B78" s="3468"/>
      <c r="C78" s="3468"/>
      <c r="D78" s="3469"/>
      <c r="E78" s="3469"/>
      <c r="F78" s="3468"/>
      <c r="G78" s="3468"/>
      <c r="H78" s="3468"/>
    </row>
    <row r="79" spans="2:12">
      <c r="B79" s="3468"/>
      <c r="C79" s="3468"/>
      <c r="D79" s="3469"/>
      <c r="E79" s="3469"/>
      <c r="F79" s="3468"/>
      <c r="G79" s="3468"/>
      <c r="H79" s="3468"/>
    </row>
    <row r="80" spans="2:12">
      <c r="B80" s="3468"/>
      <c r="C80" s="3468"/>
      <c r="D80" s="3469"/>
      <c r="E80" s="3469"/>
      <c r="F80" s="3468"/>
      <c r="G80" s="3468"/>
      <c r="H80" s="3468"/>
      <c r="L80" s="3470"/>
    </row>
    <row r="81" spans="2:8">
      <c r="B81" s="3468"/>
      <c r="C81" s="3468"/>
      <c r="D81" s="3469"/>
      <c r="E81" s="3469"/>
      <c r="F81" s="3468"/>
      <c r="G81" s="3468"/>
      <c r="H81" s="3468"/>
    </row>
    <row r="82" spans="2:8">
      <c r="B82" s="3468"/>
      <c r="C82" s="3468"/>
      <c r="D82" s="3469"/>
      <c r="E82" s="3469"/>
      <c r="F82" s="3468"/>
      <c r="G82" s="3468"/>
      <c r="H82" s="3468"/>
    </row>
    <row r="83" spans="2:8">
      <c r="B83" s="3468"/>
      <c r="C83" s="3468"/>
      <c r="D83" s="3469"/>
      <c r="E83" s="3469"/>
      <c r="F83" s="3468"/>
      <c r="G83" s="3468"/>
      <c r="H83" s="3468"/>
    </row>
    <row r="84" spans="2:8">
      <c r="B84" s="3468"/>
      <c r="C84" s="3468"/>
      <c r="D84" s="3469"/>
      <c r="E84" s="3469"/>
      <c r="F84" s="3468"/>
      <c r="G84" s="3468"/>
      <c r="H84" s="3468"/>
    </row>
    <row r="85" spans="2:8">
      <c r="B85" s="3468"/>
      <c r="C85" s="3468"/>
      <c r="D85" s="3469"/>
      <c r="E85" s="3469"/>
      <c r="F85" s="3468"/>
      <c r="G85" s="3468"/>
      <c r="H85" s="3468"/>
    </row>
    <row r="86" spans="2:8">
      <c r="B86" s="3468"/>
      <c r="C86" s="3468"/>
      <c r="D86" s="3469"/>
      <c r="E86" s="3469"/>
      <c r="F86" s="3468"/>
      <c r="G86" s="3468"/>
      <c r="H86" s="3468"/>
    </row>
    <row r="87" spans="2:8">
      <c r="B87" s="3468"/>
      <c r="C87" s="3468"/>
      <c r="D87" s="3469"/>
      <c r="E87" s="3469"/>
      <c r="F87" s="3468"/>
      <c r="G87" s="3468"/>
      <c r="H87" s="3468"/>
    </row>
    <row r="88" spans="2:8">
      <c r="B88" s="3468"/>
      <c r="C88" s="3468"/>
      <c r="D88" s="3469"/>
      <c r="E88" s="3469"/>
      <c r="F88" s="3468"/>
      <c r="G88" s="3468"/>
      <c r="H88" s="3468"/>
    </row>
    <row r="89" spans="2:8">
      <c r="B89" s="3468"/>
      <c r="C89" s="3468"/>
      <c r="D89" s="3469"/>
      <c r="E89" s="3469"/>
      <c r="F89" s="3468"/>
      <c r="G89" s="3468"/>
      <c r="H89" s="3468"/>
    </row>
    <row r="90" spans="2:8">
      <c r="B90" s="3468"/>
      <c r="C90" s="3468"/>
      <c r="D90" s="3469"/>
      <c r="E90" s="3469"/>
      <c r="F90" s="3468"/>
      <c r="G90" s="3468"/>
      <c r="H90" s="3468"/>
    </row>
    <row r="91" spans="2:8">
      <c r="B91" s="3468"/>
      <c r="C91" s="3468"/>
      <c r="D91" s="3469"/>
      <c r="E91" s="3469"/>
      <c r="F91" s="3468"/>
      <c r="G91" s="3468"/>
      <c r="H91" s="3468"/>
    </row>
    <row r="92" spans="2:8">
      <c r="B92" s="3468"/>
      <c r="C92" s="3468"/>
      <c r="D92" s="3469"/>
      <c r="E92" s="3469"/>
      <c r="F92" s="3468"/>
      <c r="G92" s="3468"/>
      <c r="H92" s="3468"/>
    </row>
    <row r="93" spans="2:8">
      <c r="B93" s="3468"/>
      <c r="C93" s="3468"/>
      <c r="D93" s="3469"/>
      <c r="E93" s="3469"/>
      <c r="F93" s="3468"/>
      <c r="G93" s="3468"/>
      <c r="H93" s="3468"/>
    </row>
    <row r="94" spans="2:8">
      <c r="B94" s="3468"/>
      <c r="C94" s="3468"/>
      <c r="D94" s="3469"/>
      <c r="E94" s="3469"/>
      <c r="F94" s="3468"/>
      <c r="G94" s="3468"/>
      <c r="H94" s="3468"/>
    </row>
    <row r="95" spans="2:8">
      <c r="B95" s="3468"/>
      <c r="C95" s="3468"/>
      <c r="D95" s="3469"/>
      <c r="E95" s="3469"/>
      <c r="F95" s="3468"/>
      <c r="G95" s="3468"/>
      <c r="H95" s="3468"/>
    </row>
    <row r="96" spans="2:8">
      <c r="B96" s="3468"/>
      <c r="C96" s="3468"/>
      <c r="D96" s="3469"/>
      <c r="E96" s="3469"/>
      <c r="F96" s="3468"/>
      <c r="G96" s="3468"/>
      <c r="H96" s="3468"/>
    </row>
    <row r="97" spans="2:8">
      <c r="B97" s="3468"/>
      <c r="C97" s="3468"/>
      <c r="D97" s="3469"/>
      <c r="E97" s="3469"/>
      <c r="F97" s="3468"/>
      <c r="G97" s="3468"/>
      <c r="H97" s="3468"/>
    </row>
    <row r="98" spans="2:8">
      <c r="B98" s="3468"/>
      <c r="C98" s="3468"/>
      <c r="D98" s="3469"/>
      <c r="E98" s="3469"/>
      <c r="F98" s="3468"/>
      <c r="G98" s="3468"/>
      <c r="H98" s="3468"/>
    </row>
    <row r="99" spans="2:8">
      <c r="B99" s="3468"/>
      <c r="C99" s="3468"/>
      <c r="D99" s="3469"/>
      <c r="E99" s="3469"/>
      <c r="F99" s="3468"/>
      <c r="G99" s="3468"/>
      <c r="H99" s="3468"/>
    </row>
    <row r="100" spans="2:8">
      <c r="B100" s="3468"/>
      <c r="C100" s="3468"/>
      <c r="D100" s="3469"/>
      <c r="E100" s="3469"/>
      <c r="F100" s="3468"/>
      <c r="G100" s="3468"/>
      <c r="H100" s="3468"/>
    </row>
    <row r="101" spans="2:8">
      <c r="B101" s="3468"/>
      <c r="C101" s="3468"/>
      <c r="D101" s="3469"/>
      <c r="E101" s="3469"/>
      <c r="F101" s="3468"/>
      <c r="G101" s="3468"/>
      <c r="H101" s="3468"/>
    </row>
    <row r="102" spans="2:8">
      <c r="B102" s="3468"/>
      <c r="C102" s="3468"/>
      <c r="D102" s="3469"/>
      <c r="E102" s="3469"/>
      <c r="F102" s="3468"/>
      <c r="G102" s="3468"/>
      <c r="H102" s="3468"/>
    </row>
    <row r="103" spans="2:8">
      <c r="B103" s="3468"/>
      <c r="C103" s="3468"/>
      <c r="D103" s="3469"/>
      <c r="E103" s="3469"/>
      <c r="F103" s="3468"/>
      <c r="G103" s="3468"/>
      <c r="H103" s="3468"/>
    </row>
    <row r="104" spans="2:8">
      <c r="B104" s="3468"/>
      <c r="C104" s="3468"/>
      <c r="D104" s="3469"/>
      <c r="E104" s="3469"/>
      <c r="F104" s="3468"/>
      <c r="G104" s="3468"/>
      <c r="H104" s="3468"/>
    </row>
    <row r="105" spans="2:8">
      <c r="B105" s="3468"/>
      <c r="C105" s="3468"/>
      <c r="D105" s="3469"/>
      <c r="E105" s="3469"/>
      <c r="F105" s="3468"/>
      <c r="G105" s="3468"/>
      <c r="H105" s="3468"/>
    </row>
    <row r="106" spans="2:8">
      <c r="B106" s="3468"/>
      <c r="C106" s="3468"/>
      <c r="D106" s="3469"/>
      <c r="E106" s="3469"/>
      <c r="F106" s="3468"/>
      <c r="G106" s="3468"/>
      <c r="H106" s="3468"/>
    </row>
    <row r="107" spans="2:8">
      <c r="B107" s="3468"/>
      <c r="C107" s="3468"/>
      <c r="D107" s="3469"/>
      <c r="E107" s="3469"/>
      <c r="F107" s="3468"/>
      <c r="G107" s="3468"/>
      <c r="H107" s="3468"/>
    </row>
    <row r="108" spans="2:8">
      <c r="B108" s="3468"/>
      <c r="C108" s="3468"/>
      <c r="D108" s="3469"/>
      <c r="E108" s="3469"/>
      <c r="F108" s="3468"/>
      <c r="G108" s="3468"/>
      <c r="H108" s="3468"/>
    </row>
    <row r="109" spans="2:8">
      <c r="B109" s="3468"/>
      <c r="C109" s="3468"/>
      <c r="D109" s="3469"/>
      <c r="E109" s="3469"/>
      <c r="F109" s="3468"/>
      <c r="G109" s="3468"/>
      <c r="H109" s="3468"/>
    </row>
    <row r="110" spans="2:8">
      <c r="B110" s="3468"/>
      <c r="C110" s="3468"/>
      <c r="D110" s="3469"/>
      <c r="E110" s="3469"/>
      <c r="F110" s="3468"/>
      <c r="G110" s="3468"/>
      <c r="H110" s="3468"/>
    </row>
    <row r="111" spans="2:8">
      <c r="B111" s="3468"/>
      <c r="C111" s="3468"/>
      <c r="D111" s="3469"/>
      <c r="E111" s="3469"/>
      <c r="F111" s="3468"/>
      <c r="G111" s="3468"/>
      <c r="H111" s="3468"/>
    </row>
    <row r="112" spans="2:8">
      <c r="B112" s="3468"/>
      <c r="C112" s="3468"/>
      <c r="D112" s="3469"/>
      <c r="E112" s="3469"/>
      <c r="F112" s="3468"/>
      <c r="G112" s="3468"/>
      <c r="H112" s="3468"/>
    </row>
    <row r="113" spans="2:8">
      <c r="B113" s="3468"/>
      <c r="C113" s="3468"/>
      <c r="D113" s="3469"/>
      <c r="E113" s="3469"/>
      <c r="F113" s="3468"/>
      <c r="G113" s="3468"/>
      <c r="H113" s="3468"/>
    </row>
    <row r="114" spans="2:8">
      <c r="B114" s="3468"/>
      <c r="C114" s="3468"/>
      <c r="D114" s="3469"/>
      <c r="E114" s="3469"/>
      <c r="F114" s="3468"/>
      <c r="G114" s="3468"/>
      <c r="H114" s="3468"/>
    </row>
    <row r="115" spans="2:8">
      <c r="B115" s="3468"/>
      <c r="C115" s="3468"/>
      <c r="D115" s="3469"/>
      <c r="E115" s="3469"/>
      <c r="F115" s="3468"/>
      <c r="G115" s="3468"/>
      <c r="H115" s="3468"/>
    </row>
    <row r="116" spans="2:8">
      <c r="B116" s="3468"/>
      <c r="C116" s="3468"/>
      <c r="D116" s="3469"/>
      <c r="E116" s="3469"/>
      <c r="F116" s="3468"/>
      <c r="G116" s="3468"/>
      <c r="H116" s="3468"/>
    </row>
    <row r="117" spans="2:8">
      <c r="B117" s="3468"/>
      <c r="C117" s="3468"/>
      <c r="D117" s="3469"/>
      <c r="E117" s="3469"/>
      <c r="F117" s="3468"/>
      <c r="G117" s="3468"/>
      <c r="H117" s="3468"/>
    </row>
    <row r="118" spans="2:8">
      <c r="B118" s="3468"/>
      <c r="C118" s="3468"/>
      <c r="D118" s="3469"/>
      <c r="E118" s="3469"/>
      <c r="F118" s="3468"/>
      <c r="G118" s="3468"/>
      <c r="H118" s="3468"/>
    </row>
    <row r="119" spans="2:8">
      <c r="B119" s="3468"/>
      <c r="C119" s="3468"/>
      <c r="D119" s="3469"/>
      <c r="E119" s="3469"/>
      <c r="F119" s="3468"/>
      <c r="G119" s="3468"/>
      <c r="H119" s="3468"/>
    </row>
    <row r="120" spans="2:8">
      <c r="B120" s="3468"/>
      <c r="C120" s="3468"/>
      <c r="D120" s="3469"/>
      <c r="E120" s="3469"/>
      <c r="F120" s="3468"/>
      <c r="G120" s="3468"/>
      <c r="H120" s="3468"/>
    </row>
    <row r="121" spans="2:8">
      <c r="B121" s="3468"/>
      <c r="C121" s="3468"/>
      <c r="D121" s="3469"/>
      <c r="E121" s="3469"/>
      <c r="F121" s="3468"/>
      <c r="G121" s="3468"/>
      <c r="H121" s="3468"/>
    </row>
    <row r="122" spans="2:8">
      <c r="B122" s="3468"/>
      <c r="C122" s="3468"/>
      <c r="D122" s="3469"/>
      <c r="E122" s="3469"/>
      <c r="F122" s="3468"/>
      <c r="G122" s="3468"/>
      <c r="H122" s="3468"/>
    </row>
    <row r="123" spans="2:8">
      <c r="B123" s="3468"/>
      <c r="C123" s="3468"/>
      <c r="D123" s="3469"/>
      <c r="E123" s="3469"/>
      <c r="F123" s="3468"/>
      <c r="G123" s="3468"/>
      <c r="H123" s="3468"/>
    </row>
    <row r="124" spans="2:8">
      <c r="B124" s="3468"/>
      <c r="C124" s="3468"/>
      <c r="D124" s="3469"/>
      <c r="E124" s="3469"/>
      <c r="F124" s="3468"/>
      <c r="G124" s="3468"/>
      <c r="H124" s="3468"/>
    </row>
    <row r="125" spans="2:8">
      <c r="B125" s="3468"/>
      <c r="C125" s="3468"/>
      <c r="D125" s="3469"/>
      <c r="E125" s="3469"/>
      <c r="F125" s="3468"/>
      <c r="G125" s="3468"/>
      <c r="H125" s="3468"/>
    </row>
    <row r="126" spans="2:8">
      <c r="B126" s="3468"/>
      <c r="C126" s="3468"/>
      <c r="D126" s="3469"/>
      <c r="E126" s="3469"/>
      <c r="F126" s="3468"/>
      <c r="G126" s="3468"/>
      <c r="H126" s="3468"/>
    </row>
    <row r="127" spans="2:8">
      <c r="B127" s="3468"/>
      <c r="C127" s="3468"/>
      <c r="D127" s="3469"/>
      <c r="E127" s="3469"/>
      <c r="F127" s="3468"/>
      <c r="G127" s="3468"/>
      <c r="H127" s="3468"/>
    </row>
    <row r="128" spans="2:8">
      <c r="B128" s="3468"/>
      <c r="C128" s="3468"/>
      <c r="D128" s="3469"/>
      <c r="E128" s="3469"/>
      <c r="F128" s="3468"/>
      <c r="G128" s="3468"/>
      <c r="H128" s="3468"/>
    </row>
    <row r="129" spans="2:8">
      <c r="B129" s="3468"/>
      <c r="C129" s="3468"/>
      <c r="D129" s="3469"/>
      <c r="E129" s="3469"/>
      <c r="F129" s="3468"/>
      <c r="G129" s="3468"/>
      <c r="H129" s="3468"/>
    </row>
    <row r="130" spans="2:8">
      <c r="B130" s="3468"/>
      <c r="C130" s="3468"/>
      <c r="D130" s="3469"/>
      <c r="E130" s="3469"/>
      <c r="F130" s="3468"/>
      <c r="G130" s="3468"/>
      <c r="H130" s="3468"/>
    </row>
    <row r="131" spans="2:8">
      <c r="B131" s="3468"/>
      <c r="C131" s="3468"/>
      <c r="D131" s="3469"/>
      <c r="E131" s="3469"/>
      <c r="F131" s="3468"/>
      <c r="G131" s="3468"/>
      <c r="H131" s="3468"/>
    </row>
    <row r="132" spans="2:8">
      <c r="B132" s="3468"/>
      <c r="C132" s="3468"/>
      <c r="D132" s="3469"/>
      <c r="E132" s="3469"/>
      <c r="F132" s="3468"/>
      <c r="G132" s="3468"/>
      <c r="H132" s="3468"/>
    </row>
    <row r="133" spans="2:8">
      <c r="B133" s="3468"/>
      <c r="C133" s="3468"/>
      <c r="D133" s="3469"/>
      <c r="E133" s="3469"/>
      <c r="F133" s="3468"/>
      <c r="G133" s="3468"/>
      <c r="H133" s="3468"/>
    </row>
    <row r="134" spans="2:8">
      <c r="B134" s="3468"/>
      <c r="C134" s="3468"/>
      <c r="D134" s="3469"/>
      <c r="E134" s="3469"/>
      <c r="F134" s="3468"/>
      <c r="G134" s="3468"/>
      <c r="H134" s="3468"/>
    </row>
    <row r="135" spans="2:8">
      <c r="B135" s="3468"/>
      <c r="C135" s="3468"/>
      <c r="D135" s="3469"/>
      <c r="E135" s="3469"/>
      <c r="F135" s="3468"/>
      <c r="G135" s="3468"/>
      <c r="H135" s="3468"/>
    </row>
    <row r="136" spans="2:8">
      <c r="B136" s="3468"/>
      <c r="C136" s="3468"/>
      <c r="D136" s="3469"/>
      <c r="E136" s="3469"/>
      <c r="F136" s="3468"/>
      <c r="G136" s="3468"/>
      <c r="H136" s="3468"/>
    </row>
    <row r="137" spans="2:8">
      <c r="B137" s="3468"/>
      <c r="C137" s="3468"/>
      <c r="D137" s="3469"/>
      <c r="E137" s="3469"/>
      <c r="F137" s="3468"/>
      <c r="G137" s="3468"/>
      <c r="H137" s="3468"/>
    </row>
    <row r="138" spans="2:8">
      <c r="B138" s="3468"/>
      <c r="C138" s="3468"/>
      <c r="D138" s="3469"/>
      <c r="E138" s="3469"/>
      <c r="F138" s="3468"/>
      <c r="G138" s="3468"/>
      <c r="H138" s="3468"/>
    </row>
    <row r="139" spans="2:8">
      <c r="B139" s="3468"/>
      <c r="C139" s="3468"/>
      <c r="D139" s="3469"/>
      <c r="E139" s="3469"/>
      <c r="F139" s="3468"/>
      <c r="G139" s="3468"/>
      <c r="H139" s="3468"/>
    </row>
    <row r="140" spans="2:8">
      <c r="B140" s="3468"/>
      <c r="C140" s="3468"/>
      <c r="D140" s="3469"/>
      <c r="E140" s="3469"/>
      <c r="F140" s="3468"/>
      <c r="G140" s="3468"/>
      <c r="H140" s="3468"/>
    </row>
  </sheetData>
  <mergeCells count="3">
    <mergeCell ref="Q2:V2"/>
    <mergeCell ref="Q7:V7"/>
    <mergeCell ref="Q12:V12"/>
  </mergeCells>
  <phoneticPr fontId="13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11" sqref="I11"/>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76" t="s">
        <v>2583</v>
      </c>
      <c r="J2" s="3576"/>
      <c r="K2" s="3576"/>
      <c r="L2" s="3576"/>
      <c r="M2" s="3576"/>
      <c r="N2" s="3576"/>
      <c r="O2" s="3576"/>
      <c r="P2" s="3576"/>
      <c r="Q2" s="3576"/>
      <c r="R2" s="3576"/>
    </row>
    <row r="3" spans="1:18">
      <c r="A3" s="3019" t="s">
        <v>2504</v>
      </c>
      <c r="B3" s="3020">
        <f>项目基本情况!D3</f>
        <v>44926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3.96</v>
      </c>
      <c r="D5" s="3024">
        <f>IF(ISERROR(ROUND(POWER(1+E5,A5-C5)*(POWER(1+E5,C5)-1)/(POWER(1+E5,A5)-1),3)),0,ROUND(POWER(1+E5,A5-C5)*(POWER(1+E5,C5)-1)/(POWER(1+E5,A5)-1),4))</f>
        <v>0.1817</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13.97</v>
      </c>
      <c r="D6" s="3024">
        <f>IF(ISERROR(ROUND(POWER(1+E6,A6-C6)*(POWER(1+E6,C6)-1)/(POWER(1+E6,A6)-1),3)),0,ROUND(POWER(1+E6,A6-C6)*(POWER(1+E6,C6)-1)/(POWER(1+E6,A6)-1),4))</f>
        <v>0.4909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33.99</v>
      </c>
      <c r="D7" s="3024">
        <f>IF(ISERROR(ROUND(POWER(1+E7,A7-C7)*(POWER(1+E7,C7)-1)/(POWER(1+E7,A7)-1),3)),0,ROUND(POWER(1+E7,A7-C7)*(POWER(1+E7,C7)-1)/(POWER(1+E7,A7)-1),4))</f>
        <v>0.78690000000000004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9" sqref="I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85" t="str">
        <f>IF(B10="北京市","北京市",C10)&amp;F10&amp;IF(结果表!G1="在建","出让国有建设用地使用权及在建建筑物",IF(结果表!G1="土地","出让国有建设用地使用权",))&amp;B9&amp;"预评估"</f>
        <v>北京市房地产市场价值预评估</v>
      </c>
      <c r="C1" s="3586"/>
      <c r="D1" s="3586"/>
      <c r="E1" s="3586"/>
      <c r="F1" s="3586"/>
      <c r="G1" s="3586"/>
      <c r="H1" s="3586"/>
      <c r="I1" s="358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3449" t="s">
        <v>3384</v>
      </c>
      <c r="C2" s="2371"/>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44926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88"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89"/>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c r="D13" s="856">
        <v>52839</v>
      </c>
      <c r="E13" s="856"/>
      <c r="F13" s="856">
        <v>52839</v>
      </c>
      <c r="G13" s="856"/>
      <c r="H13" s="856"/>
      <c r="I13" s="856"/>
      <c r="J13" s="3061"/>
      <c r="K13" s="2612"/>
      <c r="L13" s="2612"/>
      <c r="M13" s="2438"/>
      <c r="N13" s="2449"/>
      <c r="O13" s="2438"/>
      <c r="P13" s="2438"/>
      <c r="Q13" s="2438"/>
      <c r="AD13" s="1745"/>
    </row>
    <row r="14" spans="1:30">
      <c r="A14" s="1081"/>
      <c r="B14" s="2406" t="s">
        <v>2191</v>
      </c>
      <c r="C14" s="2407"/>
      <c r="D14" s="2407">
        <v>40</v>
      </c>
      <c r="E14" s="2407"/>
      <c r="F14" s="2407">
        <v>50</v>
      </c>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21.67</v>
      </c>
      <c r="E15" s="2409" t="str">
        <f>IF(A13="出让",IF(E13="","",ROUNDDOWN(MIN((E13-$D$3)/365,E14),2)),E14)</f>
        <v/>
      </c>
      <c r="F15" s="2409">
        <f>IF(A13="出让",IF(F13="","",ROUNDDOWN(MIN((F13-$D$3)/365,F14),2)),F14)</f>
        <v>21.67</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95" t="s">
        <v>3437</v>
      </c>
      <c r="C16" s="3596"/>
      <c r="D16" s="3597"/>
      <c r="E16" s="2412" t="s">
        <v>2194</v>
      </c>
      <c r="F16" s="3598"/>
      <c r="G16" s="3599"/>
      <c r="H16" s="3599"/>
      <c r="I16" s="3600"/>
      <c r="J16" s="2438"/>
      <c r="K16" s="2616"/>
      <c r="L16" s="2450"/>
      <c r="M16" s="2450"/>
      <c r="N16" s="2508"/>
      <c r="O16" s="2450"/>
      <c r="P16" s="2508"/>
      <c r="Q16" s="2438"/>
      <c r="R16" s="2438"/>
    </row>
    <row r="17" spans="1:28">
      <c r="A17" s="313" t="s">
        <v>2195</v>
      </c>
      <c r="B17" s="302" t="s">
        <v>2196</v>
      </c>
      <c r="C17" s="8">
        <f>'数据-汇总表'!E3</f>
        <v>48955.32</v>
      </c>
      <c r="D17" s="2322" t="s">
        <v>2197</v>
      </c>
      <c r="E17" s="3601" t="s">
        <v>2198</v>
      </c>
      <c r="F17" s="3602"/>
      <c r="G17" s="3602"/>
      <c r="H17" s="3602"/>
      <c r="I17" s="360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11397.7</v>
      </c>
      <c r="D18" s="1092" t="s">
        <v>2201</v>
      </c>
      <c r="E18" s="3604" t="s">
        <v>2202</v>
      </c>
      <c r="F18" s="3605"/>
      <c r="G18" s="3605"/>
      <c r="H18" s="3605"/>
      <c r="I18" s="360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91" t="s">
        <v>2206</v>
      </c>
      <c r="C20" s="3592"/>
      <c r="D20" s="3593" t="s">
        <v>2207</v>
      </c>
      <c r="E20" s="3594"/>
      <c r="F20" s="2646" t="s">
        <v>1056</v>
      </c>
      <c r="G20" s="2663"/>
      <c r="H20" s="2663"/>
      <c r="I20" s="2663"/>
      <c r="J20" s="2438"/>
      <c r="K20" s="359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9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9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78" t="s">
        <v>2214</v>
      </c>
      <c r="B27" s="320" t="s">
        <v>2215</v>
      </c>
      <c r="C27" s="2415" t="s">
        <v>3385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7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7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79"/>
      <c r="B30" s="302" t="s">
        <v>2218</v>
      </c>
      <c r="C30" s="3580"/>
      <c r="D30" s="3581"/>
      <c r="E30" s="2663"/>
      <c r="F30" s="2663"/>
      <c r="G30" s="2663"/>
      <c r="H30" s="2663"/>
      <c r="I30" s="2663"/>
      <c r="J30" s="2438"/>
      <c r="K30" s="2615"/>
      <c r="L30" s="2612"/>
      <c r="M30" s="2612"/>
      <c r="N30" s="2438"/>
      <c r="O30" s="2449"/>
      <c r="P30" s="2438"/>
      <c r="Q30" s="2438"/>
      <c r="R30" s="2438"/>
      <c r="S30" s="2438"/>
      <c r="T30" s="2438"/>
      <c r="U30" s="2438"/>
      <c r="V30" s="2438"/>
    </row>
    <row r="31" spans="1:28">
      <c r="A31" s="3582" t="s">
        <v>2219</v>
      </c>
      <c r="B31" s="2421" t="s">
        <v>3383</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8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8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77" t="s">
        <v>2228</v>
      </c>
      <c r="T34" s="2427" t="str">
        <f>NUMBERSTRING(7-K34,1)&amp;"通"</f>
        <v>七通</v>
      </c>
      <c r="U34" s="2438"/>
      <c r="V34" s="2438"/>
    </row>
    <row r="35" spans="1:30">
      <c r="A35" s="2428"/>
      <c r="B35" s="3584" t="s">
        <v>2229</v>
      </c>
      <c r="C35" s="3584"/>
      <c r="D35" s="3584"/>
      <c r="E35" s="358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2935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面积明细!L11</f>
        <v>11397.699198179815</v>
      </c>
      <c r="B3" s="11">
        <f>IF(C3="否",G5-AT5,G5)</f>
        <v>48955.32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48955.32</v>
      </c>
      <c r="H5" s="13">
        <f t="shared" ref="H5:AT5" si="0">SUM(H13:H656)</f>
        <v>48955.32</v>
      </c>
      <c r="I5" s="13">
        <f t="shared" si="0"/>
        <v>32455.11</v>
      </c>
      <c r="J5" s="13">
        <f t="shared" si="0"/>
        <v>0</v>
      </c>
      <c r="K5" s="13">
        <f t="shared" si="0"/>
        <v>8371.01</v>
      </c>
      <c r="L5" s="13">
        <f t="shared" si="0"/>
        <v>0</v>
      </c>
      <c r="M5" s="13">
        <f t="shared" si="0"/>
        <v>8129.2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48955.32</v>
      </c>
      <c r="BA5" s="15">
        <f t="shared" si="1"/>
        <v>48955.32</v>
      </c>
      <c r="BB5" s="15">
        <f t="shared" si="1"/>
        <v>32455.11</v>
      </c>
      <c r="BC5" s="15">
        <f t="shared" si="1"/>
        <v>8371.01</v>
      </c>
      <c r="BD5" s="15">
        <f t="shared" si="1"/>
        <v>8129.2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11397.71</v>
      </c>
      <c r="F6" s="13" t="s">
        <v>0</v>
      </c>
      <c r="G6" s="13" t="s">
        <v>1</v>
      </c>
      <c r="H6" s="17">
        <f>SUMIF(I$12:AB$12,"总值",I6:AB6)</f>
        <v>11397.71</v>
      </c>
      <c r="I6" s="13">
        <f t="shared" ref="I6:AB6" si="2">ROUND($A$3*I5/$B$3,2)</f>
        <v>7556.15</v>
      </c>
      <c r="J6" s="13">
        <f t="shared" si="2"/>
        <v>0</v>
      </c>
      <c r="K6" s="13">
        <f t="shared" si="2"/>
        <v>1948.93</v>
      </c>
      <c r="L6" s="13">
        <f t="shared" si="2"/>
        <v>0</v>
      </c>
      <c r="M6" s="13">
        <f t="shared" si="2"/>
        <v>1892.63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11397.7</v>
      </c>
      <c r="AZ6" s="13" t="s">
        <v>2</v>
      </c>
      <c r="BA6" s="13">
        <f>ROUND($AY$6*BA5/$AZ$5,2)</f>
        <v>11397.7</v>
      </c>
      <c r="BB6" s="13">
        <f>ROUND($AY$6*BB5/$AZ$5,2)</f>
        <v>7556.15</v>
      </c>
      <c r="BC6" s="13">
        <f t="shared" ref="BC6:BH6" si="4">ROUND($AY$6*BC5/$AZ$5,2)</f>
        <v>1948.93</v>
      </c>
      <c r="BD6" s="13">
        <f t="shared" si="4"/>
        <v>1892.63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t="s">
        <v>3394</v>
      </c>
      <c r="L9" s="809"/>
      <c r="M9" s="1603" t="s">
        <v>3394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3340</v>
      </c>
      <c r="L10" s="809"/>
      <c r="M10" s="1609" t="s">
        <v>3340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3439</v>
      </c>
      <c r="J11" s="1615"/>
      <c r="K11" s="1614" t="s">
        <v>3439</v>
      </c>
      <c r="L11" s="1615"/>
      <c r="M11" s="1614" t="s">
        <v>3340</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整体出租部分</v>
      </c>
      <c r="BC12" s="1624" t="str">
        <f>K11</f>
        <v>整体出租部分</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3438</v>
      </c>
      <c r="E13" s="13">
        <f>IF($C$3="是",ROUND($A$3*G13/$B$3,2),ROUND($A$3*(G13-AT13)/$B$3,2))</f>
        <v>11397.7</v>
      </c>
      <c r="F13" s="29"/>
      <c r="G13" s="30">
        <f>H13+AC13+AT13</f>
        <v>48955.32</v>
      </c>
      <c r="H13" s="17">
        <f>SUMIF(I$12:AB$12,"总值",I13:AB13)</f>
        <v>48955.32</v>
      </c>
      <c r="I13" s="1626">
        <f>面积明细!D8+面积明细!D9+面积明细!D10+面积明细!D11+面积明细!D12+面积明细!D13</f>
        <v>32455.11</v>
      </c>
      <c r="J13" s="1626"/>
      <c r="K13" s="1626">
        <f>面积明细!D6</f>
        <v>8371.01</v>
      </c>
      <c r="L13" s="1626"/>
      <c r="M13" s="1626">
        <f>面积明细!D5</f>
        <v>8129.2</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11397.7</v>
      </c>
      <c r="AZ13" s="13">
        <f>BA13+BL13</f>
        <v>48955.32</v>
      </c>
      <c r="BA13" s="13">
        <f>SUM(BB13:BK13)</f>
        <v>48955.32</v>
      </c>
      <c r="BB13" s="13">
        <f>IF($D13="是",I13-J13,0)</f>
        <v>32455.11</v>
      </c>
      <c r="BC13" s="13">
        <f>IF($D13="是",K13-L13,0)</f>
        <v>8371.01</v>
      </c>
      <c r="BD13" s="13">
        <f>IF($D13="是",M13-N13,0)</f>
        <v>8129.2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13" sqref="G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6" t="s">
        <v>1131</v>
      </c>
      <c r="B2" s="3616"/>
      <c r="C2" s="3616"/>
      <c r="D2" s="796" t="s">
        <v>1107</v>
      </c>
      <c r="E2" s="1639" t="s">
        <v>1108</v>
      </c>
      <c r="F2" s="2658"/>
      <c r="G2" s="2649"/>
      <c r="H2" s="2650"/>
      <c r="I2" s="2325" t="s">
        <v>1132</v>
      </c>
      <c r="J2" s="2658"/>
      <c r="K2" s="2658"/>
      <c r="L2" s="2658"/>
      <c r="M2" s="2658"/>
      <c r="N2" s="2660"/>
      <c r="O2" s="2658"/>
      <c r="P2" s="2658"/>
    </row>
    <row r="3" spans="1:16" ht="15.75" thickBot="1">
      <c r="A3" s="3617" t="s">
        <v>1105</v>
      </c>
      <c r="B3" s="3617"/>
      <c r="C3" s="3617"/>
      <c r="D3" s="43">
        <f>'数据-基础表'!AY6</f>
        <v>11397.7</v>
      </c>
      <c r="E3" s="43">
        <f>'数据-基础表'!AZ5</f>
        <v>48955.32</v>
      </c>
      <c r="F3" s="2658"/>
      <c r="G3" s="1145"/>
      <c r="H3" s="1026" t="s">
        <v>1106</v>
      </c>
      <c r="I3" s="855">
        <f>ROUND('数据-基础表'!B3/'数据-基础表'!A3,2)</f>
        <v>4.3</v>
      </c>
      <c r="J3" s="2658"/>
      <c r="K3" s="2658"/>
      <c r="L3" s="2658"/>
      <c r="M3" s="2658"/>
      <c r="N3" s="2660"/>
      <c r="O3" s="2658"/>
      <c r="P3" s="2658"/>
    </row>
    <row r="4" spans="1:16" ht="15">
      <c r="A4" s="3618"/>
      <c r="B4" s="3619"/>
      <c r="C4" s="3620"/>
      <c r="D4" s="1641" t="s">
        <v>1107</v>
      </c>
      <c r="E4" s="1642" t="s">
        <v>1108</v>
      </c>
      <c r="F4" s="2658"/>
      <c r="G4" s="2651" t="s">
        <v>1133</v>
      </c>
      <c r="H4" s="1026" t="s">
        <v>1113</v>
      </c>
      <c r="I4" s="855">
        <f>ROUND(SUMIF('数据-基础表'!I9:AS9,"地上",'数据-基础表'!I5:AS5)/'数据-基础表'!A3,2)</f>
        <v>2.85</v>
      </c>
      <c r="J4" s="2658"/>
      <c r="K4" s="2658"/>
      <c r="L4" s="2658"/>
      <c r="M4" s="2658"/>
      <c r="N4" s="2660"/>
      <c r="O4" s="2658"/>
      <c r="P4" s="2658"/>
    </row>
    <row r="5" spans="1:16">
      <c r="A5" s="44" t="s">
        <v>1109</v>
      </c>
      <c r="B5" s="3621" t="s">
        <v>1110</v>
      </c>
      <c r="C5" s="3621"/>
      <c r="D5" s="45">
        <f>ROUND($D$3*E5/$E$3,2)</f>
        <v>0</v>
      </c>
      <c r="E5" s="46">
        <f>SUMIF('数据-基础表'!$11:$11,"住宅",'数据-基础表'!$5:$5)</f>
        <v>0</v>
      </c>
      <c r="F5" s="2658"/>
      <c r="G5" s="1145"/>
      <c r="H5" s="1026" t="s">
        <v>1106</v>
      </c>
      <c r="I5" s="855">
        <f>ROUND(E31/D31,2)</f>
        <v>4.3</v>
      </c>
      <c r="J5" s="2658"/>
      <c r="K5" s="2658"/>
      <c r="L5" s="2658"/>
      <c r="M5" s="2658"/>
      <c r="N5" s="2658"/>
      <c r="O5" s="2658"/>
      <c r="P5" s="2658"/>
    </row>
    <row r="6" spans="1:16" ht="15" thickBot="1">
      <c r="A6" s="1644"/>
      <c r="B6" s="3621" t="s">
        <v>1111</v>
      </c>
      <c r="C6" s="3621"/>
      <c r="D6" s="45">
        <f>ROUND($D$3*E6/$E$3,2)</f>
        <v>11397.7</v>
      </c>
      <c r="E6" s="46">
        <f>E3-E5</f>
        <v>48955.32</v>
      </c>
      <c r="F6" s="2658"/>
      <c r="G6" s="2652" t="s">
        <v>1112</v>
      </c>
      <c r="H6" s="1146" t="s">
        <v>1113</v>
      </c>
      <c r="I6" s="2653">
        <f>ROUND(F31/D31,2)</f>
        <v>2.85</v>
      </c>
      <c r="J6" s="2658"/>
      <c r="K6" s="2658"/>
      <c r="L6" s="2658"/>
      <c r="M6" s="2658"/>
      <c r="N6" s="2658"/>
      <c r="O6" s="2658"/>
      <c r="P6" s="2658"/>
    </row>
    <row r="7" spans="1:16" ht="15.75" thickBot="1">
      <c r="A7" s="3613"/>
      <c r="B7" s="3614"/>
      <c r="C7" s="361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7556.15</v>
      </c>
      <c r="E8" s="48">
        <f>SUMIF('数据-基础表'!BB10:BK10,"地上",'数据-基础表'!BB5:BK5)</f>
        <v>32455.11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3841.55</v>
      </c>
      <c r="E13" s="48">
        <f>SUMPRODUCT(('数据-基础表'!BB10:BK10="地下")*('数据-基础表'!BB11:BK11="车库")*('数据-基础表'!BB5:BK5))</f>
        <v>16500.21</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11397.7</v>
      </c>
      <c r="E16" s="50">
        <f>SUM(E8:E15)</f>
        <v>48955.32</v>
      </c>
      <c r="F16" s="2658"/>
      <c r="G16" s="2659"/>
      <c r="H16" s="1648" t="s">
        <v>1135</v>
      </c>
      <c r="I16" s="1649"/>
      <c r="J16" s="1139"/>
      <c r="K16" s="3610" t="s">
        <v>1135</v>
      </c>
      <c r="L16" s="3611"/>
      <c r="M16" s="3611"/>
      <c r="N16" s="3611"/>
      <c r="O16" s="3611"/>
      <c r="P16" s="3612"/>
    </row>
    <row r="17" spans="1:19" ht="15">
      <c r="A17" s="1650" t="s">
        <v>1136</v>
      </c>
      <c r="B17" s="1651" t="s">
        <v>1137</v>
      </c>
      <c r="C17" s="1652" t="s">
        <v>1138</v>
      </c>
      <c r="D17" s="1653" t="s">
        <v>1126</v>
      </c>
      <c r="E17" s="1654" t="s">
        <v>1127</v>
      </c>
      <c r="F17" s="1655"/>
      <c r="G17" s="1656"/>
      <c r="H17" s="1657" t="s">
        <v>1139</v>
      </c>
      <c r="I17" s="1658" t="s">
        <v>1124</v>
      </c>
      <c r="J17" s="1139"/>
      <c r="K17" s="3607" t="s">
        <v>1140</v>
      </c>
      <c r="L17" s="3608"/>
      <c r="M17" s="3609"/>
      <c r="N17" s="3607" t="s">
        <v>1141</v>
      </c>
      <c r="O17" s="3608"/>
      <c r="P17" s="360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3442</v>
      </c>
      <c r="D19" s="45">
        <f>ROUND($D$3*E19/$E$3,2)</f>
        <v>9505.07</v>
      </c>
      <c r="E19" s="53">
        <f t="shared" ref="E19:E26" si="1">SUM(F19:G19)</f>
        <v>40826.120000000003</v>
      </c>
      <c r="F19" s="2794">
        <f>'数据-基础表'!I13</f>
        <v>32455.11</v>
      </c>
      <c r="G19" s="2795">
        <f>'数据-基础表'!K13</f>
        <v>8371.01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9505.07</v>
      </c>
      <c r="S19" s="1027">
        <f t="shared" si="5"/>
        <v>40826.120000000003</v>
      </c>
    </row>
    <row r="20" spans="1:19">
      <c r="A20" s="1670"/>
      <c r="B20" s="47" t="s">
        <v>1153</v>
      </c>
      <c r="C20" s="3416" t="s">
        <v>3443</v>
      </c>
      <c r="D20" s="45">
        <f t="shared" ref="D20:D26" si="6">ROUND($D$3*E20/$E$3,2)</f>
        <v>1892.63</v>
      </c>
      <c r="E20" s="53">
        <f t="shared" si="1"/>
        <v>8129.2</v>
      </c>
      <c r="F20" s="2794"/>
      <c r="G20" s="2795">
        <f>'数据-基础表'!M13</f>
        <v>8129.2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1892.63</v>
      </c>
      <c r="S20" s="1027">
        <f t="shared" si="5"/>
        <v>8129.2</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11397.7</v>
      </c>
      <c r="E27" s="1141">
        <f>IF(SUM(E19:E26)='数据-基础表'!BA5,SUM(E19:E26),IF(F27="地上面积有误","面积有误","地下面积有误"))</f>
        <v>48955.32</v>
      </c>
      <c r="F27" s="1140">
        <f>IF(SUM(F19:F26)=E8,SUM(F19:F26),"地上面积有误")</f>
        <v>32455.11</v>
      </c>
      <c r="G27" s="1142">
        <f>SUM(G19:G26)</f>
        <v>16500.21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11397.7</v>
      </c>
      <c r="S27" s="1026">
        <f>IF(SUM(S19:S26)=$E$3,SUM(S19:S26),SUM(S19:S26)&amp;"误差"&amp;ROUND(SUM(S19:S26)-E3,2))</f>
        <v>48955.32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11397.7</v>
      </c>
      <c r="E31" s="676">
        <f>E27+E30</f>
        <v>48955.32</v>
      </c>
      <c r="F31" s="677">
        <f>F27+F30</f>
        <v>32455.11</v>
      </c>
      <c r="G31" s="678">
        <f>G27+G30</f>
        <v>16500.21</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30" activePane="bottomRight" state="frozen"/>
      <selection activeCell="C50" sqref="C50"/>
      <selection pane="topRight" activeCell="C50" sqref="C50"/>
      <selection pane="bottomLeft" activeCell="C50" sqref="C50"/>
      <selection pane="bottomRight" activeCell="W46" sqref="W4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75" style="1682" customWidth="1"/>
    <col min="22" max="22" width="6.375" style="1682" customWidth="1"/>
    <col min="23" max="25" width="6.75" style="1682" customWidth="1"/>
    <col min="26" max="26" width="8.3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整租部分</v>
      </c>
      <c r="B6" s="1713" t="str">
        <f>IF(A6=0,"","经营性")</f>
        <v>经营性</v>
      </c>
      <c r="C6" s="1714" t="s">
        <v>673</v>
      </c>
      <c r="D6" s="858">
        <f>SUMIF(项目基本情况!C$12:I$12,C6,项目基本情况!C$14:I$14)</f>
        <v>40</v>
      </c>
      <c r="E6" s="857">
        <f>IF(B6="","",SUMIF(项目基本情况!C$12:I$12,C6,项目基本情况!C$13:I$13))</f>
        <v>52839</v>
      </c>
      <c r="F6" s="64">
        <f>SUMIF(项目基本情况!C$12:I$12,C6,项目基本情况!C$15:I$15)</f>
        <v>21.67</v>
      </c>
      <c r="G6" s="65">
        <f>IF(ISERROR(ROUND(POWER(1+H6,D6-F6)*(POWER(1+H6,F6)-1)/(POWER(1+H6,D6)-1),3)),0,ROUND(POWER(1+H6,D6-F6)*(POWER(1+H6,F6)-1)/(POWER(1+H6,D6)-1),3))</f>
        <v>0.76100000000000001</v>
      </c>
      <c r="H6" s="732">
        <v>0.05</v>
      </c>
      <c r="I6" s="732">
        <v>5.5E-2</v>
      </c>
      <c r="J6" s="66">
        <v>7.0000000000000007E-2</v>
      </c>
      <c r="K6" s="1030">
        <f>SUMIF('数据-汇总表'!C$19:C$33,A6,'数据-汇总表'!E$19:E$33)</f>
        <v>40826.120000000003</v>
      </c>
      <c r="L6" s="733">
        <v>5500</v>
      </c>
      <c r="M6" s="67">
        <f t="shared" ref="M6:M14" si="0">ROUND(K6*L6/10000,0)</f>
        <v>22454</v>
      </c>
      <c r="N6" s="731">
        <f>N21</f>
        <v>0.88</v>
      </c>
      <c r="O6" s="67" t="str">
        <f>IF($N$5="成新度","——",ROUND(M6*N6,0))</f>
        <v>——</v>
      </c>
      <c r="P6" s="68" t="str">
        <f>IF($N$5="成新度","——",M6-O6)</f>
        <v>——</v>
      </c>
      <c r="Q6" s="734">
        <v>0.2</v>
      </c>
      <c r="R6" s="69">
        <f ca="1">SUMIF('数据-汇总表'!C$19:C$33,A6,'数据-汇总表'!R$19:R$27)</f>
        <v>9505.07</v>
      </c>
      <c r="S6" s="51">
        <f>IF('数据-汇总表'!$I$17="按面积比例",SUMIF('数据-汇总表'!C$19:C$33,A6,'数据-汇总表'!K$19:K$33),SUMIF('数据-汇总表'!C$19:C$33,A6,'数据-汇总表'!N$19:N$33))</f>
        <v>0</v>
      </c>
      <c r="T6" s="1172">
        <f>ROUND($L$14*S6/10000,0)</f>
        <v>0</v>
      </c>
      <c r="U6" s="3427">
        <v>327</v>
      </c>
      <c r="V6" s="70">
        <v>0</v>
      </c>
      <c r="W6" s="70">
        <v>0</v>
      </c>
      <c r="X6" s="1040"/>
      <c r="Y6" s="71">
        <f>N6</f>
        <v>0.88</v>
      </c>
      <c r="Z6" s="3497">
        <f>面积明细!W22</f>
        <v>336</v>
      </c>
      <c r="AA6" s="66">
        <v>2.5000000000000001E-2</v>
      </c>
      <c r="AB6" s="66">
        <v>0.1</v>
      </c>
      <c r="AC6" s="1040"/>
      <c r="AD6" s="73">
        <f>AB21</f>
        <v>0.82</v>
      </c>
      <c r="AE6" s="1041">
        <f ca="1">IF(AN6="",0,SUMIF(INDIRECT("'"&amp;AN6&amp;"'"&amp;"!E:E"),$AE$5,INDIRECT("'"&amp;AN6&amp;"'"&amp;"!F:F")))</f>
        <v>21.67</v>
      </c>
      <c r="AF6" s="3498">
        <v>3.5</v>
      </c>
      <c r="AG6" s="138">
        <f ca="1">IF(AF6="",0,AE6-AF6)</f>
        <v>18.170000000000002</v>
      </c>
      <c r="AH6" s="74"/>
      <c r="AI6" s="76">
        <v>12</v>
      </c>
      <c r="AJ6" s="77"/>
      <c r="AK6" s="78">
        <v>2E-3</v>
      </c>
      <c r="AL6" s="79">
        <v>1E-3</v>
      </c>
      <c r="AM6" s="80">
        <v>5.0000000000000001E-3</v>
      </c>
      <c r="AN6" s="1715" t="s">
        <v>3453</v>
      </c>
      <c r="AO6" s="52">
        <f ca="1">SUMIF(INDIRECT("'"&amp;AN6&amp;"'"&amp;"!A:A"),"总价",INDIRECT("'"&amp;AN6&amp;"'"&amp;"!B:B"))</f>
        <v>178568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3340</v>
      </c>
      <c r="D7" s="858">
        <f>SUMIF(项目基本情况!C$12:I$12,C7,项目基本情况!C$14:I$14)</f>
        <v>50</v>
      </c>
      <c r="E7" s="857">
        <f>IF(B7="","",SUMIF(项目基本情况!C$12:I$12,C7,项目基本情况!C$13:I$13))</f>
        <v>52839</v>
      </c>
      <c r="F7" s="64">
        <f>SUMIF(项目基本情况!C$12:I$12,C7,项目基本情况!C$15:I$15)</f>
        <v>21.67</v>
      </c>
      <c r="G7" s="65">
        <f t="shared" ref="G7:G11" si="2">IF(ISERROR(ROUND(POWER(1+H7,D7-F7)*(POWER(1+H7,F7)-1)/(POWER(1+H7,D7)-1),3)),0,ROUND(POWER(1+H7,D7-F7)*(POWER(1+H7,F7)-1)/(POWER(1+H7,D7)-1),3))</f>
        <v>0.71499999999999997</v>
      </c>
      <c r="H7" s="732">
        <v>0.05</v>
      </c>
      <c r="I7" s="732">
        <v>5.5E-2</v>
      </c>
      <c r="J7" s="66">
        <v>7.0000000000000007E-2</v>
      </c>
      <c r="K7" s="1030">
        <f>SUMIF('数据-汇总表'!C$19:C$33,A7,'数据-汇总表'!E$19:E$33)</f>
        <v>8129.2</v>
      </c>
      <c r="L7" s="733">
        <v>3500</v>
      </c>
      <c r="M7" s="67">
        <f t="shared" si="0"/>
        <v>2845</v>
      </c>
      <c r="N7" s="731">
        <f>N21</f>
        <v>0.88</v>
      </c>
      <c r="O7" s="67" t="str">
        <f t="shared" ref="O7:O14" si="3">IF($N$5="成新度","——",ROUND(M7*N7,0))</f>
        <v>——</v>
      </c>
      <c r="P7" s="68" t="str">
        <f t="shared" ref="P7:P14" si="4">IF($N$5="成新度","——",M7-O7)</f>
        <v>——</v>
      </c>
      <c r="Q7" s="734">
        <v>0.1</v>
      </c>
      <c r="R7" s="69">
        <f ca="1">SUMIF('数据-汇总表'!C$19:C$33,A7,'数据-汇总表'!R$19:R$27)</f>
        <v>1892.63</v>
      </c>
      <c r="S7" s="51">
        <f>IF('数据-汇总表'!$I$17="按面积比例",SUMIF('数据-汇总表'!C$19:C$33,A7,'数据-汇总表'!K$19:K$33),SUMIF('数据-汇总表'!C$19:C$33,A7,'数据-汇总表'!N$19:N$33))</f>
        <v>0</v>
      </c>
      <c r="T7" s="1172">
        <f t="shared" ref="T7:T13" si="5">ROUND($L$14*S7/10000,0)</f>
        <v>0</v>
      </c>
      <c r="U7" s="3427">
        <v>1000</v>
      </c>
      <c r="V7" s="70">
        <v>1.4999999999999999E-2</v>
      </c>
      <c r="W7" s="70">
        <v>0.05</v>
      </c>
      <c r="X7" s="1040"/>
      <c r="Y7" s="71">
        <f>N7</f>
        <v>0.88</v>
      </c>
      <c r="Z7" s="72"/>
      <c r="AA7" s="66"/>
      <c r="AB7" s="66"/>
      <c r="AC7" s="1040"/>
      <c r="AD7" s="73"/>
      <c r="AE7" s="1041">
        <f t="shared" ref="AE7:AE13" ca="1" si="6">IF(AN7="",0,SUMIF(INDIRECT("'"&amp;AN7&amp;"'"&amp;"!E:E"),$AE$5,INDIRECT("'"&amp;AN7&amp;"'"&amp;"!F:F")))</f>
        <v>21.67</v>
      </c>
      <c r="AF7" s="1348"/>
      <c r="AG7" s="138">
        <f t="shared" ref="AG7:AG13" si="7">IF(AF7="",0,AE7-AF7)</f>
        <v>0</v>
      </c>
      <c r="AH7" s="74">
        <v>152</v>
      </c>
      <c r="AI7" s="76">
        <v>12</v>
      </c>
      <c r="AJ7" s="77"/>
      <c r="AK7" s="78">
        <v>0.01</v>
      </c>
      <c r="AL7" s="79">
        <v>1E-3</v>
      </c>
      <c r="AM7" s="80">
        <v>0.03</v>
      </c>
      <c r="AN7" s="1715" t="s">
        <v>3473</v>
      </c>
      <c r="AO7" s="52">
        <f t="shared" ref="AO7:AO13" ca="1" si="8">SUMIF(INDIRECT("'"&amp;AN7&amp;"'"&amp;"!A:A"),"总价",INDIRECT("'"&amp;AN7&amp;"'"&amp;"!B:B"))</f>
        <v>1305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0.753</v>
      </c>
      <c r="H16" s="90">
        <f>ROUND(SUMPRODUCT(H6:H13,K6:K13)/SUMPRODUCT((H6:H13&gt;0)*(K6:K13)),3)</f>
        <v>0.05</v>
      </c>
      <c r="I16" s="91"/>
      <c r="J16" s="91"/>
      <c r="K16" s="92">
        <f>SUM(K6:K15)</f>
        <v>48955.32</v>
      </c>
      <c r="L16" s="93">
        <f>ROUND(M16*10000/SUM(K6:K14),0)</f>
        <v>5168</v>
      </c>
      <c r="M16" s="93">
        <f>SUM(M6:M14)</f>
        <v>25299</v>
      </c>
      <c r="N16" s="94">
        <f>ROUND(SUMPRODUCT(M6:M14,N6:N14)/M16,3)</f>
        <v>0.88</v>
      </c>
      <c r="O16" s="93">
        <f>SUM(O6:O14)</f>
        <v>0</v>
      </c>
      <c r="P16" s="93">
        <f>SUM(P6:P14)</f>
        <v>0</v>
      </c>
      <c r="Q16" s="95">
        <f>ROUND(SUMPRODUCT(Q6:Q13,K6:K13)/SUMPRODUCT((Q6:Q13&gt;0)*(K6:K13)),2)</f>
        <v>0.18</v>
      </c>
      <c r="R16" s="1034">
        <f ca="1">SUM(R6:R13)</f>
        <v>11397.7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v>2010</v>
      </c>
      <c r="O17" s="2670"/>
      <c r="P17" s="2670"/>
      <c r="Q17" s="2670"/>
      <c r="R17" s="2670"/>
      <c r="S17" s="2670"/>
      <c r="T17" s="2670"/>
      <c r="U17" s="2670"/>
      <c r="V17" s="2670"/>
      <c r="W17" s="2670"/>
      <c r="X17" s="2670"/>
      <c r="Y17" s="2670"/>
      <c r="Z17" s="2670"/>
      <c r="AA17" s="2670"/>
      <c r="AB17" s="2670">
        <v>2010</v>
      </c>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2022</v>
      </c>
      <c r="O18" s="2670"/>
      <c r="P18" s="2670"/>
      <c r="Q18" s="2670"/>
      <c r="R18" s="2670"/>
      <c r="S18" s="2670"/>
      <c r="T18" s="2670"/>
      <c r="U18" s="3493" t="s">
        <v>3448</v>
      </c>
      <c r="V18" s="2670"/>
      <c r="W18" s="2670"/>
      <c r="X18" s="2670"/>
      <c r="Y18" s="2670"/>
      <c r="Z18" s="2670"/>
      <c r="AA18" s="2670"/>
      <c r="AB18" s="2670">
        <v>2026</v>
      </c>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93" t="s">
        <v>3446</v>
      </c>
      <c r="N19" s="3494">
        <f>(60-N18+N17)/60</f>
        <v>0.8</v>
      </c>
      <c r="O19" s="2670"/>
      <c r="P19" s="2670"/>
      <c r="Q19" s="2670"/>
      <c r="R19" s="2670"/>
      <c r="S19" s="2670"/>
      <c r="T19" s="2670"/>
      <c r="U19" s="2670"/>
      <c r="V19" s="2670"/>
      <c r="W19" s="2670"/>
      <c r="X19" s="2670"/>
      <c r="Y19" s="2670"/>
      <c r="Z19" s="2670"/>
      <c r="AA19" s="3493" t="s">
        <v>3446</v>
      </c>
      <c r="AB19" s="3494">
        <f>(60-AB18+AB17)/60</f>
        <v>0.73333333333333328</v>
      </c>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3493" t="s">
        <v>3447</v>
      </c>
      <c r="N20" s="3494">
        <v>0.95</v>
      </c>
      <c r="O20" s="2670"/>
      <c r="P20" s="2670"/>
      <c r="Q20" s="2670"/>
      <c r="R20" s="2670"/>
      <c r="S20" s="2670"/>
      <c r="T20" s="2670"/>
      <c r="U20" s="2670"/>
      <c r="V20" s="2670"/>
      <c r="W20" s="2670"/>
      <c r="X20" s="2670"/>
      <c r="Y20" s="2670"/>
      <c r="Z20" s="2670"/>
      <c r="AA20" s="3493" t="s">
        <v>3447</v>
      </c>
      <c r="AB20" s="3494">
        <v>0.9</v>
      </c>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3494">
        <f>ROUND((N19+N20)/2,2)</f>
        <v>0.88</v>
      </c>
      <c r="O21" s="2670"/>
      <c r="P21" s="2670"/>
      <c r="Q21" s="2670"/>
      <c r="R21" s="2670"/>
      <c r="S21" s="2670"/>
      <c r="T21" s="2670"/>
      <c r="U21" s="2670"/>
      <c r="V21" s="2670"/>
      <c r="W21" s="2670"/>
      <c r="X21" s="2670"/>
      <c r="Y21" s="2670"/>
      <c r="Z21" s="2670"/>
      <c r="AA21" s="2670"/>
      <c r="AB21" s="3494">
        <f>ROUND((AB19+AB20)/2,2)</f>
        <v>0.82</v>
      </c>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979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3444</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22" t="s">
        <v>2286</v>
      </c>
      <c r="B1" s="3623"/>
      <c r="C1" s="3623"/>
      <c r="D1" s="3623"/>
      <c r="E1" s="3623"/>
      <c r="F1" s="3623"/>
      <c r="G1" s="362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48955.32</v>
      </c>
      <c r="C1" s="2685"/>
      <c r="D1" s="2685"/>
      <c r="E1" s="2685"/>
      <c r="F1" s="2685"/>
      <c r="G1" s="2686"/>
      <c r="H1" s="2687"/>
      <c r="I1" s="2687"/>
      <c r="J1" s="2687"/>
      <c r="K1" s="2687"/>
    </row>
    <row r="2" spans="1:11" ht="16.5">
      <c r="A2" s="2511" t="s">
        <v>653</v>
      </c>
      <c r="B2" s="2511">
        <f>SUM(C14:C23)</f>
        <v>11397.699198179815</v>
      </c>
      <c r="C2" s="2685"/>
      <c r="D2" s="2685"/>
      <c r="E2" s="2685"/>
      <c r="F2" s="2685"/>
      <c r="G2" s="2686"/>
      <c r="H2" s="2687"/>
      <c r="I2" s="2687"/>
      <c r="J2" s="2687"/>
      <c r="K2" s="2687"/>
    </row>
    <row r="3" spans="1:11" ht="16.5">
      <c r="A3" s="2511" t="s">
        <v>662</v>
      </c>
      <c r="B3" s="2513">
        <f>项目基本情况!D3</f>
        <v>44926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177883</v>
      </c>
      <c r="C5" s="2511">
        <f ca="1">IF(B5=D14,结果表!H102,ROUND(B5*10000/$B$1,0))</f>
        <v>0</v>
      </c>
      <c r="D5" s="2511">
        <f ca="1">ROUND(B5*10000/$B$2,0)</f>
        <v>156069</v>
      </c>
      <c r="E5" s="2685"/>
      <c r="F5" s="2686"/>
      <c r="G5" s="2686"/>
      <c r="H5" s="2687"/>
      <c r="I5" s="2687"/>
      <c r="J5" s="2687"/>
      <c r="K5" s="2687"/>
    </row>
    <row r="6" spans="1:11" ht="16.5">
      <c r="A6" s="2511" t="s">
        <v>656</v>
      </c>
      <c r="B6" s="2511">
        <f>SUM(G14:G23)</f>
        <v>0</v>
      </c>
      <c r="C6" s="2511">
        <f ca="1">IF(B6=G14,结果表!H108,ROUND(B6*10000/$B$1,0))</f>
        <v>0</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'数据-基础表'!B3</f>
        <v>48955.32</v>
      </c>
      <c r="C14" s="2517">
        <f>'数据-基础表'!A3</f>
        <v>11397.699198179815</v>
      </c>
      <c r="D14" s="2517">
        <f ca="1">结果表!G19</f>
        <v>177883</v>
      </c>
      <c r="E14" s="2517">
        <f ca="1">ROUND(D14*10000/B14,0)</f>
        <v>36336</v>
      </c>
      <c r="F14" s="2517">
        <f ca="1">ROUND(D14*10000/C14,0)</f>
        <v>156069</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E24" sqref="E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8" t="str">
        <f>项目基本情况!S2</f>
        <v>北京市房地产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54" t="s">
        <v>1265</v>
      </c>
      <c r="B4" s="1755" t="s">
        <v>1266</v>
      </c>
      <c r="C4" s="1756" t="s">
        <v>4004</v>
      </c>
      <c r="D4" s="1756" t="s">
        <v>3476</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8" t="s">
        <v>1268</v>
      </c>
      <c r="B5" s="3625">
        <v>25</v>
      </c>
      <c r="C5" s="3641">
        <v>5</v>
      </c>
      <c r="D5" s="3661">
        <f>10-C5</f>
        <v>5</v>
      </c>
      <c r="E5" s="131" t="s">
        <v>1269</v>
      </c>
      <c r="F5" s="1757"/>
      <c r="G5" s="1757"/>
      <c r="H5" s="1757"/>
      <c r="I5" s="1373"/>
    </row>
    <row r="6" spans="1:12" ht="12.75">
      <c r="A6" s="3638"/>
      <c r="B6" s="3625"/>
      <c r="C6" s="3642"/>
      <c r="D6" s="3661"/>
      <c r="E6" s="131" t="s">
        <v>1270</v>
      </c>
      <c r="F6" s="1757"/>
      <c r="G6" s="1757"/>
      <c r="H6" s="1757"/>
      <c r="I6" s="1373"/>
    </row>
    <row r="7" spans="1:12" ht="12.75">
      <c r="A7" s="3638"/>
      <c r="B7" s="3625"/>
      <c r="C7" s="3643"/>
      <c r="D7" s="3661"/>
      <c r="E7" s="131" t="s">
        <v>1271</v>
      </c>
      <c r="F7" s="1757"/>
      <c r="G7" s="1757"/>
      <c r="H7" s="1757"/>
      <c r="I7" s="1373"/>
    </row>
    <row r="8" spans="1:12" ht="12.75">
      <c r="A8" s="3638" t="s">
        <v>1272</v>
      </c>
      <c r="B8" s="3625">
        <v>15</v>
      </c>
      <c r="C8" s="3641"/>
      <c r="D8" s="3661"/>
      <c r="E8" s="131" t="s">
        <v>1273</v>
      </c>
      <c r="F8" s="1757"/>
      <c r="G8" s="1757"/>
      <c r="H8" s="1757"/>
      <c r="I8" s="1373"/>
    </row>
    <row r="9" spans="1:12" ht="12.75">
      <c r="A9" s="3638"/>
      <c r="B9" s="3625"/>
      <c r="C9" s="3643"/>
      <c r="D9" s="3661"/>
      <c r="E9" s="131" t="s">
        <v>1274</v>
      </c>
      <c r="F9" s="1757"/>
      <c r="G9" s="1757"/>
      <c r="H9" s="1757"/>
      <c r="I9" s="1373"/>
    </row>
    <row r="10" spans="1:12" ht="12.75">
      <c r="A10" s="3638" t="s">
        <v>1275</v>
      </c>
      <c r="B10" s="3625">
        <v>15</v>
      </c>
      <c r="C10" s="3641"/>
      <c r="D10" s="3661"/>
      <c r="E10" s="131" t="s">
        <v>1276</v>
      </c>
      <c r="F10" s="1757"/>
      <c r="G10" s="1757"/>
      <c r="H10" s="1757"/>
      <c r="I10" s="1373"/>
    </row>
    <row r="11" spans="1:12" ht="12.75">
      <c r="A11" s="3638"/>
      <c r="B11" s="3625"/>
      <c r="C11" s="3643"/>
      <c r="D11" s="3661"/>
      <c r="E11" s="131" t="s">
        <v>1277</v>
      </c>
      <c r="F11" s="1757"/>
      <c r="G11" s="1757"/>
      <c r="H11" s="1757"/>
      <c r="I11" s="1373"/>
    </row>
    <row r="12" spans="1:12" ht="12.75">
      <c r="A12" s="3638" t="s">
        <v>1278</v>
      </c>
      <c r="B12" s="3625">
        <v>15</v>
      </c>
      <c r="C12" s="3641"/>
      <c r="D12" s="3661"/>
      <c r="E12" s="131" t="s">
        <v>1279</v>
      </c>
      <c r="F12" s="1757"/>
      <c r="G12" s="1757"/>
      <c r="H12" s="1757"/>
      <c r="I12" s="1373"/>
    </row>
    <row r="13" spans="1:12" ht="12.75">
      <c r="A13" s="3638"/>
      <c r="B13" s="3625"/>
      <c r="C13" s="3643"/>
      <c r="D13" s="3661"/>
      <c r="E13" s="131" t="s">
        <v>1280</v>
      </c>
      <c r="F13" s="1757"/>
      <c r="G13" s="1757"/>
      <c r="H13" s="1757"/>
      <c r="I13" s="1373"/>
    </row>
    <row r="14" spans="1:12" ht="12.75">
      <c r="A14" s="3638" t="s">
        <v>1281</v>
      </c>
      <c r="B14" s="3625">
        <v>30</v>
      </c>
      <c r="C14" s="3641"/>
      <c r="D14" s="3661"/>
      <c r="E14" s="131" t="s">
        <v>1282</v>
      </c>
      <c r="F14" s="1757"/>
      <c r="G14" s="1757"/>
      <c r="H14" s="1757"/>
      <c r="I14" s="1373"/>
    </row>
    <row r="15" spans="1:12" ht="12.75">
      <c r="A15" s="3638"/>
      <c r="B15" s="3625"/>
      <c r="C15" s="3642"/>
      <c r="D15" s="3661"/>
      <c r="E15" s="131" t="s">
        <v>1283</v>
      </c>
      <c r="F15" s="1757"/>
      <c r="G15" s="1757"/>
      <c r="H15" s="1757"/>
      <c r="I15" s="1373"/>
    </row>
    <row r="16" spans="1:12" ht="12.75">
      <c r="A16" s="3638"/>
      <c r="B16" s="3625"/>
      <c r="C16" s="3643"/>
      <c r="D16" s="366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8" t="s">
        <v>2131</v>
      </c>
      <c r="F18" s="3649"/>
      <c r="G18" s="3649"/>
      <c r="H18" s="3649"/>
      <c r="I18" s="3649"/>
      <c r="K18" s="302" t="s">
        <v>1289</v>
      </c>
      <c r="L18" s="302">
        <f>IF(C1="",'数据-汇总表'!E3,SUMIF(项目类型,C1,'数据-汇总表'!E17:E26)+SUMIF(项目类型,C1,'数据-汇总表'!I17:I26))</f>
        <v>48955.32</v>
      </c>
      <c r="M18" s="302">
        <f>IF(C1="",'数据-汇总表'!E3,SUMIF(项目类型,C1,'数据-汇总表'!E17:E26))</f>
        <v>48955.32</v>
      </c>
    </row>
    <row r="19" spans="1:36" ht="15">
      <c r="A19" s="1761" t="s">
        <v>1290</v>
      </c>
      <c r="B19" s="1762" t="s">
        <v>1291</v>
      </c>
      <c r="C19" s="134">
        <f ca="1">SUMIF(INDIRECT("'"&amp;C4&amp;"'"&amp;"!A:A"),结果表!B19,INDIRECT("'"&amp;C4&amp;"'"&amp;"!B:B"))</f>
        <v>175892</v>
      </c>
      <c r="D19" s="135">
        <f ca="1">SUMIF(INDIRECT("'"&amp;D4&amp;"'"&amp;"!A:A"),结果表!B19,INDIRECT("'"&amp;D4&amp;"'"&amp;"!B:B"))</f>
        <v>179873</v>
      </c>
      <c r="E19" s="1761" t="s">
        <v>1292</v>
      </c>
      <c r="F19" s="1762" t="s">
        <v>1291</v>
      </c>
      <c r="G19" s="136">
        <f ca="1">ROUND(C19*$C$18+D19*$D$18,0)</f>
        <v>177883</v>
      </c>
      <c r="H19" s="1763" t="s">
        <v>1293</v>
      </c>
      <c r="I19" s="129"/>
      <c r="K19" s="302" t="s">
        <v>1294</v>
      </c>
      <c r="L19" s="302">
        <f>IF(C1="",'数据-汇总表'!D3,SUMIF(项目类型,C1,'数据-汇总表'!D17:D26)+SUMIF(项目类型,C1,'数据-汇总表'!H17:H27))</f>
        <v>11397.7</v>
      </c>
      <c r="M19" s="302">
        <f>IF(C1="",'数据-汇总表'!D3,SUMIF(项目类型,C1,'数据-汇总表'!D17:D26))</f>
        <v>11397.7</v>
      </c>
    </row>
    <row r="20" spans="1:36" ht="15">
      <c r="A20" s="1764"/>
      <c r="B20" s="1026" t="s">
        <v>1295</v>
      </c>
      <c r="C20" s="137">
        <f ca="1">SUMIF(INDIRECT("'"&amp;C4&amp;"'"&amp;"!A:A"),结果表!B20,INDIRECT("'"&amp;C4&amp;"'"&amp;"!B:B"))</f>
        <v>35929</v>
      </c>
      <c r="D20" s="138">
        <f ca="1">SUMIF(INDIRECT("'"&amp;D4&amp;"'"&amp;"!A:A"),结果表!B20,INDIRECT("'"&amp;D4&amp;"'"&amp;"!B:B"))</f>
        <v>36742</v>
      </c>
      <c r="E20" s="1764"/>
      <c r="F20" s="1026" t="s">
        <v>1295</v>
      </c>
      <c r="G20" s="139">
        <f ca="1">ROUND(C20*$C$18+D20*$D$18,0)</f>
        <v>36336</v>
      </c>
      <c r="H20" s="808" t="s">
        <v>1296</v>
      </c>
      <c r="I20" s="129"/>
    </row>
    <row r="21" spans="1:36" ht="15" customHeight="1" thickBot="1">
      <c r="A21" s="828"/>
      <c r="B21" s="1765" t="s">
        <v>1297</v>
      </c>
      <c r="C21" s="719">
        <f ca="1">ROUND(C19*10000/L19,0)</f>
        <v>154322</v>
      </c>
      <c r="D21" s="720">
        <f ca="1">ROUND(D19*10000/L19,0)</f>
        <v>157815</v>
      </c>
      <c r="E21" s="828"/>
      <c r="F21" s="1765" t="s">
        <v>1297</v>
      </c>
      <c r="G21" s="140">
        <f ca="1">ROUND(G19*10000/L19,0)</f>
        <v>156069</v>
      </c>
      <c r="H21" s="1766" t="s">
        <v>1296</v>
      </c>
      <c r="I21" s="129"/>
    </row>
    <row r="22" spans="1:36" ht="15" thickBot="1">
      <c r="A22" s="1688" t="s">
        <v>1298</v>
      </c>
      <c r="B22" s="1767"/>
      <c r="C22" s="1768"/>
      <c r="D22" s="721">
        <f ca="1">IF(C19&lt;D19,D19/C19-1,C19/D19-1)</f>
        <v>2.2633206740499956E-2</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36336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2" t="s">
        <v>1312</v>
      </c>
      <c r="B36" s="1787" t="s">
        <v>1313</v>
      </c>
      <c r="C36" s="145"/>
      <c r="D36" s="1788"/>
      <c r="E36" s="1789"/>
      <c r="F36" s="1790"/>
      <c r="G36" s="129"/>
      <c r="H36" s="129"/>
      <c r="I36" s="129"/>
    </row>
    <row r="37" spans="1:15" ht="15.75" thickBot="1">
      <c r="A37" s="3653"/>
      <c r="B37" s="1674" t="s">
        <v>1314</v>
      </c>
      <c r="C37" s="147"/>
      <c r="D37" s="1139"/>
      <c r="E37" s="1139"/>
      <c r="F37" s="1790"/>
      <c r="G37" s="129"/>
      <c r="H37" s="129"/>
      <c r="I37" s="129"/>
    </row>
    <row r="38" spans="1:15" ht="15.75" thickBot="1">
      <c r="A38" s="365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t="e">
        <f ca="1">ROUND(H101*F45,0)</f>
        <v>#REF!</v>
      </c>
      <c r="E45" s="156" t="s">
        <v>1327</v>
      </c>
      <c r="F45" s="157">
        <v>1</v>
      </c>
      <c r="G45" s="158" t="s">
        <v>1328</v>
      </c>
      <c r="H45" s="129"/>
      <c r="I45" s="129"/>
      <c r="J45" s="3707" t="s">
        <v>1329</v>
      </c>
      <c r="K45" s="3707"/>
      <c r="L45" s="3707"/>
      <c r="M45" s="3707"/>
      <c r="N45" s="3707"/>
      <c r="O45" s="3707"/>
    </row>
    <row r="46" spans="1:15" ht="14.25" customHeight="1">
      <c r="A46" s="3626" t="s">
        <v>1330</v>
      </c>
      <c r="B46" s="3627"/>
      <c r="C46" s="3627"/>
      <c r="D46" s="3627"/>
      <c r="E46" s="3627"/>
      <c r="F46" s="3627"/>
      <c r="G46" s="3628"/>
      <c r="H46" s="1806"/>
      <c r="I46" s="159"/>
      <c r="J46" s="2522">
        <v>1</v>
      </c>
      <c r="K46" s="3688" t="s">
        <v>1331</v>
      </c>
      <c r="L46" s="3688"/>
      <c r="M46" s="3708"/>
      <c r="N46" s="3708"/>
      <c r="O46" s="3708"/>
    </row>
    <row r="47" spans="1:15" ht="12" customHeight="1">
      <c r="A47" s="160" t="s">
        <v>1332</v>
      </c>
      <c r="B47" s="161"/>
      <c r="C47" s="162"/>
      <c r="D47" s="1087" t="s">
        <v>1333</v>
      </c>
      <c r="E47" s="302" t="s">
        <v>1334</v>
      </c>
      <c r="F47" s="163" t="s">
        <v>1335</v>
      </c>
      <c r="G47" s="2545" t="s">
        <v>1336</v>
      </c>
      <c r="H47" s="2546"/>
      <c r="I47" s="159"/>
      <c r="J47" s="2522">
        <v>2</v>
      </c>
      <c r="K47" s="3688" t="s">
        <v>1337</v>
      </c>
      <c r="L47" s="3688"/>
      <c r="M47" s="3709">
        <f>'数据-取费表'!B2</f>
        <v>44926</v>
      </c>
      <c r="N47" s="3709"/>
      <c r="O47" s="3709"/>
    </row>
    <row r="48" spans="1:15" ht="25.5">
      <c r="A48" s="3657" t="s">
        <v>1338</v>
      </c>
      <c r="B48" s="3640"/>
      <c r="C48" s="364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88" t="s">
        <v>1340</v>
      </c>
      <c r="L48" s="3688"/>
      <c r="M48" s="3710" t="e">
        <f ca="1">H101</f>
        <v>#REF!</v>
      </c>
      <c r="N48" s="3710"/>
      <c r="O48" s="3710"/>
    </row>
    <row r="49" spans="1:35" ht="25.5" customHeight="1">
      <c r="A49" s="2333" t="s">
        <v>1341</v>
      </c>
      <c r="B49" s="3624" t="s">
        <v>1342</v>
      </c>
      <c r="C49" s="3624"/>
      <c r="D49" s="1590">
        <v>0</v>
      </c>
      <c r="E49" s="324" t="s">
        <v>1343</v>
      </c>
      <c r="F49" s="2423" t="s">
        <v>28</v>
      </c>
      <c r="G49" s="3694"/>
      <c r="H49" s="2310" t="s">
        <v>2134</v>
      </c>
      <c r="I49" s="2311"/>
      <c r="J49" s="2522">
        <v>4</v>
      </c>
      <c r="K49" s="3688" t="str">
        <f>IF(项目基本情况!E8="房地产抵押价值","房地产抵押价值","抵押担保权已注销时的房地产抵押价值")</f>
        <v>抵押担保权已注销时的房地产抵押价值</v>
      </c>
      <c r="L49" s="3688"/>
      <c r="M49" s="3710" t="str">
        <f>IF(项目基本情况!E8="房地产抵押价值",H107,H109)</f>
        <v>——</v>
      </c>
      <c r="N49" s="3710"/>
      <c r="O49" s="3710"/>
    </row>
    <row r="50" spans="1:35" ht="25.5" customHeight="1">
      <c r="A50" s="2550"/>
      <c r="B50" s="3624" t="s">
        <v>1344</v>
      </c>
      <c r="C50" s="3624"/>
      <c r="D50" s="2551"/>
      <c r="E50" s="332"/>
      <c r="F50" s="2423"/>
      <c r="G50" s="3695"/>
      <c r="H50" s="2312" t="s">
        <v>2135</v>
      </c>
      <c r="I50" s="2311"/>
      <c r="J50" s="3707" t="s">
        <v>1345</v>
      </c>
      <c r="K50" s="3707"/>
      <c r="L50" s="3707"/>
      <c r="M50" s="3707"/>
      <c r="N50" s="3707"/>
      <c r="O50" s="3707"/>
    </row>
    <row r="51" spans="1:35" ht="20.45" customHeight="1">
      <c r="A51" s="2552"/>
      <c r="B51" s="3624" t="s">
        <v>1346</v>
      </c>
      <c r="C51" s="3624"/>
      <c r="D51" s="1087"/>
      <c r="E51" s="327"/>
      <c r="F51" s="2423"/>
      <c r="G51" s="3696"/>
      <c r="H51" s="2312" t="s">
        <v>2136</v>
      </c>
      <c r="I51" s="2311"/>
      <c r="J51" s="2523" t="s">
        <v>1347</v>
      </c>
      <c r="K51" s="3688" t="s">
        <v>1348</v>
      </c>
      <c r="L51" s="3688"/>
      <c r="M51" s="2523" t="s">
        <v>1349</v>
      </c>
      <c r="N51" s="2523" t="s">
        <v>1350</v>
      </c>
      <c r="O51" s="2523" t="s">
        <v>1351</v>
      </c>
    </row>
    <row r="52" spans="1:35" ht="24" customHeight="1">
      <c r="A52" s="2335" t="s">
        <v>1352</v>
      </c>
      <c r="B52" s="3624" t="s">
        <v>1353</v>
      </c>
      <c r="C52" s="3624"/>
      <c r="D52" s="1087" t="e">
        <f ca="1">ROUND(D45*'数据-取费表'!B41/(1+'数据-取费表'!C42),0)</f>
        <v>#REF!</v>
      </c>
      <c r="E52" s="2334" t="s">
        <v>1354</v>
      </c>
      <c r="F52" s="2553">
        <f>'数据-取费表'!B41</f>
        <v>5.6000000000000001E-2</v>
      </c>
      <c r="G52" s="2554"/>
      <c r="H52" s="2543"/>
      <c r="I52" s="1807"/>
      <c r="J52" s="2522">
        <v>1</v>
      </c>
      <c r="K52" s="3689" t="s">
        <v>1355</v>
      </c>
      <c r="L52" s="3689"/>
      <c r="M52" s="2524" t="b">
        <f>D48</f>
        <v>0</v>
      </c>
      <c r="N52" s="2522" t="str">
        <f>E48</f>
        <v>销售额×税（费）率</v>
      </c>
      <c r="O52" s="2525">
        <f>F48</f>
        <v>5.6000000000000001E-2</v>
      </c>
    </row>
    <row r="53" spans="1:35" ht="12" customHeight="1">
      <c r="A53" s="2335" t="s">
        <v>1356</v>
      </c>
      <c r="B53" s="3650" t="s">
        <v>2291</v>
      </c>
      <c r="C53" s="3651"/>
      <c r="D53" s="1087" t="e">
        <f ca="1">ROUND(D45*'数据-取费表'!B41/(1+'数据-取费表'!C42),0)</f>
        <v>#REF!</v>
      </c>
      <c r="E53" s="2334" t="s">
        <v>1354</v>
      </c>
      <c r="F53" s="2553">
        <f>'数据-取费表'!B41</f>
        <v>5.6000000000000001E-2</v>
      </c>
      <c r="G53" s="2554"/>
      <c r="H53" s="2543"/>
      <c r="I53" s="1807"/>
      <c r="J53" s="2522">
        <v>2</v>
      </c>
      <c r="K53" s="3689" t="s">
        <v>1357</v>
      </c>
      <c r="L53" s="3689"/>
      <c r="M53" s="2524" t="e">
        <f t="shared" ref="M53:O54" ca="1" si="0">D55</f>
        <v>#REF!</v>
      </c>
      <c r="N53" s="2522" t="str">
        <f t="shared" si="0"/>
        <v>销售额×税（费）率</v>
      </c>
      <c r="O53" s="2525" t="str">
        <f t="shared" si="0"/>
        <v>免征</v>
      </c>
    </row>
    <row r="54" spans="1:35" ht="12" customHeight="1">
      <c r="A54" s="2335" t="s">
        <v>1358</v>
      </c>
      <c r="B54" s="3650" t="s">
        <v>2292</v>
      </c>
      <c r="C54" s="3651"/>
      <c r="D54" s="1087" t="e">
        <f ca="1">C68</f>
        <v>#REF!</v>
      </c>
      <c r="E54" s="327" t="s">
        <v>1359</v>
      </c>
      <c r="F54" s="2553">
        <f>'数据-取费表'!B41</f>
        <v>5.6000000000000001E-2</v>
      </c>
      <c r="G54" s="2554"/>
      <c r="H54" s="2555"/>
      <c r="I54" s="1807"/>
      <c r="J54" s="2522">
        <v>3</v>
      </c>
      <c r="K54" s="3689" t="s">
        <v>1360</v>
      </c>
      <c r="L54" s="3689"/>
      <c r="M54" s="2524" t="e">
        <f t="shared" ca="1" si="0"/>
        <v>#REF!</v>
      </c>
      <c r="N54" s="2522" t="str">
        <f t="shared" si="0"/>
        <v>增值额×税（费）率</v>
      </c>
      <c r="O54" s="2526" t="str">
        <f t="shared" si="0"/>
        <v>免征</v>
      </c>
    </row>
    <row r="55" spans="1:35" ht="24" customHeight="1">
      <c r="A55" s="3639" t="s">
        <v>1361</v>
      </c>
      <c r="B55" s="3640"/>
      <c r="C55" s="3640"/>
      <c r="D55" s="2324" t="e">
        <f ca="1">IF(H55="个人住宅",0,ROUND(D45*I55,0))</f>
        <v>#REF!</v>
      </c>
      <c r="E55" s="2334" t="s">
        <v>1362</v>
      </c>
      <c r="F55" s="2553" t="str">
        <f>IF(H55="正常",I55,"免征")</f>
        <v>免征</v>
      </c>
      <c r="G55" s="2554"/>
      <c r="H55" s="2549"/>
      <c r="I55" s="165">
        <f>'数据-取费表'!B49</f>
        <v>5.0000000000000001E-4</v>
      </c>
      <c r="J55" s="2522">
        <f>IF(H59="非个人房产","",4)</f>
        <v>4</v>
      </c>
      <c r="K55" s="3689" t="str">
        <f>IF(H59="非个人房产","——","个人所得税")</f>
        <v>个人所得税</v>
      </c>
      <c r="L55" s="3689"/>
      <c r="M55" s="2527" t="e">
        <f ca="1">D59</f>
        <v>#REF!</v>
      </c>
      <c r="N55" s="2040" t="str">
        <f>E59</f>
        <v>差额计税</v>
      </c>
      <c r="O55" s="2528">
        <f>F59</f>
        <v>0.01</v>
      </c>
    </row>
    <row r="56" spans="1:35" ht="24.75">
      <c r="A56" s="3639" t="s">
        <v>1363</v>
      </c>
      <c r="B56" s="3640"/>
      <c r="C56" s="3640"/>
      <c r="D56" s="2324" t="e">
        <f ca="1">IF(H56="个人住宅",D57,D58)</f>
        <v>#REF!</v>
      </c>
      <c r="E56" s="2334" t="s">
        <v>1364</v>
      </c>
      <c r="F56" s="2553" t="str">
        <f>IF(H56="正常",F58,"免征")</f>
        <v>免征</v>
      </c>
      <c r="G56" s="2556" t="s">
        <v>1365</v>
      </c>
      <c r="H56" s="2557"/>
      <c r="I56" s="1808"/>
      <c r="J56" s="2522" t="str">
        <f>IF(项目基本情况!K6="上海银行",IF(J55="",4,J55+1),"")</f>
        <v/>
      </c>
      <c r="K56" s="3712" t="str">
        <f>IF(项目基本情况!K6="上海银行","其他处置费用","")</f>
        <v/>
      </c>
      <c r="L56" s="3713"/>
      <c r="M56" s="2524" t="str">
        <f>IF(项目基本情况!K6="上海银行",M69,"")</f>
        <v/>
      </c>
      <c r="N56" s="3712" t="str">
        <f>IF(项目基本情况!K6="上海银行","包含处置中涉及的律师、诉讼、拍卖、评估等费用","")</f>
        <v/>
      </c>
      <c r="O56" s="3715"/>
    </row>
    <row r="57" spans="1:35" ht="12.75">
      <c r="A57" s="2335" t="s">
        <v>1341</v>
      </c>
      <c r="B57" s="3650" t="s">
        <v>1366</v>
      </c>
      <c r="C57" s="3651"/>
      <c r="D57" s="1590">
        <v>0</v>
      </c>
      <c r="E57" s="324" t="s">
        <v>1343</v>
      </c>
      <c r="F57" s="302"/>
      <c r="G57" s="2554"/>
      <c r="H57" s="2558"/>
      <c r="I57" s="1808"/>
      <c r="J57" s="3689">
        <f>IF(AND(J55="",J56=""),4,IF(项目基本情况!K6="上海银行",结果表!J56+1,结果表!J55+1))</f>
        <v>5</v>
      </c>
      <c r="K57" s="3689" t="s">
        <v>1367</v>
      </c>
      <c r="L57" s="2529" t="s">
        <v>1368</v>
      </c>
      <c r="M57" s="2530"/>
      <c r="N57" s="2531">
        <f ca="1">SUMIF(M52:M56,"&lt;9e307")</f>
        <v>0</v>
      </c>
      <c r="O57" s="2532"/>
      <c r="P57" s="2689" t="e">
        <f ca="1">N57/M49</f>
        <v>#VALUE!</v>
      </c>
    </row>
    <row r="58" spans="1:35" ht="24.75">
      <c r="A58" s="2335" t="s">
        <v>1352</v>
      </c>
      <c r="B58" s="3650" t="s">
        <v>1369</v>
      </c>
      <c r="C58" s="3624"/>
      <c r="D58" s="2324" t="e">
        <f ca="1">IF(H58="转让取得",C81,C97)</f>
        <v>#REF!</v>
      </c>
      <c r="E58" s="2334" t="s">
        <v>1364</v>
      </c>
      <c r="F58" s="302" t="s">
        <v>28</v>
      </c>
      <c r="G58" s="2554"/>
      <c r="H58" s="2557"/>
      <c r="I58" s="1808"/>
      <c r="J58" s="3689"/>
      <c r="K58" s="3689"/>
      <c r="L58" s="2529" t="s">
        <v>1370</v>
      </c>
      <c r="M58" s="2533"/>
      <c r="N58" s="2534" t="str">
        <f ca="1">NUMBERSTRING(INT(N57*10000),2)&amp;"元整"</f>
        <v>零元整</v>
      </c>
      <c r="O58" s="2535"/>
    </row>
    <row r="59" spans="1:35" ht="24.75" thickBot="1">
      <c r="A59" s="3692" t="s">
        <v>1371</v>
      </c>
      <c r="B59" s="3693"/>
      <c r="C59" s="369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90">
        <f>J57+1</f>
        <v>6</v>
      </c>
      <c r="K59" s="3689" t="s">
        <v>1372</v>
      </c>
      <c r="L59" s="2522" t="s">
        <v>1368</v>
      </c>
      <c r="M59" s="2536"/>
      <c r="N59" s="2537" t="e">
        <f ca="1">M49-N57</f>
        <v>#VALUE!</v>
      </c>
      <c r="O59" s="2538"/>
    </row>
    <row r="60" spans="1:35" ht="12" customHeight="1">
      <c r="A60" s="1809"/>
      <c r="B60" s="1747"/>
      <c r="C60" s="1747"/>
      <c r="D60" s="1747"/>
      <c r="E60" s="1578"/>
      <c r="F60" s="1808"/>
      <c r="G60" s="1808"/>
      <c r="H60" s="1810"/>
      <c r="I60" s="129"/>
      <c r="J60" s="3691"/>
      <c r="K60" s="3689"/>
      <c r="L60" s="2529" t="s">
        <v>1370</v>
      </c>
      <c r="M60" s="2533"/>
      <c r="N60" s="2534" t="e">
        <f ca="1">NUMBERSTRING(INT(N59*10000),2)&amp;"元整"</f>
        <v>#VALUE!</v>
      </c>
      <c r="O60" s="2535"/>
    </row>
    <row r="61" spans="1:35" ht="13.5" thickBot="1">
      <c r="A61" s="3637" t="s">
        <v>1373</v>
      </c>
      <c r="B61" s="3637"/>
      <c r="C61" s="3637"/>
      <c r="D61" s="3637"/>
      <c r="E61" s="3637"/>
      <c r="F61" s="1808"/>
      <c r="G61" s="1808"/>
      <c r="H61" s="1810"/>
      <c r="I61" s="129"/>
      <c r="J61" s="2522">
        <f>J59+1</f>
        <v>7</v>
      </c>
      <c r="K61" s="3689" t="s">
        <v>1374</v>
      </c>
      <c r="L61" s="3689"/>
      <c r="M61" s="2539"/>
      <c r="N61" s="2540" t="e">
        <f ca="1">ROUND(N59*10000/'数据-汇总表'!E3,0)</f>
        <v>#VALUE!</v>
      </c>
      <c r="O61" s="2541"/>
    </row>
    <row r="62" spans="1:35" ht="12.75">
      <c r="A62" s="3655" t="s">
        <v>1375</v>
      </c>
      <c r="B62" s="3656"/>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714"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71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714"/>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714"/>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71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714"/>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714"/>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6" t="s">
        <v>1394</v>
      </c>
      <c r="B70" s="3677"/>
      <c r="C70" s="3677"/>
      <c r="D70" s="3677"/>
      <c r="E70" s="3677"/>
      <c r="F70" s="3677"/>
      <c r="G70" s="3677"/>
      <c r="H70" s="367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5" t="s">
        <v>1375</v>
      </c>
      <c r="B71" s="365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50" t="s">
        <v>1402</v>
      </c>
      <c r="F76" s="3624"/>
      <c r="G76" s="3624"/>
      <c r="H76" s="367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34" t="s">
        <v>1406</v>
      </c>
      <c r="F78" s="3635"/>
      <c r="G78" s="3635"/>
      <c r="H78" s="364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6" t="s">
        <v>1410</v>
      </c>
      <c r="B83" s="3677"/>
      <c r="C83" s="3677"/>
      <c r="D83" s="3677"/>
      <c r="E83" s="3677"/>
      <c r="F83" s="3677"/>
      <c r="G83" s="3677"/>
      <c r="H83" s="367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5" t="s">
        <v>1375</v>
      </c>
      <c r="B84" s="365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716" t="s">
        <v>2129</v>
      </c>
      <c r="H90" s="371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34" t="s">
        <v>1419</v>
      </c>
      <c r="F91" s="3635"/>
      <c r="G91" s="363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34" t="s">
        <v>1422</v>
      </c>
      <c r="F92" s="3635"/>
      <c r="G92" s="3635"/>
      <c r="H92" s="364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34" t="s">
        <v>1406</v>
      </c>
      <c r="F93" s="3635"/>
      <c r="G93" s="3635"/>
      <c r="H93" s="364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8" t="s">
        <v>1428</v>
      </c>
      <c r="B100" s="3619"/>
      <c r="C100" s="3619"/>
      <c r="D100" s="3636"/>
      <c r="E100" s="3619" t="s">
        <v>1429</v>
      </c>
      <c r="F100" s="3619"/>
      <c r="G100" s="3619"/>
      <c r="H100" s="3636"/>
      <c r="I100" s="129"/>
    </row>
    <row r="101" spans="1:35" ht="18.75" customHeight="1">
      <c r="A101" s="3697" t="s">
        <v>1430</v>
      </c>
      <c r="B101" s="3698"/>
      <c r="C101" s="2584" t="str">
        <f>C4</f>
        <v>比较法-办公</v>
      </c>
      <c r="D101" s="2585" t="str">
        <f>D4</f>
        <v>收益法（汇总）</v>
      </c>
      <c r="E101" s="3711" t="s">
        <v>1431</v>
      </c>
      <c r="F101" s="3668"/>
      <c r="G101" s="1827" t="s">
        <v>1432</v>
      </c>
      <c r="H101" s="2594" t="e">
        <f ca="1">H118</f>
        <v>#REF!</v>
      </c>
      <c r="I101" s="129"/>
    </row>
    <row r="102" spans="1:35" ht="18.75" customHeight="1">
      <c r="A102" s="3670" t="s">
        <v>1433</v>
      </c>
      <c r="B102" s="2583" t="s">
        <v>1432</v>
      </c>
      <c r="C102" s="2584">
        <f ca="1">IF(D32="楼面单价",ROUND(C19,0),C19)</f>
        <v>175892</v>
      </c>
      <c r="D102" s="2585">
        <f ca="1">IF(D32="楼面单价",ROUND(D19,0),D19)</f>
        <v>179873</v>
      </c>
      <c r="E102" s="3711"/>
      <c r="F102" s="3668"/>
      <c r="G102" s="1827" t="s">
        <v>1434</v>
      </c>
      <c r="H102" s="2554" t="e">
        <f ca="1">I118</f>
        <v>#REF!</v>
      </c>
      <c r="I102" s="129"/>
    </row>
    <row r="103" spans="1:35" ht="42.75" customHeight="1">
      <c r="A103" s="3670"/>
      <c r="B103" s="2583" t="s">
        <v>1434</v>
      </c>
      <c r="C103" s="2586">
        <f ca="1">C20</f>
        <v>35929</v>
      </c>
      <c r="D103" s="2587">
        <f ca="1">D20</f>
        <v>36742</v>
      </c>
      <c r="E103" s="3705" t="s">
        <v>1435</v>
      </c>
      <c r="F103" s="3706"/>
      <c r="G103" s="1828" t="s">
        <v>1436</v>
      </c>
      <c r="H103" s="2594">
        <f>IF(D36="正常操作",H104+H105+H106,H105+H106)</f>
        <v>0</v>
      </c>
      <c r="I103" s="129"/>
    </row>
    <row r="104" spans="1:35" ht="18.75" customHeight="1">
      <c r="A104" s="367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71"/>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67" t="str">
        <f>IF(项目基本情况!E8="已注销","——","3.房地产抵押价值")</f>
        <v>3.房地产抵押价值</v>
      </c>
      <c r="F107" s="3668"/>
      <c r="G107" s="1827" t="s">
        <v>1432</v>
      </c>
      <c r="H107" s="2594" t="e">
        <f ca="1">IF(E107="——","——",H101-H103)</f>
        <v>#REF!</v>
      </c>
      <c r="I107" s="129"/>
    </row>
    <row r="108" spans="1:35" ht="18.75" customHeight="1">
      <c r="A108" s="129"/>
      <c r="B108" s="129"/>
      <c r="C108" s="129"/>
      <c r="D108" s="129"/>
      <c r="E108" s="3667"/>
      <c r="F108" s="3668"/>
      <c r="G108" s="1827" t="s">
        <v>1434</v>
      </c>
      <c r="H108" s="2554">
        <f ca="1">IF(H107=H101,H102,ROUND(H107*10000/'数据-汇总表'!E3,0))</f>
        <v>0</v>
      </c>
      <c r="I108" s="129"/>
    </row>
    <row r="109" spans="1:35" ht="18.75" customHeight="1">
      <c r="A109" s="129"/>
      <c r="B109" s="129"/>
      <c r="C109" s="129"/>
      <c r="D109" s="129"/>
      <c r="E109" s="3667" t="str">
        <f>IF(项目基本情况!E8="已注销及未注销","4.抵押担保权已注销时的房地产抵押价值",IF(项目基本情况!E8="已注销","3.抵押担保权已注销时的房地产抵押价值","——"))</f>
        <v>——</v>
      </c>
      <c r="F109" s="3668"/>
      <c r="G109" s="1827" t="s">
        <v>1432</v>
      </c>
      <c r="H109" s="2597" t="str">
        <f>IF(E109="——","——",H101-H105-H106)</f>
        <v>——</v>
      </c>
      <c r="I109" s="129"/>
    </row>
    <row r="110" spans="1:35" ht="18.75" customHeight="1">
      <c r="A110" s="129"/>
      <c r="B110" s="129"/>
      <c r="C110" s="129"/>
      <c r="D110" s="129"/>
      <c r="E110" s="3667"/>
      <c r="F110" s="3668"/>
      <c r="G110" s="1827" t="s">
        <v>1434</v>
      </c>
      <c r="H110" s="2554" t="str">
        <f>IF(H109="——","——",ROUND(H109*10000/'数据-汇总表'!E3,0))</f>
        <v>——</v>
      </c>
      <c r="I110" s="129"/>
    </row>
    <row r="111" spans="1:35" ht="18.75" customHeight="1">
      <c r="A111" s="129"/>
      <c r="B111" s="129"/>
      <c r="C111" s="129"/>
      <c r="D111" s="129"/>
      <c r="E111" s="3699" t="str">
        <f>IF(项目基本情况!E9="抵押净值",IF(OR(项目基本情况!E8="已注销",项目基本情况!E8="房地产抵押价值"),"4.抵押净值","5.抵押净值"),"——")</f>
        <v>——</v>
      </c>
      <c r="F111" s="3669"/>
      <c r="G111" s="1827" t="s">
        <v>1432</v>
      </c>
      <c r="H111" s="2594" t="str">
        <f>IF(E111="——","——",N59)</f>
        <v>——</v>
      </c>
      <c r="I111" s="129"/>
    </row>
    <row r="112" spans="1:35" ht="18.75" customHeight="1" thickBot="1">
      <c r="A112" s="129"/>
      <c r="B112" s="129"/>
      <c r="C112" s="129"/>
      <c r="D112" s="129"/>
      <c r="E112" s="3700"/>
      <c r="F112" s="3701"/>
      <c r="G112" s="1830" t="s">
        <v>1434</v>
      </c>
      <c r="H112" s="2598" t="str">
        <f>IF(E111="——","——",N61)</f>
        <v>——</v>
      </c>
      <c r="I112" s="129"/>
    </row>
    <row r="113" spans="1:27" ht="18.75" customHeight="1">
      <c r="A113" s="129"/>
      <c r="B113" s="129"/>
      <c r="C113" s="129"/>
      <c r="D113" s="129"/>
      <c r="E113" s="3672" t="s">
        <v>1440</v>
      </c>
      <c r="F113" s="3672"/>
      <c r="G113" s="3672"/>
      <c r="H113" s="3672"/>
      <c r="I113" s="129"/>
    </row>
    <row r="114" spans="1:27" ht="3.75" customHeight="1">
      <c r="A114" s="1747"/>
      <c r="B114" s="1747"/>
      <c r="C114" s="1747"/>
      <c r="D114" s="1747"/>
      <c r="E114" s="1809"/>
      <c r="F114" s="1809"/>
      <c r="G114" s="1809"/>
      <c r="H114" s="1809"/>
      <c r="I114" s="1747"/>
    </row>
    <row r="115" spans="1:27" ht="18.75" customHeight="1">
      <c r="A115" s="3682" t="s">
        <v>1442</v>
      </c>
      <c r="B115" s="3683"/>
      <c r="C115" s="3683"/>
      <c r="D115" s="3683"/>
      <c r="E115" s="3683"/>
      <c r="F115" s="3683"/>
      <c r="G115" s="3683"/>
      <c r="H115" s="3683"/>
      <c r="I115" s="3684"/>
    </row>
    <row r="116" spans="1:27" ht="27" customHeight="1">
      <c r="A116" s="3638" t="s">
        <v>1443</v>
      </c>
      <c r="B116" s="3673" t="s">
        <v>1444</v>
      </c>
      <c r="C116" s="3673" t="s">
        <v>1445</v>
      </c>
      <c r="D116" s="3686" t="s">
        <v>1446</v>
      </c>
      <c r="E116" s="3687"/>
      <c r="F116" s="3681" t="s">
        <v>1447</v>
      </c>
      <c r="G116" s="3681"/>
      <c r="H116" s="3638" t="s">
        <v>1448</v>
      </c>
      <c r="I116" s="3638"/>
    </row>
    <row r="117" spans="1:27" ht="18.75" customHeight="1">
      <c r="A117" s="3638"/>
      <c r="B117" s="3674"/>
      <c r="C117" s="3674"/>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48955.32</v>
      </c>
      <c r="C118" s="2329">
        <f>M19</f>
        <v>11397.7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8" t="s">
        <v>1452</v>
      </c>
      <c r="B119" s="3638"/>
      <c r="C119" s="3638"/>
      <c r="D119" s="3678" t="e">
        <f ca="1">NUMBERSTRING(INT(D118*10000),2)&amp;"元整"</f>
        <v>#REF!</v>
      </c>
      <c r="E119" s="3680"/>
      <c r="F119" s="3678" t="e">
        <f ca="1">NUMBERSTRING(INT(F118*10000),2)&amp;"元整"</f>
        <v>#REF!</v>
      </c>
      <c r="G119" s="3680"/>
      <c r="H119" s="3678" t="e">
        <f ca="1">NUMBERSTRING(INT(H118*10000),2)&amp;"元整"</f>
        <v>#REF!</v>
      </c>
      <c r="I119" s="3680"/>
    </row>
    <row r="120" spans="1:27" ht="18.75" customHeight="1">
      <c r="A120" s="3702" t="str">
        <f>IF(项目基本情况!B9="房地产市场价值","",MID(E103,3,LEN(E103)-2))</f>
        <v/>
      </c>
      <c r="B120" s="3703"/>
      <c r="C120" s="3704"/>
      <c r="D120" s="3702">
        <f>H103</f>
        <v>0</v>
      </c>
      <c r="E120" s="3703"/>
      <c r="F120" s="3703"/>
      <c r="G120" s="3703"/>
      <c r="H120" s="3703"/>
      <c r="I120" s="370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8" t="s">
        <v>1452</v>
      </c>
      <c r="B121" s="3679"/>
      <c r="C121" s="3680"/>
      <c r="D121" s="3678" t="str">
        <f>IF(D120=0,"零元整",NUMBERSTRING(INT(D120*10000),2)&amp;"元整")</f>
        <v>零元整</v>
      </c>
      <c r="E121" s="3679"/>
      <c r="F121" s="3679"/>
      <c r="G121" s="3679"/>
      <c r="H121" s="3679"/>
      <c r="I121" s="3680"/>
      <c r="AA121" s="725"/>
    </row>
    <row r="122" spans="1:27" ht="18.75" customHeight="1">
      <c r="A122" s="3669" t="str">
        <f>IF(项目基本情况!B9="房地产市场价值","",MID(E107,3,LEN(E107)-2))</f>
        <v/>
      </c>
      <c r="B122" s="3669"/>
      <c r="C122" s="3669"/>
      <c r="D122" s="3702" t="e">
        <f ca="1">H107</f>
        <v>#REF!</v>
      </c>
      <c r="E122" s="3703"/>
      <c r="F122" s="3703"/>
      <c r="G122" s="3703"/>
      <c r="H122" s="3703"/>
      <c r="I122" s="3704"/>
      <c r="AA122" s="725"/>
    </row>
    <row r="123" spans="1:27" ht="18.75" customHeight="1">
      <c r="A123" s="3638" t="s">
        <v>1452</v>
      </c>
      <c r="B123" s="3638"/>
      <c r="C123" s="3638"/>
      <c r="D123" s="3678" t="e">
        <f ca="1">NUMBERSTRING(INT(D122*10000),2)&amp;"元整"</f>
        <v>#REF!</v>
      </c>
      <c r="E123" s="3679"/>
      <c r="F123" s="3679"/>
      <c r="G123" s="3679"/>
      <c r="H123" s="3679"/>
      <c r="I123" s="3680"/>
      <c r="AA123" s="725"/>
    </row>
    <row r="124" spans="1:27" ht="18.75" customHeight="1">
      <c r="A124" s="3669" t="str">
        <f>IF(项目基本情况!B9="房地产市场价值","",MID(E109,3,LEN(E109)-2))</f>
        <v/>
      </c>
      <c r="B124" s="3669"/>
      <c r="C124" s="3669"/>
      <c r="D124" s="3702" t="str">
        <f>H109</f>
        <v>——</v>
      </c>
      <c r="E124" s="3703"/>
      <c r="F124" s="3703"/>
      <c r="G124" s="3703"/>
      <c r="H124" s="3703"/>
      <c r="I124" s="3704"/>
      <c r="AA124" s="725"/>
    </row>
    <row r="125" spans="1:27" ht="18.75" customHeight="1">
      <c r="A125" s="3638" t="s">
        <v>1452</v>
      </c>
      <c r="B125" s="3638"/>
      <c r="C125" s="3638"/>
      <c r="D125" s="3678" t="e">
        <f>NUMBERSTRING(INT(D124*10000),2)&amp;"元整"</f>
        <v>#VALUE!</v>
      </c>
      <c r="E125" s="3679"/>
      <c r="F125" s="3679"/>
      <c r="G125" s="3679"/>
      <c r="H125" s="3679"/>
      <c r="I125" s="3680"/>
      <c r="AA125" s="725"/>
    </row>
    <row r="126" spans="1:27" ht="18.75" customHeight="1">
      <c r="A126" s="3669" t="str">
        <f>IF(项目基本情况!B9="房地产市场价值","",MID(E111,3,LEN(E111)-2))</f>
        <v/>
      </c>
      <c r="B126" s="3669"/>
      <c r="C126" s="3669"/>
      <c r="D126" s="3702" t="str">
        <f>H111</f>
        <v>——</v>
      </c>
      <c r="E126" s="3703"/>
      <c r="F126" s="3703"/>
      <c r="G126" s="3703"/>
      <c r="H126" s="3703"/>
      <c r="I126" s="3704"/>
      <c r="AA126" s="725"/>
    </row>
    <row r="127" spans="1:27" ht="18.75" customHeight="1">
      <c r="A127" s="3638" t="s">
        <v>1452</v>
      </c>
      <c r="B127" s="3638"/>
      <c r="C127" s="3638"/>
      <c r="D127" s="3678" t="e">
        <f>NUMBERSTRING(INT(D126*10000),2)&amp;"元整"</f>
        <v>#VALUE!</v>
      </c>
      <c r="E127" s="3679"/>
      <c r="F127" s="3679"/>
      <c r="G127" s="3679"/>
      <c r="H127" s="3679"/>
      <c r="I127" s="3680"/>
      <c r="AA127" s="725"/>
    </row>
    <row r="128" spans="1:27" ht="21.75" customHeight="1">
      <c r="A128" s="3685" t="s">
        <v>1453</v>
      </c>
      <c r="B128" s="3685"/>
      <c r="C128" s="3685"/>
      <c r="D128" s="3685"/>
      <c r="E128" s="3685"/>
      <c r="F128" s="3685"/>
      <c r="G128" s="3685"/>
      <c r="H128" s="3685"/>
      <c r="I128" s="36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4" t="str">
        <f>项目基本情况!B1</f>
        <v>北京市房地产市场价值预评估</v>
      </c>
      <c r="C37" s="3534"/>
      <c r="D37" s="3534"/>
      <c r="E37" s="3534"/>
      <c r="F37" s="3534"/>
      <c r="G37" s="3534"/>
      <c r="H37" s="3534"/>
      <c r="I37" s="353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康正预评字旭宇号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1" sqref="H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130509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26659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69838</v>
      </c>
      <c r="D5" s="211" t="s">
        <v>1469</v>
      </c>
      <c r="E5" s="212" t="s">
        <v>1470</v>
      </c>
      <c r="F5" s="212" t="s">
        <v>1471</v>
      </c>
      <c r="G5" s="213"/>
    </row>
    <row r="6" spans="1:9" s="214" customFormat="1" ht="13.5" customHeight="1">
      <c r="A6" s="778" t="s">
        <v>1472</v>
      </c>
      <c r="B6" s="215" t="s">
        <v>1473</v>
      </c>
      <c r="C6" s="216">
        <f>基准地价修正!B2</f>
        <v>66821</v>
      </c>
      <c r="D6" s="217"/>
      <c r="E6" s="218"/>
      <c r="F6" s="218"/>
      <c r="G6" s="219"/>
    </row>
    <row r="7" spans="1:9" s="214" customFormat="1" ht="13.5" customHeight="1">
      <c r="A7" s="778" t="s">
        <v>1474</v>
      </c>
      <c r="B7" s="215" t="s">
        <v>1475</v>
      </c>
      <c r="C7" s="220">
        <f>ROUND(C6*F7,0)</f>
        <v>2038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979</v>
      </c>
      <c r="D8" s="222"/>
      <c r="E8" s="220"/>
      <c r="F8" s="221"/>
      <c r="G8" s="1856" t="s">
        <v>3470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3472</v>
      </c>
      <c r="H9" s="1137"/>
      <c r="I9" s="1858" t="s">
        <v>1479</v>
      </c>
    </row>
    <row r="10" spans="1:9" s="214" customFormat="1" ht="13.5" customHeight="1">
      <c r="A10" s="779" t="s">
        <v>356</v>
      </c>
      <c r="B10" s="224" t="s">
        <v>1480</v>
      </c>
      <c r="C10" s="225">
        <f ca="1">ROUND(D10*E10/10000,0)</f>
        <v>979</v>
      </c>
      <c r="D10" s="845">
        <f ca="1">IF(B1="",'数据-汇总表'!E6,IF(INDIRECT("'数据-取费表'!c"&amp;$G$1)="住宅",INDIRECT("'数据-取费表'!s"&amp;$G$1),INDIRECT("'数据-取费表'!k"&amp;$G$1)+INDIRECT("'数据-取费表'!s"&amp;$G$1)))</f>
        <v>48955.32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48955.32</v>
      </c>
      <c r="E19" s="211">
        <f>'数据-取费表'!B31</f>
        <v>200</v>
      </c>
      <c r="F19" s="231"/>
      <c r="G19" s="1856" t="s">
        <v>3471</v>
      </c>
    </row>
    <row r="20" spans="1:7" s="214" customFormat="1" ht="13.5" customHeight="1">
      <c r="A20" s="255" t="s">
        <v>1493</v>
      </c>
      <c r="B20" s="210" t="s">
        <v>1494</v>
      </c>
      <c r="C20" s="232">
        <f>ROUND((C5+C19)*F20,0)</f>
        <v>1397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5975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12822</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12822</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97617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27669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25299</v>
      </c>
      <c r="D34" s="217"/>
      <c r="E34" s="220"/>
      <c r="F34" s="257">
        <f ca="1">IF('数据-取费表'!B24=0,1,IF(B1="",'数据-取费表'!N16,INDIRECT("'数据-取费表'!n"&amp;$G$1)))</f>
        <v>1</v>
      </c>
      <c r="G34" s="219" t="s">
        <v>1526</v>
      </c>
    </row>
    <row r="35" spans="1:7" ht="13.5" customHeight="1">
      <c r="A35" s="780" t="s">
        <v>351</v>
      </c>
      <c r="B35" s="215" t="s">
        <v>1527</v>
      </c>
      <c r="C35" s="220">
        <f ca="1">ROUND(C34*F35,0)</f>
        <v>1012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979</v>
      </c>
      <c r="D37" s="217">
        <f ca="1">D19</f>
        <v>48955.32</v>
      </c>
      <c r="E37" s="249">
        <f>'数据-取费表'!B35</f>
        <v>200</v>
      </c>
      <c r="F37" s="259"/>
      <c r="G37" s="261" t="s">
        <v>1532</v>
      </c>
    </row>
    <row r="38" spans="1:7" ht="13.5" customHeight="1">
      <c r="A38" s="780" t="s">
        <v>354</v>
      </c>
      <c r="B38" s="215" t="s">
        <v>1533</v>
      </c>
      <c r="C38" s="220">
        <f ca="1">ROUND(C34*F38,0)</f>
        <v>379</v>
      </c>
      <c r="D38" s="220"/>
      <c r="E38" s="220"/>
      <c r="F38" s="259">
        <f>'数据-取费表'!B36</f>
        <v>1.4999999999999999E-2</v>
      </c>
      <c r="G38" s="219" t="s">
        <v>1528</v>
      </c>
    </row>
    <row r="39" spans="1:7" s="214" customFormat="1" ht="13.5" customHeight="1">
      <c r="A39" s="255" t="s">
        <v>1534</v>
      </c>
      <c r="B39" s="210" t="s">
        <v>1535</v>
      </c>
      <c r="C39" s="232">
        <f ca="1">ROUND(C33*F20,0)</f>
        <v>553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1171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1148</v>
      </c>
      <c r="D42" s="238"/>
      <c r="E42" s="238"/>
      <c r="F42" s="239"/>
      <c r="G42" s="3718" t="s">
        <v>1544</v>
      </c>
    </row>
    <row r="43" spans="1:7" ht="13.5" customHeight="1">
      <c r="A43" s="780" t="s">
        <v>347</v>
      </c>
      <c r="B43" s="215" t="s">
        <v>1545</v>
      </c>
      <c r="C43" s="238">
        <f ca="1">ROUND(IF('数据-取费表'!B22&lt;=1,C39*F22*'数据-取费表'!B21/2,C39*(POWER((1+F22),'数据-取费表'!B21/2)-1)),0)</f>
        <v>23</v>
      </c>
      <c r="D43" s="238"/>
      <c r="E43" s="238"/>
      <c r="F43" s="239"/>
      <c r="G43" s="3719"/>
    </row>
    <row r="44" spans="1:7" ht="13.5" customHeight="1">
      <c r="A44" s="780" t="s">
        <v>348</v>
      </c>
      <c r="B44" s="215" t="s">
        <v>1546</v>
      </c>
      <c r="C44" s="238">
        <f ca="1">ROUND(IF('数据-取费表'!B22&lt;=1,C40*F22*'数据-取费表'!B21/2,C40*(POWER((1+F22),'数据-取费表'!B21/2)-1)),4)</f>
        <v>8.0000000000000004E-4</v>
      </c>
      <c r="D44" s="238"/>
      <c r="E44" s="238"/>
      <c r="F44" s="239"/>
      <c r="G44" s="3720"/>
    </row>
    <row r="45" spans="1:7" s="214" customFormat="1" ht="13.5" customHeight="1">
      <c r="A45" s="255" t="s">
        <v>1547</v>
      </c>
      <c r="B45" s="244" t="s">
        <v>1513</v>
      </c>
      <c r="C45" s="245">
        <f ca="1">C46</f>
        <v>5080</v>
      </c>
      <c r="D45" s="235">
        <f ca="1">C47</f>
        <v>3.5999999999999999E-3</v>
      </c>
      <c r="E45" s="236" t="s">
        <v>1539</v>
      </c>
      <c r="F45" s="246">
        <f ca="1">F27</f>
        <v>0.18</v>
      </c>
      <c r="G45" s="247" t="s">
        <v>1548</v>
      </c>
    </row>
    <row r="46" spans="1:7" s="214" customFormat="1" ht="13.5" customHeight="1">
      <c r="A46" s="780" t="s">
        <v>346</v>
      </c>
      <c r="B46" s="248" t="s">
        <v>1549</v>
      </c>
      <c r="C46" s="249">
        <f ca="1">ROUND((C33+C39)*F27,0)</f>
        <v>5080</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37377</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32892</v>
      </c>
      <c r="D51" s="232"/>
      <c r="E51" s="232"/>
      <c r="F51" s="264"/>
      <c r="G51" s="234" t="s">
        <v>1560</v>
      </c>
    </row>
    <row r="52" spans="1:7" s="208" customFormat="1" ht="16.5" thickBot="1">
      <c r="A52" s="265" t="s">
        <v>1561</v>
      </c>
      <c r="B52" s="266"/>
      <c r="C52" s="267">
        <f ca="1">C31+C51</f>
        <v>130509</v>
      </c>
      <c r="D52" s="266"/>
      <c r="E52" s="266"/>
      <c r="F52" s="266"/>
      <c r="G52" s="268"/>
    </row>
    <row r="55" spans="1:7" ht="15">
      <c r="B55" s="270" t="s">
        <v>1562</v>
      </c>
      <c r="C55" s="271"/>
    </row>
    <row r="56" spans="1:7">
      <c r="B56" s="273" t="s">
        <v>802</v>
      </c>
      <c r="C56" s="275">
        <f ca="1">1-C57</f>
        <v>0.748</v>
      </c>
    </row>
    <row r="57" spans="1:7">
      <c r="B57" s="273" t="s">
        <v>803</v>
      </c>
      <c r="C57" s="274">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35631.0501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9791064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9791064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9791064</v>
      </c>
      <c r="D10" s="845">
        <f ca="1">IF(B1="",'数据-汇总表'!E6,IF(INDIRECT("'数据-取费表'!c"&amp;$G$1)="住宅",INDIRECT("'数据-取费表'!s"&amp;$G$1),INDIRECT("'数据-取费表'!k"&amp;$G$1)+INDIRECT("'数据-取费表'!s"&amp;$G$1)))</f>
        <v>48955.32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9791064</v>
      </c>
      <c r="D19" s="849">
        <f ca="1">D9+D10</f>
        <v>48955.32</v>
      </c>
      <c r="E19" s="211">
        <f>'数据-取费表'!B31</f>
        <v>200</v>
      </c>
      <c r="F19" s="231"/>
      <c r="G19" s="1856"/>
    </row>
    <row r="20" spans="1:7" s="214" customFormat="1" ht="13.5" customHeight="1">
      <c r="A20" s="255" t="s">
        <v>1574</v>
      </c>
      <c r="B20" s="210" t="s">
        <v>1575</v>
      </c>
      <c r="C20" s="232">
        <f ca="1">ROUND((C5+C19)*F20,0)</f>
        <v>391643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1675295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829521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829521</v>
      </c>
      <c r="D24" s="238"/>
      <c r="E24" s="238"/>
      <c r="F24" s="239"/>
      <c r="G24" s="240" t="s">
        <v>1586</v>
      </c>
    </row>
    <row r="25" spans="1:7" s="214" customFormat="1" ht="24">
      <c r="A25" s="780" t="s">
        <v>1476</v>
      </c>
      <c r="B25" s="215" t="s">
        <v>1587</v>
      </c>
      <c r="C25" s="1128">
        <f ca="1">ROUND(IF('数据-取费表'!B22&lt;=1,C20*F22*'数据-取费表'!B22/2,C20*(POWER((1+F22),'数据-取费表'!B22/2)-1)),0)</f>
        <v>16253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3595279</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3595279</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27371078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276701696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252995860</v>
      </c>
      <c r="D34" s="217"/>
      <c r="E34" s="220"/>
      <c r="F34" s="257"/>
      <c r="G34" s="219"/>
    </row>
    <row r="35" spans="1:7" ht="13.5" customHeight="1">
      <c r="A35" s="780" t="s">
        <v>351</v>
      </c>
      <c r="B35" s="215" t="s">
        <v>1527</v>
      </c>
      <c r="C35" s="220">
        <f ca="1">ROUND(C34*F35,0)</f>
        <v>10119834</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9791064</v>
      </c>
      <c r="D37" s="217">
        <f ca="1">D19</f>
        <v>48955.32</v>
      </c>
      <c r="E37" s="249">
        <f>'数据-取费表'!B35</f>
        <v>200</v>
      </c>
      <c r="F37" s="259"/>
      <c r="G37" s="261"/>
    </row>
    <row r="38" spans="1:7" ht="13.5" customHeight="1">
      <c r="A38" s="780" t="s">
        <v>354</v>
      </c>
      <c r="B38" s="215" t="s">
        <v>1533</v>
      </c>
      <c r="C38" s="220">
        <f ca="1">ROUND(C34*F38,0)</f>
        <v>3794938</v>
      </c>
      <c r="D38" s="220"/>
      <c r="E38" s="220"/>
      <c r="F38" s="259">
        <f>'数据-取费表'!B36</f>
        <v>1.4999999999999999E-2</v>
      </c>
      <c r="G38" s="219" t="s">
        <v>1528</v>
      </c>
    </row>
    <row r="39" spans="1:7" s="214" customFormat="1" ht="13.5" customHeight="1">
      <c r="A39" s="255" t="s">
        <v>1534</v>
      </c>
      <c r="B39" s="210" t="s">
        <v>1535</v>
      </c>
      <c r="C39" s="232">
        <f ca="1">ROUND(C33*F20,0)</f>
        <v>5534034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11712782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11483120</v>
      </c>
      <c r="D42" s="238"/>
      <c r="E42" s="238"/>
      <c r="F42" s="239"/>
      <c r="G42" s="3718" t="s">
        <v>1591</v>
      </c>
    </row>
    <row r="43" spans="1:7" ht="13.5" customHeight="1">
      <c r="A43" s="780" t="s">
        <v>347</v>
      </c>
      <c r="B43" s="215" t="s">
        <v>1545</v>
      </c>
      <c r="C43" s="238">
        <f ca="1">ROUND(IF('数据-取费表'!B22&lt;=1,C39*F22*'数据-取费表'!B20/2,C39*(POWER((1+F22),'数据-取费表'!B20/2)-1)),0)</f>
        <v>229662</v>
      </c>
      <c r="D43" s="238"/>
      <c r="E43" s="238"/>
      <c r="F43" s="239"/>
      <c r="G43" s="3719"/>
    </row>
    <row r="44" spans="1:7" ht="13.5" customHeight="1">
      <c r="A44" s="780" t="s">
        <v>348</v>
      </c>
      <c r="B44" s="215" t="s">
        <v>1546</v>
      </c>
      <c r="C44" s="238">
        <f ca="1">ROUND(IF('数据-取费表'!B22&lt;=1,C40*F22*'数据-取费表'!B20/2,C40*(POWER((1+F22),'数据-取费表'!B20/2)-1)),4)</f>
        <v>8.0000000000000004E-4</v>
      </c>
      <c r="D44" s="238"/>
      <c r="E44" s="238"/>
      <c r="F44" s="239"/>
      <c r="G44" s="3720"/>
    </row>
    <row r="45" spans="1:7" s="214" customFormat="1" ht="13.5" customHeight="1">
      <c r="A45" s="255" t="s">
        <v>1547</v>
      </c>
      <c r="B45" s="244" t="s">
        <v>1513</v>
      </c>
      <c r="C45" s="245">
        <f ca="1">C46</f>
        <v>50802431</v>
      </c>
      <c r="D45" s="235">
        <f ca="1">C47</f>
        <v>3.5999999999999999E-3</v>
      </c>
      <c r="E45" s="236" t="s">
        <v>1539</v>
      </c>
      <c r="F45" s="246">
        <f ca="1">F27</f>
        <v>0.18</v>
      </c>
      <c r="G45" s="247" t="s">
        <v>1548</v>
      </c>
    </row>
    <row r="46" spans="1:7" s="214" customFormat="1" ht="13.5" customHeight="1">
      <c r="A46" s="780" t="s">
        <v>346</v>
      </c>
      <c r="B46" s="248" t="s">
        <v>1549</v>
      </c>
      <c r="C46" s="249">
        <f ca="1">ROUND((C33+C39)*F27,0)</f>
        <v>50802431</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373794799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328939423</v>
      </c>
      <c r="D51" s="232"/>
      <c r="E51" s="232"/>
      <c r="F51" s="264"/>
      <c r="G51" s="234" t="s">
        <v>1560</v>
      </c>
    </row>
    <row r="52" spans="1:7" s="208" customFormat="1" ht="16.5" thickBot="1">
      <c r="A52" s="265" t="s">
        <v>1561</v>
      </c>
      <c r="B52" s="266"/>
      <c r="C52" s="267">
        <f ca="1">C31+C51</f>
        <v>356310501</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48955.32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48955.32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979</v>
      </c>
      <c r="D20" s="846">
        <f ca="1">IF(C1="",'数据-汇总表'!E6,IF(INDIRECT("'数据-取费表'!c"&amp;$K$1)="住宅",INDIRECT("'数据-取费表'!s"&amp;$K$1),INDIRECT("'数据-取费表'!k"&amp;$K$1)+INDIRECT("'数据-取费表'!s"&amp;$K$1)))</f>
        <v>48955.32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N24" sqref="N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3441</v>
      </c>
      <c r="D1" s="1362" t="s">
        <v>43</v>
      </c>
      <c r="E1" s="1363" t="s">
        <v>678</v>
      </c>
      <c r="F1" s="1062">
        <f ca="1">J53</f>
        <v>21.67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178568</v>
      </c>
      <c r="C2" s="1387" t="s">
        <v>805</v>
      </c>
      <c r="D2" s="1387"/>
      <c r="E2" s="1388"/>
      <c r="F2" s="1389"/>
      <c r="G2" s="2705"/>
      <c r="H2" s="2694"/>
      <c r="I2" s="2694"/>
      <c r="J2" s="2694"/>
      <c r="K2" s="2695"/>
      <c r="L2" s="2694"/>
      <c r="M2" s="2694"/>
    </row>
    <row r="3" spans="1:37" ht="18" customHeight="1" thickBot="1">
      <c r="A3" s="1390" t="s">
        <v>806</v>
      </c>
      <c r="B3" s="1391">
        <f ca="1">IF(ISERROR(B2*10000/F43),0,ROUND(B2*10000/F43,0))</f>
        <v>43739</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16078</v>
      </c>
      <c r="D5" s="1364" t="s">
        <v>693</v>
      </c>
      <c r="E5" s="1071"/>
      <c r="F5" s="1072"/>
      <c r="G5" s="1384"/>
      <c r="H5" s="299">
        <v>1</v>
      </c>
      <c r="I5" s="300" t="s">
        <v>692</v>
      </c>
      <c r="J5" s="1070">
        <f ca="1">J6+J10+J12</f>
        <v>14871</v>
      </c>
      <c r="K5" s="1364" t="s">
        <v>693</v>
      </c>
      <c r="L5" s="1071"/>
      <c r="M5" s="1072"/>
    </row>
    <row r="6" spans="1:37" ht="18" customHeight="1">
      <c r="A6" s="1069" t="s">
        <v>398</v>
      </c>
      <c r="B6" s="3723" t="s">
        <v>694</v>
      </c>
      <c r="C6" s="1074">
        <f ca="1">ROUND(F6*F8*F7*(1-F9)/10000,0)</f>
        <v>16020</v>
      </c>
      <c r="D6" s="155" t="s">
        <v>2109</v>
      </c>
      <c r="E6" s="302" t="s">
        <v>696</v>
      </c>
      <c r="F6" s="303">
        <f ca="1">INDIRECT("'数据-取费表'!u"&amp;$G$1)</f>
        <v>327</v>
      </c>
      <c r="G6" s="1384"/>
      <c r="H6" s="1069" t="s">
        <v>398</v>
      </c>
      <c r="I6" s="3723" t="s">
        <v>694</v>
      </c>
      <c r="J6" s="301">
        <f ca="1">ROUND(M6*M8*M7*(1-M9)/10000,0)</f>
        <v>14815</v>
      </c>
      <c r="K6" s="155" t="s">
        <v>2108</v>
      </c>
      <c r="L6" s="302" t="s">
        <v>696</v>
      </c>
      <c r="M6" s="303">
        <f ca="1">INDIRECT("'数据-取费表'!z"&amp;$G$1)</f>
        <v>336</v>
      </c>
    </row>
    <row r="7" spans="1:37" ht="18" customHeight="1">
      <c r="A7" s="1073"/>
      <c r="B7" s="3724"/>
      <c r="C7" s="1075"/>
      <c r="D7" s="307"/>
      <c r="E7" s="1076" t="s">
        <v>697</v>
      </c>
      <c r="F7" s="303">
        <f ca="1">IF(INDIRECT("'数据-取费表'!ah"&amp;$G$1)="",INDIRECT("'数据-取费表'!k"&amp;$G$1),INDIRECT("'数据-取费表'!ah"&amp;$G$1))</f>
        <v>40826.120000000003</v>
      </c>
      <c r="G7" s="1384"/>
      <c r="H7" s="304"/>
      <c r="I7" s="3724"/>
      <c r="J7" s="306"/>
      <c r="K7" s="307"/>
      <c r="L7" s="302" t="s">
        <v>697</v>
      </c>
      <c r="M7" s="303">
        <f ca="1">F7</f>
        <v>40826.120000000003</v>
      </c>
    </row>
    <row r="8" spans="1:37" ht="18" customHeight="1">
      <c r="A8" s="304"/>
      <c r="B8" s="3724"/>
      <c r="C8" s="306"/>
      <c r="D8" s="307"/>
      <c r="E8" s="302" t="s">
        <v>698</v>
      </c>
      <c r="F8" s="303">
        <f ca="1">INDIRECT("'数据-取费表'!ai"&amp;$G$1)</f>
        <v>12</v>
      </c>
      <c r="G8" s="1384"/>
      <c r="H8" s="304"/>
      <c r="I8" s="3724"/>
      <c r="J8" s="306"/>
      <c r="K8" s="307"/>
      <c r="L8" s="302" t="s">
        <v>698</v>
      </c>
      <c r="M8" s="303">
        <f ca="1">INDIRECT("'数据-取费表'!ai"&amp;$G$1)</f>
        <v>12</v>
      </c>
    </row>
    <row r="9" spans="1:37" ht="18" customHeight="1">
      <c r="A9" s="304"/>
      <c r="B9" s="3725"/>
      <c r="C9" s="306"/>
      <c r="D9" s="307"/>
      <c r="E9" s="302" t="s">
        <v>699</v>
      </c>
      <c r="F9" s="312">
        <f ca="1">INDIRECT("'数据-取费表'!w"&amp;$G$1)</f>
        <v>0</v>
      </c>
      <c r="G9" s="1384"/>
      <c r="H9" s="304"/>
      <c r="I9" s="3725"/>
      <c r="J9" s="306"/>
      <c r="K9" s="307"/>
      <c r="L9" s="313" t="s">
        <v>699</v>
      </c>
      <c r="M9" s="314">
        <f ca="1">INDIRECT("'数据-取费表'!ab"&amp;$G$1)</f>
        <v>0.1</v>
      </c>
    </row>
    <row r="10" spans="1:37" ht="18" customHeight="1">
      <c r="A10" s="1069" t="s">
        <v>402</v>
      </c>
      <c r="B10" s="1365" t="s">
        <v>700</v>
      </c>
      <c r="C10" s="316">
        <f ca="1">ROUND(IF(F10="押一",C6/12*F11,IF(F10="押二",C6/12*2*F11,IF(F10="押三",C6/12*3*F11,C11*F11))),0)</f>
        <v>58</v>
      </c>
      <c r="D10" s="1366" t="s">
        <v>2117</v>
      </c>
      <c r="E10" s="313" t="s">
        <v>701</v>
      </c>
      <c r="F10" s="1116" t="s">
        <v>3456</v>
      </c>
      <c r="G10" s="1384"/>
      <c r="H10" s="1069" t="s">
        <v>402</v>
      </c>
      <c r="I10" s="1365" t="s">
        <v>700</v>
      </c>
      <c r="J10" s="301">
        <f ca="1">ROUND(IF(M10="押一",J6/12*M11,IF(M10="押二",J6/12*2*M11,IF(M10="押三",J6/12*3*M11,J11*M11))),0)</f>
        <v>56</v>
      </c>
      <c r="K10" s="1366" t="s">
        <v>2116</v>
      </c>
      <c r="L10" s="313" t="s">
        <v>701</v>
      </c>
      <c r="M10" s="1116" t="s">
        <v>4047</v>
      </c>
    </row>
    <row r="11" spans="1:37" ht="18" customHeight="1">
      <c r="A11" s="308"/>
      <c r="B11" s="1367" t="s">
        <v>679</v>
      </c>
      <c r="C11" s="3499">
        <f>面积明细!Z26/10000</f>
        <v>3858.0742530000002</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29622</v>
      </c>
      <c r="D13" s="1081" t="s">
        <v>705</v>
      </c>
      <c r="E13" s="1081" t="s">
        <v>706</v>
      </c>
      <c r="F13" s="1082">
        <f ca="1">INDIRECT("'数据-取费表'!y"&amp;$G$1)</f>
        <v>0.88</v>
      </c>
      <c r="G13" s="1384"/>
      <c r="H13" s="1079">
        <v>2</v>
      </c>
      <c r="I13" s="1080" t="s">
        <v>704</v>
      </c>
      <c r="J13" s="1068">
        <f ca="1">ROUND(J14*J15,0)</f>
        <v>27602</v>
      </c>
      <c r="K13" s="1087" t="s">
        <v>705</v>
      </c>
      <c r="L13" s="1392"/>
      <c r="M13" s="1393"/>
    </row>
    <row r="14" spans="1:37" ht="18" customHeight="1">
      <c r="A14" s="982" t="s">
        <v>397</v>
      </c>
      <c r="B14" s="302" t="s">
        <v>707</v>
      </c>
      <c r="C14" s="318">
        <f ca="1">INDIRECT("'数据-取费表'!m"&amp;$G$1)+INDIRECT("'数据-取费表'!t"&amp;$G$1)</f>
        <v>22454</v>
      </c>
      <c r="D14" s="1345" t="s">
        <v>708</v>
      </c>
      <c r="E14" s="1342"/>
      <c r="F14" s="319"/>
      <c r="G14" s="1384"/>
      <c r="H14" s="982" t="s">
        <v>398</v>
      </c>
      <c r="I14" s="302" t="s">
        <v>709</v>
      </c>
      <c r="J14" s="21">
        <f ca="1">C29</f>
        <v>33661</v>
      </c>
      <c r="K14" s="12"/>
      <c r="L14" s="807"/>
      <c r="M14" s="808"/>
    </row>
    <row r="15" spans="1:37" s="1397" customFormat="1" ht="18" customHeight="1" thickBot="1">
      <c r="A15" s="982" t="s">
        <v>399</v>
      </c>
      <c r="B15" s="302" t="s">
        <v>710</v>
      </c>
      <c r="C15" s="21">
        <f ca="1">ROUND(C14*F15,0)</f>
        <v>898</v>
      </c>
      <c r="D15" s="320" t="s">
        <v>711</v>
      </c>
      <c r="E15" s="320" t="s">
        <v>712</v>
      </c>
      <c r="F15" s="321">
        <f>'数据-取费表'!B33</f>
        <v>0.04</v>
      </c>
      <c r="G15" s="1396"/>
      <c r="H15" s="1089" t="s">
        <v>402</v>
      </c>
      <c r="I15" s="1090" t="s">
        <v>706</v>
      </c>
      <c r="J15" s="1099">
        <f ca="1">INDIRECT("'数据-取费表'!ad"&amp;$G$1)</f>
        <v>0.82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2670</v>
      </c>
      <c r="K16" s="1087" t="s">
        <v>715</v>
      </c>
      <c r="L16" s="1088"/>
      <c r="M16" s="1072"/>
    </row>
    <row r="17" spans="1:37" s="1397" customFormat="1" ht="18" customHeight="1">
      <c r="A17" s="982" t="s">
        <v>681</v>
      </c>
      <c r="B17" s="302" t="s">
        <v>716</v>
      </c>
      <c r="C17" s="21">
        <f ca="1">ROUND(F17*(F43+INDIRECT("'数据-取费表'!S"&amp;$G$1))/10000,0)</f>
        <v>817</v>
      </c>
      <c r="D17" s="302" t="s">
        <v>717</v>
      </c>
      <c r="E17" s="302" t="s">
        <v>718</v>
      </c>
      <c r="F17" s="23">
        <f>'数据-取费表'!B35</f>
        <v>200</v>
      </c>
      <c r="G17" s="1396"/>
      <c r="H17" s="982" t="s">
        <v>398</v>
      </c>
      <c r="I17" s="302" t="s">
        <v>719</v>
      </c>
      <c r="J17" s="2316">
        <f ca="1">ROUND(IF(AND(项目基本情况!B11="自然人",项目基本情况!B10="北京市"),J6*M17/(1+'数据-取费表'!C42),J18+J19+J20),2)</f>
        <v>2500.38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337</v>
      </c>
      <c r="D18" s="302" t="s">
        <v>711</v>
      </c>
      <c r="E18" s="302" t="s">
        <v>712</v>
      </c>
      <c r="F18" s="322">
        <f>'数据-取费表'!B36</f>
        <v>1.4999999999999999E-2</v>
      </c>
      <c r="G18" s="1396"/>
      <c r="H18" s="982" t="s">
        <v>397</v>
      </c>
      <c r="I18" s="302" t="s">
        <v>723</v>
      </c>
      <c r="J18" s="21">
        <f ca="1">ROUND(J6*M18/(1+'数据-取费表'!C42),2)</f>
        <v>790.13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24506</v>
      </c>
      <c r="D19" s="131" t="s">
        <v>726</v>
      </c>
      <c r="E19" s="1360"/>
      <c r="F19" s="23"/>
      <c r="G19" s="1384"/>
      <c r="H19" s="982" t="s">
        <v>399</v>
      </c>
      <c r="I19" s="302" t="s">
        <v>727</v>
      </c>
      <c r="J19" s="21">
        <f ca="1">IF(K19="按租金收入计税",ROUND(J6*M19/(1+'数据-取费表'!C42),2),ROUND(C29*M19*0.7,2))</f>
        <v>1693.14</v>
      </c>
      <c r="K19" s="1370" t="s">
        <v>3343</v>
      </c>
      <c r="L19" s="302" t="s">
        <v>712</v>
      </c>
      <c r="M19" s="322">
        <f>IF(K19="按租金收入计税",'数据-取费表'!B51,'数据-取费表'!B50)</f>
        <v>0.12</v>
      </c>
    </row>
    <row r="20" spans="1:37" s="1397" customFormat="1" ht="18" customHeight="1">
      <c r="A20" s="982" t="s">
        <v>402</v>
      </c>
      <c r="B20" s="302" t="s">
        <v>728</v>
      </c>
      <c r="C20" s="21">
        <f ca="1">ROUND(C19*F20,0)</f>
        <v>490</v>
      </c>
      <c r="D20" s="323" t="s">
        <v>729</v>
      </c>
      <c r="E20" s="302" t="s">
        <v>712</v>
      </c>
      <c r="F20" s="322">
        <f>'数据-取费表'!B37</f>
        <v>0.02</v>
      </c>
      <c r="G20" s="1396"/>
      <c r="H20" s="982" t="s">
        <v>680</v>
      </c>
      <c r="I20" s="155" t="s">
        <v>730</v>
      </c>
      <c r="J20" s="22">
        <f ca="1">ROUND(M20*M21/10000,2)</f>
        <v>17.11</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9505.07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67.319999999999993</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27.6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74.36</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12201</v>
      </c>
      <c r="K25" s="1095" t="s">
        <v>753</v>
      </c>
      <c r="L25" s="1096"/>
      <c r="M25" s="1097"/>
    </row>
    <row r="26" spans="1:37">
      <c r="A26" s="982" t="s">
        <v>397</v>
      </c>
      <c r="B26" s="302" t="s">
        <v>754</v>
      </c>
      <c r="C26" s="21">
        <f ca="1">ROUND((C19+C20)*F26,0)</f>
        <v>4999</v>
      </c>
      <c r="D26" s="323" t="s">
        <v>755</v>
      </c>
      <c r="E26" s="313" t="s">
        <v>756</v>
      </c>
      <c r="F26" s="312">
        <f ca="1">INDIRECT("'数据-取费表'!q"&amp;$G$1)</f>
        <v>0.2</v>
      </c>
      <c r="G26" s="1384"/>
      <c r="H26" s="299" t="s">
        <v>395</v>
      </c>
      <c r="I26" s="300" t="s">
        <v>757</v>
      </c>
      <c r="J26" s="301">
        <f ca="1">IF(J5&lt;&gt;0,ROUND(J25*(1-((1+M28)/(1+M26))^M27)/(M26-M28),0),0)</f>
        <v>165915</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18.170000000000002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33661</v>
      </c>
      <c r="D29" s="1092"/>
      <c r="E29" s="1090"/>
      <c r="F29" s="1093"/>
      <c r="G29" s="1396"/>
      <c r="H29" s="334" t="s">
        <v>396</v>
      </c>
      <c r="I29" s="335" t="s">
        <v>768</v>
      </c>
      <c r="J29" s="336">
        <f ca="1">ROUND(J26/(1+F40)^F41,0)</f>
        <v>137563</v>
      </c>
      <c r="K29" s="337" t="s">
        <v>769</v>
      </c>
      <c r="L29" s="338"/>
      <c r="M29" s="339">
        <f ca="1">INDIRECT("'数据-取费表'!k"&amp;$G$1)</f>
        <v>40826.120000000003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2880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2702.37</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854.4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1830.86</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17.11</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9505.07</v>
      </c>
      <c r="G35" s="1384"/>
      <c r="H35" s="2696"/>
      <c r="I35" s="1398"/>
      <c r="J35" s="1399"/>
      <c r="K35" s="2700"/>
      <c r="L35" s="2699"/>
      <c r="M35" s="2699"/>
    </row>
    <row r="36" spans="1:18" ht="18" customHeight="1">
      <c r="A36" s="1102" t="s">
        <v>402</v>
      </c>
      <c r="B36" s="302" t="s">
        <v>738</v>
      </c>
      <c r="C36" s="21">
        <f ca="1">ROUND(C29*F36,2)</f>
        <v>67.319999999999993</v>
      </c>
      <c r="D36" s="1344" t="s">
        <v>771</v>
      </c>
      <c r="E36" s="302" t="s">
        <v>712</v>
      </c>
      <c r="F36" s="328">
        <f ca="1">INDIRECT("'数据-取费表'!Ak"&amp;$G$1)</f>
        <v>2E-3</v>
      </c>
      <c r="G36" s="1384"/>
      <c r="H36" s="2699"/>
      <c r="I36" s="1398"/>
      <c r="J36" s="1399"/>
      <c r="K36" s="2543"/>
      <c r="L36" s="2699"/>
      <c r="M36" s="2699"/>
    </row>
    <row r="37" spans="1:18" ht="18" customHeight="1">
      <c r="A37" s="982" t="s">
        <v>437</v>
      </c>
      <c r="B37" s="302" t="s">
        <v>742</v>
      </c>
      <c r="C37" s="21">
        <f ca="1">ROUND(C13*F37,2)</f>
        <v>29.62</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80.39</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13198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41005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10044</v>
      </c>
      <c r="D43" s="337" t="s">
        <v>777</v>
      </c>
      <c r="E43" s="338" t="s">
        <v>778</v>
      </c>
      <c r="F43" s="339">
        <f ca="1">INDIRECT("'数据-取费表'!k"&amp;$G$1)</f>
        <v>40826.120000000003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-41359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f ca="1">INDIRECT("'数据-取费表'!d"&amp;$G$1)</f>
        <v>40</v>
      </c>
      <c r="M47" s="1380" t="str">
        <f>IF(ISNUMBER(FIND("住宅",C1)),"住宅","非住宅")</f>
        <v>非住宅</v>
      </c>
      <c r="O47" s="1418" t="s">
        <v>403</v>
      </c>
      <c r="P47" s="1419" t="s">
        <v>817</v>
      </c>
      <c r="Q47" s="1420">
        <f ca="1">C40+J29</f>
        <v>178568</v>
      </c>
      <c r="R47" s="1420" t="s">
        <v>818</v>
      </c>
    </row>
    <row r="48" spans="1:18" s="1384" customFormat="1" ht="28.5" thickBot="1">
      <c r="A48" s="1110" t="s">
        <v>438</v>
      </c>
      <c r="B48" s="300" t="s">
        <v>692</v>
      </c>
      <c r="C48" s="1359">
        <f ca="1">C49+C53+C55</f>
        <v>0</v>
      </c>
      <c r="D48" s="1112"/>
      <c r="E48" s="1113"/>
      <c r="F48" s="962"/>
      <c r="G48" s="722"/>
      <c r="H48" s="723"/>
      <c r="I48" s="1421" t="s">
        <v>819</v>
      </c>
      <c r="J48" s="1422" t="s">
        <v>3455</v>
      </c>
      <c r="K48" s="1423" t="s">
        <v>820</v>
      </c>
      <c r="L48" s="1424">
        <f ca="1">INDIRECT("'数据-取费表'!f"&amp;$G$1)</f>
        <v>21.67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33661</v>
      </c>
      <c r="R49" s="1420" t="s">
        <v>818</v>
      </c>
    </row>
    <row r="50" spans="1:18" s="1384" customFormat="1" ht="13.5" thickBot="1">
      <c r="A50" s="976"/>
      <c r="B50" s="979"/>
      <c r="C50" s="1118"/>
      <c r="D50" s="953"/>
      <c r="E50" s="1056" t="s">
        <v>697</v>
      </c>
      <c r="F50" s="1057">
        <f ca="1">F7</f>
        <v>40826.120000000003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201099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21.67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21.67</v>
      </c>
      <c r="K53" s="3721" t="s">
        <v>837</v>
      </c>
      <c r="L53" s="3722"/>
      <c r="O53" s="1418" t="s">
        <v>409</v>
      </c>
      <c r="P53" s="1419" t="s">
        <v>838</v>
      </c>
      <c r="Q53" s="1420">
        <f ca="1">Q47+Q48</f>
        <v>178568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29622</v>
      </c>
      <c r="D56" s="1447"/>
      <c r="E56" s="1448"/>
      <c r="F56" s="1440"/>
      <c r="I56" s="1449" t="s">
        <v>842</v>
      </c>
      <c r="J56" s="1450" t="s">
        <v>3438</v>
      </c>
      <c r="K56" s="1421" t="s">
        <v>843</v>
      </c>
      <c r="L56" s="1424" t="str">
        <f ca="1">IF(L48&lt;J51,"——",L48-J53)</f>
        <v>——</v>
      </c>
      <c r="O56" s="1418" t="s">
        <v>403</v>
      </c>
      <c r="P56" s="1419" t="s">
        <v>817</v>
      </c>
      <c r="Q56" s="1420">
        <f ca="1">C40+J29</f>
        <v>178568</v>
      </c>
      <c r="R56" s="1420" t="s">
        <v>818</v>
      </c>
    </row>
    <row r="57" spans="1:18" s="1384" customFormat="1" ht="24.75" thickBot="1">
      <c r="A57" s="1451"/>
      <c r="B57" s="950" t="s">
        <v>767</v>
      </c>
      <c r="C57" s="238">
        <f ca="1">C29</f>
        <v>33661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17.11</v>
      </c>
      <c r="D62" s="965" t="s">
        <v>786</v>
      </c>
      <c r="E62" s="950" t="s">
        <v>787</v>
      </c>
      <c r="F62" s="325">
        <f t="shared" si="0"/>
        <v>18</v>
      </c>
      <c r="I62" s="1462" t="s">
        <v>858</v>
      </c>
      <c r="J62" s="1463" t="s">
        <v>859</v>
      </c>
      <c r="K62" s="1463" t="s">
        <v>860</v>
      </c>
      <c r="L62" s="1463" t="s">
        <v>861</v>
      </c>
      <c r="M62" s="1464" t="s">
        <v>862</v>
      </c>
      <c r="O62" s="1418" t="s">
        <v>409</v>
      </c>
      <c r="P62" s="1419" t="s">
        <v>863</v>
      </c>
      <c r="Q62" s="1420">
        <f ca="1">Q56+Q57</f>
        <v>178568</v>
      </c>
      <c r="R62" s="1420" t="s">
        <v>410</v>
      </c>
    </row>
    <row r="63" spans="1:18" s="1384" customFormat="1" ht="13.5" thickBot="1">
      <c r="A63" s="326"/>
      <c r="B63" s="956"/>
      <c r="C63" s="26"/>
      <c r="D63" s="966"/>
      <c r="E63" s="950" t="s">
        <v>788</v>
      </c>
      <c r="F63" s="303">
        <f t="shared" ca="1" si="0"/>
        <v>9505.07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67.319999999999993</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29.62</v>
      </c>
      <c r="D65" s="964" t="s">
        <v>743</v>
      </c>
      <c r="E65" s="950" t="s">
        <v>744</v>
      </c>
      <c r="F65" s="330">
        <f t="shared" ca="1" si="0"/>
        <v>1E-3</v>
      </c>
      <c r="I65" s="1462" t="s">
        <v>867</v>
      </c>
      <c r="J65" s="1463">
        <v>40</v>
      </c>
      <c r="K65" s="1463">
        <v>30</v>
      </c>
      <c r="L65" s="1463">
        <v>50</v>
      </c>
      <c r="M65" s="1465">
        <v>0.02</v>
      </c>
      <c r="O65" s="1418" t="s">
        <v>403</v>
      </c>
      <c r="P65" s="1419" t="s">
        <v>868</v>
      </c>
      <c r="Q65" s="1420">
        <f ca="1">C40+J29</f>
        <v>178568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-114</v>
      </c>
      <c r="D67" s="963" t="s">
        <v>753</v>
      </c>
      <c r="E67" s="968"/>
      <c r="F67" s="969"/>
      <c r="O67" s="1428" t="s">
        <v>405</v>
      </c>
      <c r="P67" s="1419" t="s">
        <v>850</v>
      </c>
      <c r="Q67" s="1466">
        <f ca="1">L51</f>
        <v>201099</v>
      </c>
      <c r="R67" s="1420" t="s">
        <v>870</v>
      </c>
    </row>
    <row r="68" spans="1:18" s="1384" customFormat="1" ht="16.5" thickBot="1">
      <c r="A68" s="947" t="s">
        <v>395</v>
      </c>
      <c r="B68" s="948" t="s">
        <v>774</v>
      </c>
      <c r="C68" s="301">
        <f ca="1">ROUND(C67*(1-((1+F70)/(1+F68))^F69)/(F68-F70),0)</f>
        <v>-354</v>
      </c>
      <c r="D68" s="965" t="s">
        <v>758</v>
      </c>
      <c r="E68" s="950" t="s">
        <v>759</v>
      </c>
      <c r="F68" s="312">
        <f ca="1">F40</f>
        <v>5.5E-2</v>
      </c>
      <c r="O68" s="1428" t="s">
        <v>406</v>
      </c>
      <c r="P68" s="1467" t="s">
        <v>871</v>
      </c>
      <c r="Q68" s="1420">
        <f ca="1">ROUND(Q69-Q70*Q71,0)</f>
        <v>11124</v>
      </c>
      <c r="R68" s="1420" t="s">
        <v>414</v>
      </c>
    </row>
    <row r="69" spans="1:18" s="1384" customFormat="1" ht="13.5" thickBot="1">
      <c r="A69" s="951"/>
      <c r="B69" s="952"/>
      <c r="C69" s="306"/>
      <c r="D69" s="970" t="s">
        <v>762</v>
      </c>
      <c r="E69" s="950" t="s">
        <v>763</v>
      </c>
      <c r="F69" s="333">
        <f ca="1">F41</f>
        <v>3.5</v>
      </c>
      <c r="O69" s="1428" t="s">
        <v>411</v>
      </c>
      <c r="P69" s="1467" t="s">
        <v>872</v>
      </c>
      <c r="Q69" s="1420">
        <f ca="1">C39</f>
        <v>13198</v>
      </c>
      <c r="R69" s="1420" t="s">
        <v>818</v>
      </c>
    </row>
    <row r="70" spans="1:18" s="1384" customFormat="1" ht="13.5" thickBot="1">
      <c r="A70" s="954"/>
      <c r="B70" s="955"/>
      <c r="C70" s="310"/>
      <c r="D70" s="966"/>
      <c r="E70" s="950" t="s">
        <v>766</v>
      </c>
      <c r="F70" s="1054"/>
      <c r="O70" s="1428" t="s">
        <v>412</v>
      </c>
      <c r="P70" s="1467" t="s">
        <v>873</v>
      </c>
      <c r="Q70" s="1420">
        <f ca="1">C13</f>
        <v>29622</v>
      </c>
      <c r="R70" s="1420" t="s">
        <v>818</v>
      </c>
    </row>
    <row r="71" spans="1:18" s="1384" customFormat="1" ht="13.5" thickBot="1">
      <c r="A71" s="971" t="s">
        <v>396</v>
      </c>
      <c r="B71" s="972" t="s">
        <v>776</v>
      </c>
      <c r="C71" s="336">
        <f ca="1">ROUND(C68*10000/F71,0)</f>
        <v>-87</v>
      </c>
      <c r="D71" s="973" t="s">
        <v>777</v>
      </c>
      <c r="E71" s="974" t="s">
        <v>778</v>
      </c>
      <c r="F71" s="339">
        <f ca="1">F43</f>
        <v>40826.120000000003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2074</v>
      </c>
      <c r="D75" s="1384"/>
      <c r="E75" s="1384"/>
      <c r="F75" s="1384"/>
      <c r="K75" s="1402"/>
      <c r="L75" s="1384"/>
      <c r="O75" s="1418" t="s">
        <v>409</v>
      </c>
      <c r="P75" s="1419" t="s">
        <v>838</v>
      </c>
      <c r="Q75" s="1420">
        <f ca="1">Q65+Q66</f>
        <v>178568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0.27800000000000002</v>
      </c>
    </row>
    <row r="83" spans="2:3">
      <c r="B83" s="273" t="s">
        <v>803</v>
      </c>
      <c r="C83" s="274">
        <f ca="1">ROUND(C13/C40,3)</f>
        <v>0.72199999999999998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3" t="s">
        <v>694</v>
      </c>
      <c r="C6" s="1074">
        <f ca="1">ROUND(F6*F8*F7*(1-F9),0)</f>
        <v>0</v>
      </c>
      <c r="D6" s="155" t="s">
        <v>2106</v>
      </c>
      <c r="E6" s="302" t="s">
        <v>696</v>
      </c>
      <c r="F6" s="303">
        <f ca="1">INDIRECT("'数据-取费表'!u"&amp;$G$1)</f>
        <v>0</v>
      </c>
      <c r="G6" s="1384"/>
      <c r="H6" s="1069" t="s">
        <v>398</v>
      </c>
      <c r="I6" s="3723" t="s">
        <v>694</v>
      </c>
      <c r="J6" s="301">
        <f ca="1">ROUND(M6*M8*M7*(1-M9),0)</f>
        <v>0</v>
      </c>
      <c r="K6" s="1376" t="s">
        <v>2107</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0</v>
      </c>
      <c r="G7" s="1384"/>
      <c r="H7" s="304"/>
      <c r="I7" s="3724"/>
      <c r="J7" s="306"/>
      <c r="K7" s="307"/>
      <c r="L7" s="302" t="s">
        <v>697</v>
      </c>
      <c r="M7" s="303">
        <f ca="1">F7</f>
        <v>0</v>
      </c>
    </row>
    <row r="8" spans="1:37" ht="18" customHeight="1">
      <c r="A8" s="304"/>
      <c r="B8" s="3724"/>
      <c r="C8" s="306"/>
      <c r="D8" s="307"/>
      <c r="E8" s="302" t="s">
        <v>698</v>
      </c>
      <c r="F8" s="303">
        <f ca="1">INDIRECT("'数据-取费表'!ai"&amp;$G$1)</f>
        <v>0</v>
      </c>
      <c r="G8" s="1384"/>
      <c r="H8" s="304"/>
      <c r="I8" s="3724"/>
      <c r="J8" s="306"/>
      <c r="K8" s="307"/>
      <c r="L8" s="302" t="s">
        <v>698</v>
      </c>
      <c r="M8" s="303">
        <f ca="1">INDIRECT("'数据-取费表'!ai"&amp;$G$1)</f>
        <v>0</v>
      </c>
    </row>
    <row r="9" spans="1:37" ht="18" customHeight="1">
      <c r="A9" s="304"/>
      <c r="B9" s="3725"/>
      <c r="C9" s="306"/>
      <c r="D9" s="307"/>
      <c r="E9" s="302" t="s">
        <v>699</v>
      </c>
      <c r="F9" s="312">
        <f ca="1">INDIRECT("'数据-取费表'!w"&amp;$G$1)</f>
        <v>0</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21" t="s">
        <v>837</v>
      </c>
      <c r="L53" s="372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732" t="s">
        <v>2320</v>
      </c>
      <c r="K2" s="373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34" t="s">
        <v>2330</v>
      </c>
      <c r="K3" s="373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34" t="s">
        <v>2332</v>
      </c>
      <c r="K4" s="373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40" t="s">
        <v>2336</v>
      </c>
      <c r="B6" s="3741"/>
      <c r="C6" s="3742"/>
      <c r="D6" s="2869"/>
      <c r="E6" s="2870"/>
      <c r="F6" s="2871"/>
      <c r="G6" s="2872"/>
      <c r="H6" s="2847"/>
      <c r="I6" s="2848"/>
      <c r="J6" s="3726">
        <v>1</v>
      </c>
      <c r="K6" s="372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26"/>
      <c r="K7" s="372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43" t="s">
        <v>2350</v>
      </c>
      <c r="C8" s="3744"/>
      <c r="D8" s="2888" t="s">
        <v>2351</v>
      </c>
      <c r="E8" s="2889" t="s">
        <v>2352</v>
      </c>
      <c r="F8" s="2890" t="s">
        <v>2353</v>
      </c>
      <c r="G8" s="2891"/>
      <c r="H8" s="2847"/>
      <c r="I8" s="2848"/>
      <c r="J8" s="3726"/>
      <c r="K8" s="372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43" t="s">
        <v>2356</v>
      </c>
      <c r="C9" s="3744"/>
      <c r="D9" s="2888">
        <f>ROUND(D6*E9,0)</f>
        <v>0</v>
      </c>
      <c r="E9" s="2892"/>
      <c r="F9" s="2893" t="s">
        <v>2357</v>
      </c>
      <c r="G9" s="2872"/>
      <c r="H9" s="2847"/>
      <c r="I9" s="2848"/>
      <c r="J9" s="3726"/>
      <c r="K9" s="3728"/>
      <c r="L9" s="2882" t="s">
        <v>2358</v>
      </c>
      <c r="M9" s="2883"/>
      <c r="N9" s="2859"/>
      <c r="O9" s="2884"/>
      <c r="P9" s="2884"/>
      <c r="Q9" s="2885">
        <v>365</v>
      </c>
      <c r="R9" s="2886">
        <f t="shared" si="0"/>
        <v>0</v>
      </c>
      <c r="S9" s="2840"/>
      <c r="T9" s="2840"/>
      <c r="U9" s="2840"/>
      <c r="V9" s="2848"/>
    </row>
    <row r="10" spans="1:22" s="2852" customFormat="1" ht="13.15" customHeight="1">
      <c r="A10" s="2887">
        <v>2</v>
      </c>
      <c r="B10" s="3743" t="s">
        <v>2359</v>
      </c>
      <c r="C10" s="3744"/>
      <c r="D10" s="2888">
        <f>ROUND(D6*E10,0)</f>
        <v>0</v>
      </c>
      <c r="E10" s="2892"/>
      <c r="F10" s="2893" t="s">
        <v>2360</v>
      </c>
      <c r="G10" s="2872"/>
      <c r="H10" s="2847"/>
      <c r="I10" s="2848"/>
      <c r="J10" s="3726"/>
      <c r="K10" s="3728"/>
      <c r="L10" s="2882" t="s">
        <v>2361</v>
      </c>
      <c r="M10" s="2883"/>
      <c r="N10" s="2859"/>
      <c r="O10" s="2884"/>
      <c r="P10" s="2884"/>
      <c r="Q10" s="2885">
        <v>365</v>
      </c>
      <c r="R10" s="2886">
        <f t="shared" si="0"/>
        <v>0</v>
      </c>
      <c r="S10" s="2840"/>
      <c r="T10" s="2840"/>
      <c r="U10" s="2840"/>
      <c r="V10" s="2848"/>
    </row>
    <row r="11" spans="1:22" s="2852" customFormat="1" ht="13.15" customHeight="1">
      <c r="A11" s="2887">
        <v>3</v>
      </c>
      <c r="B11" s="3743" t="s">
        <v>2362</v>
      </c>
      <c r="C11" s="3744"/>
      <c r="D11" s="2888">
        <f>D12+D14+D15+D16</f>
        <v>0</v>
      </c>
      <c r="E11" s="2894" t="e">
        <f>D11/D6</f>
        <v>#DIV/0!</v>
      </c>
      <c r="F11" s="2890"/>
      <c r="G11" s="2891"/>
      <c r="H11" s="2847"/>
      <c r="I11" s="2848"/>
      <c r="J11" s="3726"/>
      <c r="K11" s="372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36" t="s">
        <v>2365</v>
      </c>
      <c r="C12" s="3737"/>
      <c r="D12" s="2896">
        <f>ROUND(D13*1.2%*(1-30%),0)</f>
        <v>0</v>
      </c>
      <c r="E12" s="2897">
        <v>1.2E-2</v>
      </c>
      <c r="F12" s="2890" t="s">
        <v>2366</v>
      </c>
      <c r="G12" s="2891"/>
      <c r="H12" s="2847"/>
      <c r="I12" s="2848"/>
      <c r="J12" s="3726"/>
      <c r="K12" s="372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26"/>
      <c r="K13" s="372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36" t="s">
        <v>2371</v>
      </c>
      <c r="C14" s="3737"/>
      <c r="D14" s="2896">
        <f>ROUND(E14*B5/10000,0)</f>
        <v>0</v>
      </c>
      <c r="E14" s="2885"/>
      <c r="F14" s="2890" t="s">
        <v>2372</v>
      </c>
      <c r="G14" s="2891"/>
      <c r="H14" s="2847"/>
      <c r="I14" s="2848"/>
      <c r="J14" s="3726"/>
      <c r="K14" s="372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36" t="s">
        <v>2375</v>
      </c>
      <c r="C15" s="3737"/>
      <c r="D15" s="2896">
        <f>ROUND(D6*E15,0)</f>
        <v>0</v>
      </c>
      <c r="E15" s="2897">
        <v>5.5E-2</v>
      </c>
      <c r="F15" s="2890" t="s">
        <v>2376</v>
      </c>
      <c r="G15" s="2872"/>
      <c r="H15" s="2847"/>
      <c r="I15" s="2848"/>
      <c r="J15" s="3726">
        <v>2</v>
      </c>
      <c r="K15" s="372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36" t="s">
        <v>2384</v>
      </c>
      <c r="C16" s="3737"/>
      <c r="D16" s="2907">
        <f>D6*E16</f>
        <v>0</v>
      </c>
      <c r="E16" s="2908"/>
      <c r="F16" s="2893" t="s">
        <v>2385</v>
      </c>
      <c r="G16" s="2872"/>
      <c r="H16" s="2847"/>
      <c r="I16" s="2848"/>
      <c r="J16" s="3726"/>
      <c r="K16" s="372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38" t="s">
        <v>2387</v>
      </c>
      <c r="C17" s="3739"/>
      <c r="D17" s="2910">
        <f>ROUND(D6*E17,0)</f>
        <v>0</v>
      </c>
      <c r="E17" s="2911"/>
      <c r="F17" s="2912" t="s">
        <v>2388</v>
      </c>
      <c r="G17" s="2872"/>
      <c r="H17" s="2847"/>
      <c r="I17" s="2848"/>
      <c r="J17" s="3726"/>
      <c r="K17" s="372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26"/>
      <c r="K18" s="372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26"/>
      <c r="K19" s="372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6">
        <v>3</v>
      </c>
      <c r="K20" s="372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26"/>
      <c r="K21" s="372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26"/>
      <c r="K22" s="372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26"/>
      <c r="K23" s="372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26"/>
      <c r="K24" s="372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3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3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32" t="s">
        <v>2320</v>
      </c>
      <c r="K32" s="373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34" t="s">
        <v>2330</v>
      </c>
      <c r="K33" s="373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34" t="s">
        <v>2332</v>
      </c>
      <c r="K34" s="373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26">
        <v>1</v>
      </c>
      <c r="K36" s="372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26"/>
      <c r="K37" s="372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6"/>
      <c r="K38" s="372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26"/>
      <c r="K39" s="372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26"/>
      <c r="K40" s="372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3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E10" sqref="E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3475</v>
      </c>
      <c r="D1" s="1362" t="s">
        <v>43</v>
      </c>
      <c r="E1" s="1363" t="s">
        <v>678</v>
      </c>
      <c r="F1" s="1062">
        <f ca="1">J53</f>
        <v>21.67</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1305</v>
      </c>
      <c r="C2" s="1387" t="s">
        <v>805</v>
      </c>
      <c r="D2" s="1387"/>
      <c r="E2" s="1388"/>
      <c r="F2" s="1389"/>
      <c r="G2" s="2705"/>
      <c r="H2" s="2694"/>
      <c r="I2" s="2694"/>
      <c r="J2" s="2694"/>
      <c r="K2" s="2695"/>
      <c r="L2" s="2694"/>
      <c r="M2" s="2694"/>
    </row>
    <row r="3" spans="1:37" ht="18" customHeight="1" thickBot="1">
      <c r="A3" s="1390" t="s">
        <v>806</v>
      </c>
      <c r="B3" s="1391">
        <f ca="1">IF(ISERROR(B2*10000/F43),0,ROUND(B2*10000/F43,0))</f>
        <v>1605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173</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173</v>
      </c>
      <c r="D6" s="155" t="s">
        <v>2109</v>
      </c>
      <c r="E6" s="302" t="s">
        <v>696</v>
      </c>
      <c r="F6" s="303">
        <f ca="1">INDIRECT("'数据-取费表'!u"&amp;$G$1)</f>
        <v>1000</v>
      </c>
      <c r="G6" s="1384"/>
      <c r="H6" s="1069" t="s">
        <v>398</v>
      </c>
      <c r="I6" s="3723" t="s">
        <v>694</v>
      </c>
      <c r="J6" s="301">
        <f ca="1">ROUND(M6*M8*M7*(1-M9)/10000,0)</f>
        <v>0</v>
      </c>
      <c r="K6" s="155" t="s">
        <v>2108</v>
      </c>
      <c r="L6" s="302" t="s">
        <v>696</v>
      </c>
      <c r="M6" s="303">
        <f ca="1">INDIRECT("'数据-取费表'!z"&amp;$G$1)</f>
        <v>0</v>
      </c>
    </row>
    <row r="7" spans="1:37" ht="18" customHeight="1">
      <c r="A7" s="1073"/>
      <c r="B7" s="3724"/>
      <c r="C7" s="1075"/>
      <c r="D7" s="307"/>
      <c r="E7" s="3485" t="s">
        <v>697</v>
      </c>
      <c r="F7" s="303">
        <f ca="1">IF(INDIRECT("'数据-取费表'!ah"&amp;$G$1)="",INDIRECT("'数据-取费表'!k"&amp;$G$1),INDIRECT("'数据-取费表'!ah"&amp;$G$1))</f>
        <v>152</v>
      </c>
      <c r="G7" s="1384"/>
      <c r="H7" s="304"/>
      <c r="I7" s="3724"/>
      <c r="J7" s="306"/>
      <c r="K7" s="307"/>
      <c r="L7" s="302" t="s">
        <v>697</v>
      </c>
      <c r="M7" s="303">
        <f ca="1">F7</f>
        <v>152</v>
      </c>
    </row>
    <row r="8" spans="1:37" ht="18" customHeight="1">
      <c r="A8" s="304"/>
      <c r="B8" s="3724"/>
      <c r="C8" s="306"/>
      <c r="D8" s="307"/>
      <c r="E8" s="302" t="s">
        <v>698</v>
      </c>
      <c r="F8" s="303">
        <f ca="1">INDIRECT("'数据-取费表'!ai"&amp;$G$1)</f>
        <v>12</v>
      </c>
      <c r="G8" s="1384"/>
      <c r="H8" s="304"/>
      <c r="I8" s="3724"/>
      <c r="J8" s="306"/>
      <c r="K8" s="307"/>
      <c r="L8" s="302" t="s">
        <v>698</v>
      </c>
      <c r="M8" s="303">
        <f ca="1">INDIRECT("'数据-取费表'!ai"&amp;$G$1)</f>
        <v>12</v>
      </c>
    </row>
    <row r="9" spans="1:37" ht="18" customHeight="1">
      <c r="A9" s="304"/>
      <c r="B9" s="3725"/>
      <c r="C9" s="306"/>
      <c r="D9" s="307"/>
      <c r="E9" s="302" t="s">
        <v>699</v>
      </c>
      <c r="F9" s="312">
        <f ca="1">INDIRECT("'数据-取费表'!w"&amp;$G$1)</f>
        <v>0.05</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349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3510</v>
      </c>
      <c r="D13" s="3482" t="s">
        <v>705</v>
      </c>
      <c r="E13" s="3482"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2845</v>
      </c>
      <c r="D14" s="3488" t="s">
        <v>708</v>
      </c>
      <c r="E14" s="3487"/>
      <c r="F14" s="319"/>
      <c r="G14" s="1384"/>
      <c r="H14" s="982" t="s">
        <v>398</v>
      </c>
      <c r="I14" s="302" t="s">
        <v>709</v>
      </c>
      <c r="J14" s="21">
        <f ca="1">C29</f>
        <v>3989</v>
      </c>
      <c r="K14" s="3484"/>
      <c r="L14" s="807"/>
      <c r="M14" s="808"/>
    </row>
    <row r="15" spans="1:37" s="1397" customFormat="1" ht="18" customHeight="1" thickBot="1">
      <c r="A15" s="982" t="s">
        <v>399</v>
      </c>
      <c r="B15" s="302" t="s">
        <v>710</v>
      </c>
      <c r="C15" s="21">
        <f ca="1">ROUND(C14*F15,0)</f>
        <v>114</v>
      </c>
      <c r="D15" s="3483" t="s">
        <v>711</v>
      </c>
      <c r="E15" s="3483"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43</v>
      </c>
      <c r="K16" s="1087" t="s">
        <v>715</v>
      </c>
      <c r="L16" s="3490"/>
      <c r="M16" s="1072"/>
    </row>
    <row r="17" spans="1:37" s="1397" customFormat="1" ht="18" customHeight="1">
      <c r="A17" s="982" t="s">
        <v>681</v>
      </c>
      <c r="B17" s="302" t="s">
        <v>716</v>
      </c>
      <c r="C17" s="21">
        <f ca="1">ROUND(F17*(F43+INDIRECT("'数据-取费表'!S"&amp;$G$1))/10000,0)</f>
        <v>163</v>
      </c>
      <c r="D17" s="302" t="s">
        <v>717</v>
      </c>
      <c r="E17" s="302" t="s">
        <v>718</v>
      </c>
      <c r="F17" s="23">
        <f>'数据-取费表'!B35</f>
        <v>200</v>
      </c>
      <c r="G17" s="1396"/>
      <c r="H17" s="982" t="s">
        <v>398</v>
      </c>
      <c r="I17" s="302" t="s">
        <v>719</v>
      </c>
      <c r="J17" s="2316">
        <f ca="1">ROUND(IF(AND(项目基本情况!B11="自然人",项目基本情况!B10="北京市"),J6*M17/(1+'数据-取费表'!C42),J18+J19+J20),2)</f>
        <v>3.41</v>
      </c>
      <c r="K17" s="3488" t="s">
        <v>720</v>
      </c>
      <c r="L17" s="348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v>
      </c>
      <c r="D18" s="302" t="s">
        <v>711</v>
      </c>
      <c r="E18" s="302" t="s">
        <v>712</v>
      </c>
      <c r="F18" s="322">
        <f>'数据-取费表'!B36</f>
        <v>1.4999999999999999E-2</v>
      </c>
      <c r="G18" s="1396"/>
      <c r="H18" s="982" t="s">
        <v>397</v>
      </c>
      <c r="I18" s="302" t="s">
        <v>723</v>
      </c>
      <c r="J18" s="21">
        <f ca="1">ROUND(J6*M18/(1+'数据-取费表'!C42),2)</f>
        <v>0</v>
      </c>
      <c r="K18" s="348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3165</v>
      </c>
      <c r="D19" s="131" t="s">
        <v>726</v>
      </c>
      <c r="E19" s="3492"/>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63</v>
      </c>
      <c r="D20" s="2427" t="s">
        <v>729</v>
      </c>
      <c r="E20" s="302" t="s">
        <v>712</v>
      </c>
      <c r="F20" s="322">
        <f>'数据-取费表'!B37</f>
        <v>0.02</v>
      </c>
      <c r="G20" s="1396"/>
      <c r="H20" s="982" t="s">
        <v>680</v>
      </c>
      <c r="I20" s="155" t="s">
        <v>730</v>
      </c>
      <c r="J20" s="22">
        <f ca="1">ROUND(M20*M21/10000,2)</f>
        <v>3.41</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0.02</v>
      </c>
      <c r="G21" s="1396"/>
      <c r="H21" s="326"/>
      <c r="I21" s="311"/>
      <c r="J21" s="26"/>
      <c r="K21" s="327"/>
      <c r="L21" s="302" t="s">
        <v>736</v>
      </c>
      <c r="M21" s="303">
        <f ca="1">INDIRECT("'数据-取费表'!r"&amp;$G$1)</f>
        <v>1892.63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2"/>
      <c r="F22" s="23"/>
      <c r="G22" s="1384"/>
      <c r="H22" s="982" t="s">
        <v>402</v>
      </c>
      <c r="I22" s="302" t="s">
        <v>738</v>
      </c>
      <c r="J22" s="21">
        <f ca="1">ROUND(J14*M22,2)</f>
        <v>39.89</v>
      </c>
      <c r="K22" s="3489"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89"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92"/>
      <c r="F25" s="23"/>
      <c r="G25" s="1384"/>
      <c r="H25" s="1079" t="s">
        <v>394</v>
      </c>
      <c r="I25" s="1094" t="s">
        <v>752</v>
      </c>
      <c r="J25" s="310">
        <f ca="1">J5-J16</f>
        <v>-43</v>
      </c>
      <c r="K25" s="1095" t="s">
        <v>753</v>
      </c>
      <c r="L25" s="1096"/>
      <c r="M25" s="1097"/>
    </row>
    <row r="26" spans="1:37">
      <c r="A26" s="982" t="s">
        <v>397</v>
      </c>
      <c r="B26" s="302" t="s">
        <v>754</v>
      </c>
      <c r="C26" s="21">
        <f ca="1">ROUND((C19+C20)*F26,0)</f>
        <v>323</v>
      </c>
      <c r="D26" s="2427"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7" t="s">
        <v>761</v>
      </c>
      <c r="E27" s="3483"/>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3989</v>
      </c>
      <c r="D29" s="1092"/>
      <c r="E29" s="1090"/>
      <c r="F29" s="1093"/>
      <c r="G29" s="1396"/>
      <c r="H29" s="334" t="s">
        <v>396</v>
      </c>
      <c r="I29" s="335" t="s">
        <v>768</v>
      </c>
      <c r="J29" s="336">
        <f ca="1">ROUND(J26/(1+F40)^F41,0)</f>
        <v>0</v>
      </c>
      <c r="K29" s="337" t="s">
        <v>769</v>
      </c>
      <c r="L29" s="338"/>
      <c r="M29" s="339">
        <f ca="1">INDIRECT("'数据-取费表'!k"&amp;$G$1)</f>
        <v>8129.2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3490"/>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32.409999999999997</v>
      </c>
      <c r="D31" s="3488" t="s">
        <v>720</v>
      </c>
      <c r="E31" s="3489"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9.23</v>
      </c>
      <c r="D32" s="3489"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19.77</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3.41</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1892.63</v>
      </c>
      <c r="G35" s="1384"/>
      <c r="H35" s="2696"/>
      <c r="I35" s="1398"/>
      <c r="J35" s="1399"/>
      <c r="K35" s="2700"/>
      <c r="L35" s="2699"/>
      <c r="M35" s="2699"/>
    </row>
    <row r="36" spans="1:18" ht="18" customHeight="1">
      <c r="A36" s="1102" t="s">
        <v>402</v>
      </c>
      <c r="B36" s="302" t="s">
        <v>738</v>
      </c>
      <c r="C36" s="21">
        <f ca="1">ROUND(C29*F36,2)</f>
        <v>39.89</v>
      </c>
      <c r="D36" s="3489" t="s">
        <v>771</v>
      </c>
      <c r="E36" s="302" t="s">
        <v>712</v>
      </c>
      <c r="F36" s="328">
        <f ca="1">INDIRECT("'数据-取费表'!Ak"&amp;$G$1)</f>
        <v>0.01</v>
      </c>
      <c r="G36" s="1384"/>
      <c r="H36" s="2699">
        <f ca="1">(C36+C37+C38)*10000/F7/12</f>
        <v>266.39254385964909</v>
      </c>
      <c r="I36" s="1398"/>
      <c r="J36" s="1399"/>
      <c r="K36" s="2543"/>
      <c r="L36" s="2699"/>
      <c r="M36" s="2699"/>
    </row>
    <row r="37" spans="1:18" ht="18" customHeight="1">
      <c r="A37" s="982" t="s">
        <v>437</v>
      </c>
      <c r="B37" s="302" t="s">
        <v>742</v>
      </c>
      <c r="C37" s="21">
        <f ca="1">ROUND(C13*F37,2)</f>
        <v>3.51</v>
      </c>
      <c r="D37" s="3489"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5.19</v>
      </c>
      <c r="D38" s="1092" t="s">
        <v>748</v>
      </c>
      <c r="E38" s="1090" t="s">
        <v>744</v>
      </c>
      <c r="F38" s="1086">
        <f ca="1">INDIRECT("'数据-取费表'!Am"&amp;$G$1)</f>
        <v>0.03</v>
      </c>
      <c r="G38" s="1384"/>
      <c r="H38" s="2699"/>
      <c r="I38" s="1398"/>
      <c r="J38" s="1399"/>
      <c r="K38" s="2703"/>
      <c r="L38" s="2699"/>
      <c r="M38" s="2699"/>
    </row>
    <row r="39" spans="1:18" ht="24.6" customHeight="1" thickTop="1">
      <c r="A39" s="1079" t="s">
        <v>394</v>
      </c>
      <c r="B39" s="1094" t="s">
        <v>752</v>
      </c>
      <c r="C39" s="310">
        <f ca="1">C5-C30</f>
        <v>92</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1305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21.67</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1605</v>
      </c>
      <c r="D43" s="337" t="s">
        <v>777</v>
      </c>
      <c r="E43" s="338" t="s">
        <v>778</v>
      </c>
      <c r="F43" s="339">
        <f ca="1">INDIRECT("'数据-取费表'!k"&amp;$G$1)</f>
        <v>8129.2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-1879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f ca="1">INDIRECT("'数据-取费表'!d"&amp;$G$1)</f>
        <v>50</v>
      </c>
      <c r="M47" s="1380" t="str">
        <f>IF(ISNUMBER(FIND("住宅",C1)),"住宅","非住宅")</f>
        <v>非住宅</v>
      </c>
      <c r="O47" s="1418" t="s">
        <v>403</v>
      </c>
      <c r="P47" s="1419" t="s">
        <v>817</v>
      </c>
      <c r="Q47" s="1420">
        <f ca="1">C40+J29</f>
        <v>1305</v>
      </c>
      <c r="R47" s="1420" t="s">
        <v>818</v>
      </c>
    </row>
    <row r="48" spans="1:18" s="1384" customFormat="1" ht="28.5" thickBot="1">
      <c r="A48" s="1110" t="s">
        <v>438</v>
      </c>
      <c r="B48" s="300" t="s">
        <v>692</v>
      </c>
      <c r="C48" s="3491">
        <f ca="1">C49+C53+C55</f>
        <v>0</v>
      </c>
      <c r="D48" s="1112"/>
      <c r="E48" s="1113"/>
      <c r="F48" s="962"/>
      <c r="G48" s="722"/>
      <c r="H48" s="723"/>
      <c r="I48" s="1421" t="s">
        <v>819</v>
      </c>
      <c r="J48" s="1422" t="s">
        <v>3455</v>
      </c>
      <c r="K48" s="1423" t="s">
        <v>820</v>
      </c>
      <c r="L48" s="1424">
        <f ca="1">INDIRECT("'数据-取费表'!f"&amp;$G$1)</f>
        <v>21.67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3989</v>
      </c>
      <c r="R49" s="1420" t="s">
        <v>818</v>
      </c>
    </row>
    <row r="50" spans="1:18" s="1384" customFormat="1" ht="13.5" thickBot="1">
      <c r="A50" s="976"/>
      <c r="B50" s="979"/>
      <c r="C50" s="1118"/>
      <c r="D50" s="953"/>
      <c r="E50" s="1056" t="s">
        <v>697</v>
      </c>
      <c r="F50" s="1057">
        <f ca="1">F7</f>
        <v>152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-2778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21.67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21.67</v>
      </c>
      <c r="K53" s="3721" t="s">
        <v>837</v>
      </c>
      <c r="L53" s="3722"/>
      <c r="O53" s="1418" t="s">
        <v>409</v>
      </c>
      <c r="P53" s="1419" t="s">
        <v>838</v>
      </c>
      <c r="Q53" s="1420">
        <f ca="1">Q47+Q48</f>
        <v>1305</v>
      </c>
      <c r="R53" s="1420" t="s">
        <v>410</v>
      </c>
    </row>
    <row r="54" spans="1:18" s="1384" customFormat="1" ht="13.5" thickBot="1">
      <c r="A54" s="1153"/>
      <c r="B54" s="1367" t="s">
        <v>679</v>
      </c>
      <c r="C54" s="959"/>
      <c r="D54" s="1366"/>
      <c r="E54" s="348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86"/>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3510</v>
      </c>
      <c r="D56" s="1447"/>
      <c r="E56" s="1448"/>
      <c r="F56" s="1440"/>
      <c r="I56" s="1449" t="s">
        <v>842</v>
      </c>
      <c r="J56" s="1450" t="s">
        <v>3438</v>
      </c>
      <c r="K56" s="1421" t="s">
        <v>843</v>
      </c>
      <c r="L56" s="1424" t="str">
        <f ca="1">IF(L48&lt;J51,"——",L48-J53)</f>
        <v>——</v>
      </c>
      <c r="O56" s="1418" t="s">
        <v>403</v>
      </c>
      <c r="P56" s="1419" t="s">
        <v>817</v>
      </c>
      <c r="Q56" s="1420">
        <f ca="1">C40+J29</f>
        <v>1305</v>
      </c>
      <c r="R56" s="1420" t="s">
        <v>818</v>
      </c>
    </row>
    <row r="57" spans="1:18" s="1384" customFormat="1" ht="24.75" thickBot="1">
      <c r="A57" s="1451"/>
      <c r="B57" s="950" t="s">
        <v>767</v>
      </c>
      <c r="C57" s="238">
        <f ca="1">C29</f>
        <v>3989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3.41</v>
      </c>
      <c r="D62" s="965" t="s">
        <v>731</v>
      </c>
      <c r="E62" s="950" t="s">
        <v>787</v>
      </c>
      <c r="F62" s="325">
        <f t="shared" si="0"/>
        <v>18</v>
      </c>
      <c r="I62" s="1462" t="s">
        <v>858</v>
      </c>
      <c r="J62" s="1463" t="s">
        <v>859</v>
      </c>
      <c r="K62" s="1463" t="s">
        <v>860</v>
      </c>
      <c r="L62" s="1463" t="s">
        <v>861</v>
      </c>
      <c r="M62" s="1464" t="s">
        <v>862</v>
      </c>
      <c r="O62" s="1418" t="s">
        <v>409</v>
      </c>
      <c r="P62" s="1419" t="s">
        <v>863</v>
      </c>
      <c r="Q62" s="1420">
        <f ca="1">Q56+Q57</f>
        <v>1305</v>
      </c>
      <c r="R62" s="1420" t="s">
        <v>410</v>
      </c>
    </row>
    <row r="63" spans="1:18" s="1384" customFormat="1" ht="13.5" thickBot="1">
      <c r="A63" s="326"/>
      <c r="B63" s="956"/>
      <c r="C63" s="26"/>
      <c r="D63" s="966"/>
      <c r="E63" s="950" t="s">
        <v>788</v>
      </c>
      <c r="F63" s="303">
        <f t="shared" ca="1" si="0"/>
        <v>1892.63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39.89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3.51</v>
      </c>
      <c r="D65" s="964" t="s">
        <v>743</v>
      </c>
      <c r="E65" s="950" t="s">
        <v>744</v>
      </c>
      <c r="F65" s="330">
        <f t="shared" ca="1" si="0"/>
        <v>1E-3</v>
      </c>
      <c r="I65" s="1462" t="s">
        <v>867</v>
      </c>
      <c r="J65" s="1463">
        <v>40</v>
      </c>
      <c r="K65" s="1463">
        <v>30</v>
      </c>
      <c r="L65" s="1463">
        <v>50</v>
      </c>
      <c r="M65" s="1465">
        <v>0.02</v>
      </c>
      <c r="O65" s="1418" t="s">
        <v>403</v>
      </c>
      <c r="P65" s="1419" t="s">
        <v>868</v>
      </c>
      <c r="Q65" s="1420">
        <f ca="1">C40+J29</f>
        <v>1305</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-46</v>
      </c>
      <c r="D67" s="963" t="s">
        <v>753</v>
      </c>
      <c r="E67" s="968"/>
      <c r="F67" s="969"/>
      <c r="O67" s="1428" t="s">
        <v>405</v>
      </c>
      <c r="P67" s="1419" t="s">
        <v>850</v>
      </c>
      <c r="Q67" s="1466">
        <f ca="1">L51</f>
        <v>-2778</v>
      </c>
      <c r="R67" s="1420" t="s">
        <v>870</v>
      </c>
    </row>
    <row r="68" spans="1:18" s="1384" customFormat="1" ht="16.5" thickBot="1">
      <c r="A68" s="947" t="s">
        <v>395</v>
      </c>
      <c r="B68" s="948" t="s">
        <v>774</v>
      </c>
      <c r="C68" s="301">
        <f ca="1">ROUND(C67*(1-((1+F70)/(1+F68))^F69)/(F68-F70),0)</f>
        <v>-574</v>
      </c>
      <c r="D68" s="965" t="s">
        <v>758</v>
      </c>
      <c r="E68" s="950" t="s">
        <v>759</v>
      </c>
      <c r="F68" s="312">
        <f ca="1">F40</f>
        <v>5.5E-2</v>
      </c>
      <c r="O68" s="1428" t="s">
        <v>406</v>
      </c>
      <c r="P68" s="1467" t="s">
        <v>871</v>
      </c>
      <c r="Q68" s="1420">
        <f ca="1">ROUND(Q69-Q70*Q71,0)</f>
        <v>-154</v>
      </c>
      <c r="R68" s="1420" t="s">
        <v>414</v>
      </c>
    </row>
    <row r="69" spans="1:18" s="1384" customFormat="1" ht="13.5" thickBot="1">
      <c r="A69" s="951"/>
      <c r="B69" s="952"/>
      <c r="C69" s="306"/>
      <c r="D69" s="970" t="s">
        <v>762</v>
      </c>
      <c r="E69" s="950" t="s">
        <v>763</v>
      </c>
      <c r="F69" s="333">
        <f ca="1">F41</f>
        <v>21.67</v>
      </c>
      <c r="O69" s="1428" t="s">
        <v>411</v>
      </c>
      <c r="P69" s="1467" t="s">
        <v>872</v>
      </c>
      <c r="Q69" s="1420">
        <f ca="1">C39</f>
        <v>92</v>
      </c>
      <c r="R69" s="1420" t="s">
        <v>818</v>
      </c>
    </row>
    <row r="70" spans="1:18" s="1384" customFormat="1" ht="13.5" thickBot="1">
      <c r="A70" s="954"/>
      <c r="B70" s="955"/>
      <c r="C70" s="310"/>
      <c r="D70" s="966"/>
      <c r="E70" s="950" t="s">
        <v>766</v>
      </c>
      <c r="F70" s="1054"/>
      <c r="O70" s="1428" t="s">
        <v>412</v>
      </c>
      <c r="P70" s="1467" t="s">
        <v>873</v>
      </c>
      <c r="Q70" s="1420">
        <f ca="1">C13</f>
        <v>3510</v>
      </c>
      <c r="R70" s="1420" t="s">
        <v>818</v>
      </c>
    </row>
    <row r="71" spans="1:18" s="1384" customFormat="1" ht="13.5" thickBot="1">
      <c r="A71" s="971" t="s">
        <v>396</v>
      </c>
      <c r="B71" s="972" t="s">
        <v>776</v>
      </c>
      <c r="C71" s="336">
        <f ca="1">ROUND(C68*10000/F71,0)</f>
        <v>-706</v>
      </c>
      <c r="D71" s="973" t="s">
        <v>777</v>
      </c>
      <c r="E71" s="974" t="s">
        <v>778</v>
      </c>
      <c r="F71" s="339">
        <f ca="1">F43</f>
        <v>8129.2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246</v>
      </c>
      <c r="D75" s="1384"/>
      <c r="E75" s="1384"/>
      <c r="F75" s="1384"/>
      <c r="K75" s="1402"/>
      <c r="L75" s="1384"/>
      <c r="O75" s="1418" t="s">
        <v>409</v>
      </c>
      <c r="P75" s="1419" t="s">
        <v>838</v>
      </c>
      <c r="Q75" s="1420">
        <f ca="1">Q65+Q66</f>
        <v>1305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-1.6739999999999999</v>
      </c>
    </row>
    <row r="80" spans="1:18">
      <c r="B80" s="340" t="s">
        <v>800</v>
      </c>
      <c r="C80" s="274">
        <f ca="1">ROUND(C75/C39,3)</f>
        <v>2.6739999999999999</v>
      </c>
    </row>
    <row r="81" spans="2:3">
      <c r="B81" s="270" t="s">
        <v>801</v>
      </c>
      <c r="C81" s="238"/>
    </row>
    <row r="82" spans="2:3">
      <c r="B82" s="273" t="s">
        <v>802</v>
      </c>
      <c r="C82" s="275">
        <f ca="1">1-C83</f>
        <v>-1.69</v>
      </c>
    </row>
    <row r="83" spans="2:3">
      <c r="B83" s="273" t="s">
        <v>803</v>
      </c>
      <c r="C83" s="274">
        <f ca="1">ROUND(C13/C40,3)</f>
        <v>2.69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179873</v>
      </c>
      <c r="C2" s="1872" t="s">
        <v>1651</v>
      </c>
      <c r="D2" s="1873" t="s">
        <v>1652</v>
      </c>
      <c r="E2" s="2606">
        <f>SUM(E6:E13)</f>
        <v>48955.32</v>
      </c>
      <c r="F2" s="2706"/>
      <c r="G2" s="1489"/>
      <c r="H2" s="1489"/>
      <c r="I2" s="1489"/>
      <c r="J2" s="1489"/>
      <c r="K2" s="1489"/>
      <c r="L2" s="1489"/>
      <c r="M2" s="1489"/>
      <c r="N2" s="1489"/>
      <c r="O2" s="1489"/>
      <c r="P2" s="1489"/>
      <c r="Q2" s="1489"/>
      <c r="R2" s="1489"/>
      <c r="S2" s="1489"/>
    </row>
    <row r="3" spans="1:22" ht="15.75">
      <c r="A3" s="1870" t="s">
        <v>686</v>
      </c>
      <c r="B3" s="2600">
        <f ca="1">ROUND(B2*10000/E2,0)</f>
        <v>36742</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45" t="s">
        <v>1654</v>
      </c>
      <c r="C5" s="3746"/>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178568</v>
      </c>
      <c r="C6" s="1872" t="s">
        <v>1651</v>
      </c>
      <c r="D6" s="2708"/>
      <c r="E6" s="2605">
        <f>IF(OR(A6=0,F6="否"),0,'数据-取费表'!K6+'数据-取费表'!S6)</f>
        <v>40826.120000000003</v>
      </c>
      <c r="F6" s="1876" t="s">
        <v>1657</v>
      </c>
      <c r="G6" s="1489"/>
      <c r="H6" s="1489"/>
      <c r="I6" s="1489"/>
      <c r="J6" s="1489"/>
      <c r="K6" s="1489"/>
      <c r="L6" s="1489"/>
      <c r="M6" s="1489"/>
      <c r="N6" s="1489"/>
      <c r="O6" s="1489"/>
      <c r="P6" s="1489"/>
      <c r="Q6" s="1489"/>
      <c r="R6" s="1489"/>
      <c r="S6" s="1489"/>
    </row>
    <row r="7" spans="1:22">
      <c r="A7" s="2603" t="str">
        <f>'数据-取费表'!AN7</f>
        <v>收益法 (车位)</v>
      </c>
      <c r="B7" s="2601">
        <f ca="1">IF(F7="是",'数据-取费表'!AO7,0)</f>
        <v>1305</v>
      </c>
      <c r="C7" s="1872" t="s">
        <v>1651</v>
      </c>
      <c r="D7" s="2708"/>
      <c r="E7" s="2605">
        <f>IF(OR(A7=0,F7="否"),0,'数据-取费表'!K7+'数据-取费表'!S7)</f>
        <v>8129.2</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48955.32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65" t="s">
        <v>1667</v>
      </c>
      <c r="D4" s="3766"/>
      <c r="E4" s="3767" t="s">
        <v>1668</v>
      </c>
      <c r="F4" s="3768"/>
      <c r="G4" s="3765" t="s">
        <v>1669</v>
      </c>
      <c r="H4" s="3766"/>
      <c r="I4" s="3765" t="s">
        <v>1670</v>
      </c>
      <c r="J4" s="3766"/>
      <c r="K4" s="1889" t="s">
        <v>1671</v>
      </c>
      <c r="L4" s="2714"/>
      <c r="M4" s="2715"/>
      <c r="N4" s="2715"/>
      <c r="O4" s="2715"/>
      <c r="P4" s="3769" t="s">
        <v>1672</v>
      </c>
      <c r="Q4" s="3770"/>
      <c r="R4" s="3775" t="s">
        <v>1668</v>
      </c>
      <c r="S4" s="3776"/>
      <c r="T4" s="3775" t="s">
        <v>1669</v>
      </c>
      <c r="U4" s="3776"/>
      <c r="V4" s="3781" t="s">
        <v>1670</v>
      </c>
      <c r="W4" s="3781"/>
      <c r="X4" s="1355"/>
      <c r="Y4" s="3775" t="s">
        <v>1672</v>
      </c>
      <c r="Z4" s="3776"/>
      <c r="AA4" s="3762" t="s">
        <v>1668</v>
      </c>
      <c r="AB4" s="3762" t="s">
        <v>1669</v>
      </c>
      <c r="AC4" s="3762" t="s">
        <v>1670</v>
      </c>
    </row>
    <row r="5" spans="1:29" ht="15">
      <c r="A5" s="358"/>
      <c r="B5" s="359"/>
      <c r="C5" s="3784" t="s">
        <v>1673</v>
      </c>
      <c r="D5" s="3785"/>
      <c r="E5" s="3791" t="s">
        <v>1674</v>
      </c>
      <c r="F5" s="3792"/>
      <c r="G5" s="3784" t="s">
        <v>1675</v>
      </c>
      <c r="H5" s="3785"/>
      <c r="I5" s="3784" t="s">
        <v>1676</v>
      </c>
      <c r="J5" s="3785"/>
      <c r="K5" s="1890"/>
      <c r="L5" s="2714"/>
      <c r="M5" s="2715"/>
      <c r="N5" s="2715"/>
      <c r="O5" s="2715"/>
      <c r="P5" s="3771"/>
      <c r="Q5" s="3772"/>
      <c r="R5" s="3777"/>
      <c r="S5" s="3778"/>
      <c r="T5" s="3777"/>
      <c r="U5" s="3778"/>
      <c r="V5" s="3781"/>
      <c r="W5" s="3781"/>
      <c r="X5" s="1355"/>
      <c r="Y5" s="3777"/>
      <c r="Z5" s="3778"/>
      <c r="AA5" s="3763"/>
      <c r="AB5" s="3763"/>
      <c r="AC5" s="3763"/>
    </row>
    <row r="6" spans="1:29" ht="15.75" thickBot="1">
      <c r="A6" s="360"/>
      <c r="B6" s="361"/>
      <c r="C6" s="3782" t="s">
        <v>1677</v>
      </c>
      <c r="D6" s="3783"/>
      <c r="E6" s="3789" t="s">
        <v>1677</v>
      </c>
      <c r="F6" s="3790"/>
      <c r="G6" s="3782" t="s">
        <v>1677</v>
      </c>
      <c r="H6" s="3783"/>
      <c r="I6" s="3782" t="s">
        <v>1677</v>
      </c>
      <c r="J6" s="3783"/>
      <c r="K6" s="1890" t="s">
        <v>1678</v>
      </c>
      <c r="L6" s="2714"/>
      <c r="M6" s="2715"/>
      <c r="N6" s="2715"/>
      <c r="O6" s="2715"/>
      <c r="P6" s="3773"/>
      <c r="Q6" s="3774"/>
      <c r="R6" s="3777"/>
      <c r="S6" s="3778"/>
      <c r="T6" s="3779"/>
      <c r="U6" s="3780"/>
      <c r="V6" s="3781"/>
      <c r="W6" s="3781"/>
      <c r="X6" s="1355"/>
      <c r="Y6" s="3779"/>
      <c r="Z6" s="3780"/>
      <c r="AA6" s="3764"/>
      <c r="AB6" s="3764"/>
      <c r="AC6" s="3764"/>
    </row>
    <row r="7" spans="1:29" s="108" customFormat="1" ht="15.75" thickBot="1">
      <c r="A7" s="362" t="s">
        <v>1679</v>
      </c>
      <c r="B7" s="363"/>
      <c r="C7" s="364">
        <f>'数据-取费表'!B2</f>
        <v>44926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86" t="s">
        <v>1680</v>
      </c>
      <c r="Q7" s="3788"/>
      <c r="R7" s="701" t="s">
        <v>20</v>
      </c>
      <c r="S7" s="702">
        <f t="shared" ref="S7:S15" si="0">F7</f>
        <v>0</v>
      </c>
      <c r="T7" s="701" t="s">
        <v>20</v>
      </c>
      <c r="U7" s="702">
        <f t="shared" ref="U7:U15" si="1">H7</f>
        <v>0</v>
      </c>
      <c r="V7" s="701" t="s">
        <v>20</v>
      </c>
      <c r="W7" s="702">
        <f t="shared" ref="W7:W15" si="2">J7</f>
        <v>0</v>
      </c>
      <c r="X7" s="703"/>
      <c r="Y7" s="3786" t="s">
        <v>1680</v>
      </c>
      <c r="Z7" s="37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86" t="s">
        <v>1683</v>
      </c>
      <c r="Q8" s="3787"/>
      <c r="R8" s="701" t="s">
        <v>20</v>
      </c>
      <c r="S8" s="702">
        <f t="shared" si="0"/>
        <v>100</v>
      </c>
      <c r="T8" s="701" t="s">
        <v>20</v>
      </c>
      <c r="U8" s="702">
        <f t="shared" si="1"/>
        <v>100</v>
      </c>
      <c r="V8" s="701" t="s">
        <v>20</v>
      </c>
      <c r="W8" s="702">
        <f t="shared" si="2"/>
        <v>100</v>
      </c>
      <c r="X8" s="703"/>
      <c r="Y8" s="3786" t="s">
        <v>1683</v>
      </c>
      <c r="Z8" s="37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61"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6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61"/>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61"/>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61"/>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61"/>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9" t="s">
        <v>1691</v>
      </c>
      <c r="Q15" s="1352" t="str">
        <f t="shared" si="6"/>
        <v>居住社区成熟度</v>
      </c>
      <c r="R15" s="705" t="s">
        <v>18</v>
      </c>
      <c r="S15" s="706">
        <f t="shared" si="0"/>
        <v>100</v>
      </c>
      <c r="T15" s="705" t="s">
        <v>18</v>
      </c>
      <c r="U15" s="706">
        <f t="shared" si="1"/>
        <v>100</v>
      </c>
      <c r="V15" s="705" t="s">
        <v>18</v>
      </c>
      <c r="W15" s="706">
        <f t="shared" si="2"/>
        <v>100</v>
      </c>
      <c r="X15" s="1355"/>
      <c r="Y15" s="375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60"/>
      <c r="Q16" s="1352"/>
      <c r="R16" s="705"/>
      <c r="S16" s="706"/>
      <c r="T16" s="705"/>
      <c r="U16" s="706"/>
      <c r="V16" s="705"/>
      <c r="W16" s="706"/>
      <c r="X16" s="1355"/>
      <c r="Y16" s="375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0"/>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60"/>
      <c r="Q18" s="1352"/>
      <c r="R18" s="705"/>
      <c r="S18" s="706"/>
      <c r="T18" s="705"/>
      <c r="U18" s="706"/>
      <c r="V18" s="705"/>
      <c r="W18" s="706"/>
      <c r="X18" s="1355"/>
      <c r="Y18" s="375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0"/>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60"/>
      <c r="Q20" s="1352"/>
      <c r="R20" s="705"/>
      <c r="S20" s="706"/>
      <c r="T20" s="705"/>
      <c r="U20" s="706"/>
      <c r="V20" s="705"/>
      <c r="W20" s="706"/>
      <c r="X20" s="1355"/>
      <c r="Y20" s="375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60"/>
      <c r="Q22" s="1352"/>
      <c r="R22" s="705"/>
      <c r="S22" s="706"/>
      <c r="T22" s="705"/>
      <c r="U22" s="706"/>
      <c r="V22" s="705"/>
      <c r="W22" s="706"/>
      <c r="X22" s="1355"/>
      <c r="Y22" s="375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0"/>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60"/>
      <c r="Q24" s="1352"/>
      <c r="R24" s="705"/>
      <c r="S24" s="706"/>
      <c r="T24" s="705"/>
      <c r="U24" s="706"/>
      <c r="V24" s="705"/>
      <c r="W24" s="706"/>
      <c r="X24" s="1355"/>
      <c r="Y24" s="375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60"/>
      <c r="Q26" s="1352" t="str">
        <f t="shared" si="11"/>
        <v>朝向</v>
      </c>
      <c r="R26" s="705" t="s">
        <v>18</v>
      </c>
      <c r="S26" s="706">
        <f t="shared" si="12"/>
        <v>100</v>
      </c>
      <c r="T26" s="705" t="s">
        <v>18</v>
      </c>
      <c r="U26" s="706">
        <f t="shared" si="13"/>
        <v>100</v>
      </c>
      <c r="V26" s="705" t="s">
        <v>18</v>
      </c>
      <c r="W26" s="706">
        <f t="shared" si="14"/>
        <v>100</v>
      </c>
      <c r="X26" s="1355"/>
      <c r="Y26" s="37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60"/>
      <c r="Q27" s="1343">
        <f t="shared" si="11"/>
        <v>111</v>
      </c>
      <c r="R27" s="701" t="s">
        <v>18</v>
      </c>
      <c r="S27" s="702">
        <f t="shared" si="12"/>
        <v>100</v>
      </c>
      <c r="T27" s="701" t="s">
        <v>18</v>
      </c>
      <c r="U27" s="702">
        <f t="shared" si="13"/>
        <v>100</v>
      </c>
      <c r="V27" s="701" t="s">
        <v>18</v>
      </c>
      <c r="W27" s="702">
        <f t="shared" si="14"/>
        <v>100</v>
      </c>
      <c r="X27" s="703"/>
      <c r="Y27" s="37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60"/>
      <c r="Q28" s="1352">
        <f t="shared" si="11"/>
        <v>111</v>
      </c>
      <c r="R28" s="705" t="s">
        <v>18</v>
      </c>
      <c r="S28" s="706">
        <f t="shared" si="12"/>
        <v>100</v>
      </c>
      <c r="T28" s="705" t="s">
        <v>18</v>
      </c>
      <c r="U28" s="706">
        <f t="shared" si="13"/>
        <v>100</v>
      </c>
      <c r="V28" s="705" t="s">
        <v>18</v>
      </c>
      <c r="W28" s="706">
        <f t="shared" si="14"/>
        <v>100</v>
      </c>
      <c r="X28" s="1355"/>
      <c r="Y28" s="37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60"/>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60"/>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60"/>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54" t="s">
        <v>1696</v>
      </c>
      <c r="Q32" s="1352" t="str">
        <f t="shared" si="11"/>
        <v>建筑类型</v>
      </c>
      <c r="R32" s="705" t="s">
        <v>18</v>
      </c>
      <c r="S32" s="706">
        <f t="shared" si="12"/>
        <v>100</v>
      </c>
      <c r="T32" s="705" t="s">
        <v>18</v>
      </c>
      <c r="U32" s="706">
        <f t="shared" si="13"/>
        <v>100</v>
      </c>
      <c r="V32" s="705" t="s">
        <v>18</v>
      </c>
      <c r="W32" s="706">
        <f t="shared" si="14"/>
        <v>100</v>
      </c>
      <c r="X32" s="1355"/>
      <c r="Y32" s="375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55"/>
      <c r="Q33" s="707" t="str">
        <f t="shared" si="11"/>
        <v>项目建筑规模</v>
      </c>
      <c r="R33" s="708" t="s">
        <v>18</v>
      </c>
      <c r="S33" s="709" t="e">
        <f t="shared" si="12"/>
        <v>#N/A</v>
      </c>
      <c r="T33" s="708" t="s">
        <v>18</v>
      </c>
      <c r="U33" s="709" t="e">
        <f t="shared" si="13"/>
        <v>#N/A</v>
      </c>
      <c r="V33" s="708" t="s">
        <v>18</v>
      </c>
      <c r="W33" s="709" t="e">
        <f t="shared" si="14"/>
        <v>#N/A</v>
      </c>
      <c r="X33" s="710"/>
      <c r="Y33" s="375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5"/>
      <c r="Q37" s="1343" t="str">
        <f t="shared" si="11"/>
        <v>成新度</v>
      </c>
      <c r="R37" s="701" t="s">
        <v>18</v>
      </c>
      <c r="S37" s="702" t="e">
        <f t="shared" si="12"/>
        <v>#N/A</v>
      </c>
      <c r="T37" s="701" t="s">
        <v>18</v>
      </c>
      <c r="U37" s="702" t="e">
        <f t="shared" si="13"/>
        <v>#N/A</v>
      </c>
      <c r="V37" s="701" t="s">
        <v>18</v>
      </c>
      <c r="W37" s="702" t="e">
        <f t="shared" si="14"/>
        <v>#N/A</v>
      </c>
      <c r="X37" s="703"/>
      <c r="Y37" s="375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55" t="s">
        <v>1696</v>
      </c>
      <c r="Q38" s="1352" t="str">
        <f t="shared" si="11"/>
        <v>物业管理</v>
      </c>
      <c r="R38" s="705" t="s">
        <v>18</v>
      </c>
      <c r="S38" s="706">
        <f t="shared" si="12"/>
        <v>100</v>
      </c>
      <c r="T38" s="705" t="s">
        <v>18</v>
      </c>
      <c r="U38" s="706">
        <f t="shared" si="13"/>
        <v>100</v>
      </c>
      <c r="V38" s="705" t="s">
        <v>18</v>
      </c>
      <c r="W38" s="706">
        <f t="shared" si="14"/>
        <v>100</v>
      </c>
      <c r="X38" s="1355"/>
      <c r="Y38" s="37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50" t="str">
        <f>A47</f>
        <v>成交单价（元/平方米）</v>
      </c>
      <c r="Q47" s="3750"/>
      <c r="R47" s="3751">
        <f>E47</f>
        <v>0</v>
      </c>
      <c r="S47" s="3751"/>
      <c r="T47" s="3751">
        <f>G47</f>
        <v>0</v>
      </c>
      <c r="U47" s="3751"/>
      <c r="V47" s="3751">
        <f>I47</f>
        <v>0</v>
      </c>
      <c r="W47" s="375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48955.32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65" t="s">
        <v>1770</v>
      </c>
      <c r="D4" s="3766"/>
      <c r="E4" s="3767" t="s">
        <v>1771</v>
      </c>
      <c r="F4" s="3768"/>
      <c r="G4" s="3765" t="s">
        <v>1772</v>
      </c>
      <c r="H4" s="3766"/>
      <c r="I4" s="3765" t="s">
        <v>1773</v>
      </c>
      <c r="J4" s="3766"/>
      <c r="K4" s="559" t="s">
        <v>1774</v>
      </c>
      <c r="L4" s="2714"/>
      <c r="M4" s="2715"/>
      <c r="N4" s="2715"/>
      <c r="O4" s="2715"/>
      <c r="P4" s="3769" t="s">
        <v>1775</v>
      </c>
      <c r="Q4" s="3770"/>
      <c r="R4" s="3775" t="s">
        <v>1771</v>
      </c>
      <c r="S4" s="3776"/>
      <c r="T4" s="3775" t="s">
        <v>1772</v>
      </c>
      <c r="U4" s="3776"/>
      <c r="V4" s="3781" t="s">
        <v>1773</v>
      </c>
      <c r="W4" s="3781"/>
      <c r="X4" s="1355"/>
      <c r="Y4" s="3775" t="s">
        <v>1775</v>
      </c>
      <c r="Z4" s="3776"/>
      <c r="AA4" s="3762" t="s">
        <v>1771</v>
      </c>
      <c r="AB4" s="3781" t="s">
        <v>1772</v>
      </c>
      <c r="AC4" s="3762" t="s">
        <v>1773</v>
      </c>
    </row>
    <row r="5" spans="1:29" ht="15">
      <c r="A5" s="358"/>
      <c r="B5" s="359"/>
      <c r="C5" s="3784" t="s">
        <v>1673</v>
      </c>
      <c r="D5" s="3785"/>
      <c r="E5" s="3791" t="s">
        <v>1674</v>
      </c>
      <c r="F5" s="3792"/>
      <c r="G5" s="3784" t="s">
        <v>1675</v>
      </c>
      <c r="H5" s="3785"/>
      <c r="I5" s="3784" t="s">
        <v>1676</v>
      </c>
      <c r="J5" s="3785"/>
      <c r="K5" s="559"/>
      <c r="L5" s="2714"/>
      <c r="M5" s="2715"/>
      <c r="N5" s="2715"/>
      <c r="O5" s="2715"/>
      <c r="P5" s="3771"/>
      <c r="Q5" s="3772"/>
      <c r="R5" s="3777"/>
      <c r="S5" s="3778"/>
      <c r="T5" s="3777"/>
      <c r="U5" s="3778"/>
      <c r="V5" s="3781"/>
      <c r="W5" s="3781"/>
      <c r="X5" s="1355"/>
      <c r="Y5" s="3777"/>
      <c r="Z5" s="3778"/>
      <c r="AA5" s="3763"/>
      <c r="AB5" s="3781"/>
      <c r="AC5" s="3763"/>
    </row>
    <row r="6" spans="1:29" ht="15.75" thickBot="1">
      <c r="A6" s="360"/>
      <c r="B6" s="361"/>
      <c r="C6" s="3782" t="s">
        <v>1677</v>
      </c>
      <c r="D6" s="3783"/>
      <c r="E6" s="3789" t="s">
        <v>1677</v>
      </c>
      <c r="F6" s="3790"/>
      <c r="G6" s="3782" t="s">
        <v>1677</v>
      </c>
      <c r="H6" s="3783"/>
      <c r="I6" s="3782" t="s">
        <v>1677</v>
      </c>
      <c r="J6" s="3783"/>
      <c r="K6" s="559" t="s">
        <v>1678</v>
      </c>
      <c r="L6" s="2714"/>
      <c r="M6" s="2715"/>
      <c r="N6" s="2715"/>
      <c r="O6" s="2715"/>
      <c r="P6" s="3773"/>
      <c r="Q6" s="3774"/>
      <c r="R6" s="3777"/>
      <c r="S6" s="3778"/>
      <c r="T6" s="3779"/>
      <c r="U6" s="3780"/>
      <c r="V6" s="3781"/>
      <c r="W6" s="3781"/>
      <c r="X6" s="1355"/>
      <c r="Y6" s="3779"/>
      <c r="Z6" s="3780"/>
      <c r="AA6" s="3764"/>
      <c r="AB6" s="3781"/>
      <c r="AC6" s="3764"/>
    </row>
    <row r="7" spans="1:29" s="108" customFormat="1" ht="15.75" thickBot="1">
      <c r="A7" s="362" t="s">
        <v>1679</v>
      </c>
      <c r="B7" s="363"/>
      <c r="C7" s="364">
        <f>'数据-取费表'!B2</f>
        <v>44926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86" t="s">
        <v>1680</v>
      </c>
      <c r="Q7" s="3788"/>
      <c r="R7" s="701" t="s">
        <v>14</v>
      </c>
      <c r="S7" s="702">
        <f t="shared" ref="S7:S15" si="0">F7</f>
        <v>0</v>
      </c>
      <c r="T7" s="701" t="s">
        <v>14</v>
      </c>
      <c r="U7" s="702">
        <f t="shared" ref="U7:U15" si="1">H7</f>
        <v>0</v>
      </c>
      <c r="V7" s="701" t="s">
        <v>14</v>
      </c>
      <c r="W7" s="702">
        <f t="shared" ref="W7:W15" si="2">J7</f>
        <v>0</v>
      </c>
      <c r="X7" s="703"/>
      <c r="Y7" s="3786" t="s">
        <v>1680</v>
      </c>
      <c r="Z7" s="37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86" t="s">
        <v>1683</v>
      </c>
      <c r="Q8" s="3787"/>
      <c r="R8" s="701" t="s">
        <v>14</v>
      </c>
      <c r="S8" s="702">
        <f t="shared" si="0"/>
        <v>100</v>
      </c>
      <c r="T8" s="701" t="s">
        <v>14</v>
      </c>
      <c r="U8" s="702">
        <f t="shared" si="1"/>
        <v>100</v>
      </c>
      <c r="V8" s="701" t="s">
        <v>14</v>
      </c>
      <c r="W8" s="702">
        <f t="shared" si="2"/>
        <v>100</v>
      </c>
      <c r="X8" s="703"/>
      <c r="Y8" s="3786" t="s">
        <v>1683</v>
      </c>
      <c r="Z8" s="37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61"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6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61"/>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6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6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6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9" t="s">
        <v>1691</v>
      </c>
      <c r="Q15" s="1352" t="str">
        <f t="shared" si="6"/>
        <v>商业繁华度</v>
      </c>
      <c r="R15" s="705" t="s">
        <v>14</v>
      </c>
      <c r="S15" s="706">
        <f t="shared" si="0"/>
        <v>100</v>
      </c>
      <c r="T15" s="705" t="s">
        <v>14</v>
      </c>
      <c r="U15" s="706">
        <f t="shared" si="1"/>
        <v>100</v>
      </c>
      <c r="V15" s="705" t="s">
        <v>14</v>
      </c>
      <c r="W15" s="706">
        <f t="shared" si="2"/>
        <v>100</v>
      </c>
      <c r="X15" s="1355"/>
      <c r="Y15" s="37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60"/>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0"/>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60"/>
      <c r="Q18" s="1352"/>
      <c r="R18" s="705"/>
      <c r="S18" s="706"/>
      <c r="T18" s="705"/>
      <c r="U18" s="706"/>
      <c r="V18" s="705"/>
      <c r="W18" s="706"/>
      <c r="X18" s="1355"/>
      <c r="Y18" s="375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60"/>
      <c r="Q20" s="1352"/>
      <c r="R20" s="705"/>
      <c r="S20" s="706"/>
      <c r="T20" s="705"/>
      <c r="U20" s="706"/>
      <c r="V20" s="705"/>
      <c r="W20" s="706"/>
      <c r="X20" s="1355"/>
      <c r="Y20" s="375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60"/>
      <c r="Q22" s="1352"/>
      <c r="R22" s="705"/>
      <c r="S22" s="706"/>
      <c r="T22" s="705"/>
      <c r="U22" s="706"/>
      <c r="V22" s="705"/>
      <c r="W22" s="706"/>
      <c r="X22" s="1355"/>
      <c r="Y22" s="375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0"/>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60"/>
      <c r="Q24" s="1352"/>
      <c r="R24" s="705"/>
      <c r="S24" s="706"/>
      <c r="T24" s="705"/>
      <c r="U24" s="706"/>
      <c r="V24" s="705"/>
      <c r="W24" s="706"/>
      <c r="X24" s="1355"/>
      <c r="Y24" s="37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0"/>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0"/>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60"/>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0"/>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54" t="s">
        <v>1696</v>
      </c>
      <c r="Q32" s="1352" t="str">
        <f t="shared" si="11"/>
        <v>商业类型</v>
      </c>
      <c r="R32" s="705" t="s">
        <v>14</v>
      </c>
      <c r="S32" s="706">
        <f t="shared" si="12"/>
        <v>100</v>
      </c>
      <c r="T32" s="705" t="s">
        <v>14</v>
      </c>
      <c r="U32" s="706">
        <f t="shared" si="13"/>
        <v>100</v>
      </c>
      <c r="V32" s="705" t="s">
        <v>14</v>
      </c>
      <c r="W32" s="706">
        <f t="shared" si="14"/>
        <v>100</v>
      </c>
      <c r="X32" s="1355"/>
      <c r="Y32" s="37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5"/>
      <c r="Q33" s="707" t="str">
        <f t="shared" si="11"/>
        <v>项目建筑规模</v>
      </c>
      <c r="R33" s="708" t="s">
        <v>14</v>
      </c>
      <c r="S33" s="709" t="e">
        <f t="shared" si="12"/>
        <v>#N/A</v>
      </c>
      <c r="T33" s="708" t="s">
        <v>14</v>
      </c>
      <c r="U33" s="709" t="e">
        <f t="shared" si="13"/>
        <v>#N/A</v>
      </c>
      <c r="V33" s="708" t="s">
        <v>14</v>
      </c>
      <c r="W33" s="709" t="e">
        <f t="shared" si="14"/>
        <v>#N/A</v>
      </c>
      <c r="X33" s="710"/>
      <c r="Y33" s="375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5"/>
      <c r="Q36" s="1352" t="str">
        <f t="shared" si="11"/>
        <v>成新度</v>
      </c>
      <c r="R36" s="705" t="s">
        <v>14</v>
      </c>
      <c r="S36" s="706" t="e">
        <f t="shared" si="12"/>
        <v>#N/A</v>
      </c>
      <c r="T36" s="705" t="s">
        <v>14</v>
      </c>
      <c r="U36" s="706" t="e">
        <f t="shared" si="13"/>
        <v>#N/A</v>
      </c>
      <c r="V36" s="705" t="s">
        <v>14</v>
      </c>
      <c r="W36" s="706" t="e">
        <f t="shared" si="14"/>
        <v>#N/A</v>
      </c>
      <c r="X36" s="1355"/>
      <c r="Y36" s="375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55" t="s">
        <v>1696</v>
      </c>
      <c r="Q38" s="1352" t="str">
        <f t="shared" si="11"/>
        <v>业态</v>
      </c>
      <c r="R38" s="705" t="s">
        <v>14</v>
      </c>
      <c r="S38" s="706">
        <f t="shared" si="12"/>
        <v>100</v>
      </c>
      <c r="T38" s="705" t="s">
        <v>14</v>
      </c>
      <c r="U38" s="706">
        <f t="shared" si="13"/>
        <v>100</v>
      </c>
      <c r="V38" s="705" t="s">
        <v>14</v>
      </c>
      <c r="W38" s="706">
        <f t="shared" si="14"/>
        <v>100</v>
      </c>
      <c r="X38" s="1355"/>
      <c r="Y38" s="37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50" t="str">
        <f>A47</f>
        <v>成交单价（元/平方米）</v>
      </c>
      <c r="Q47" s="3750"/>
      <c r="R47" s="3781">
        <f>E47</f>
        <v>0</v>
      </c>
      <c r="S47" s="3781"/>
      <c r="T47" s="3781">
        <f>G47</f>
        <v>0</v>
      </c>
      <c r="U47" s="3781"/>
      <c r="V47" s="3781">
        <f>I47</f>
        <v>0</v>
      </c>
      <c r="W47" s="378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估价对象为北京市房地产，为所有。根据《国有土地使用证》[]，估价对象（分摊）出让国有建设用地使用权面积为11397.7平方米，建筑面积为48955.32平方米。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11397.7平方米，规划建筑面积为48955.32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2022年12月31日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0，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0，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85" zoomScaleNormal="70" zoomScaleSheetLayoutView="85" workbookViewId="0">
      <selection activeCell="D68" sqref="D6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t="s">
        <v>4044</v>
      </c>
      <c r="F1" s="1879" t="s">
        <v>4043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175892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35929</v>
      </c>
      <c r="C3" s="354" t="s">
        <v>1768</v>
      </c>
      <c r="D3" s="353">
        <f>IF(D1="",'数据-汇总表'!E3,SUMIF('数据-汇总表'!$C19:$C33,D1,'数据-汇总表'!$E19:$E33))</f>
        <v>48955.32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65" t="s">
        <v>1770</v>
      </c>
      <c r="D4" s="3766"/>
      <c r="E4" s="3767" t="s">
        <v>1771</v>
      </c>
      <c r="F4" s="3768"/>
      <c r="G4" s="3765" t="s">
        <v>1772</v>
      </c>
      <c r="H4" s="3766"/>
      <c r="I4" s="3765" t="s">
        <v>1773</v>
      </c>
      <c r="J4" s="3766"/>
      <c r="K4" s="559" t="s">
        <v>1774</v>
      </c>
      <c r="L4" s="2714"/>
      <c r="M4" s="2715"/>
      <c r="N4" s="2715"/>
      <c r="O4" s="2715"/>
      <c r="P4" s="3799" t="s">
        <v>1775</v>
      </c>
      <c r="Q4" s="3800"/>
      <c r="R4" s="3803" t="s">
        <v>1771</v>
      </c>
      <c r="S4" s="3804"/>
      <c r="T4" s="3803" t="s">
        <v>1772</v>
      </c>
      <c r="U4" s="3804"/>
      <c r="V4" s="3805" t="s">
        <v>1773</v>
      </c>
      <c r="W4" s="3805"/>
      <c r="X4" s="1958"/>
      <c r="Y4" s="3803" t="s">
        <v>1775</v>
      </c>
      <c r="Z4" s="3804"/>
      <c r="AA4" s="3809" t="s">
        <v>1771</v>
      </c>
      <c r="AB4" s="3809" t="s">
        <v>1772</v>
      </c>
      <c r="AC4" s="3796" t="s">
        <v>1773</v>
      </c>
    </row>
    <row r="5" spans="1:29" ht="15">
      <c r="A5" s="358"/>
      <c r="B5" s="359"/>
      <c r="C5" s="3806" t="s">
        <v>3477</v>
      </c>
      <c r="D5" s="3785"/>
      <c r="E5" s="3810" t="s">
        <v>4048</v>
      </c>
      <c r="F5" s="3792"/>
      <c r="G5" s="3806" t="s">
        <v>4008</v>
      </c>
      <c r="H5" s="3785"/>
      <c r="I5" s="3806" t="s">
        <v>4007</v>
      </c>
      <c r="J5" s="3785"/>
      <c r="K5" s="559"/>
      <c r="L5" s="2714"/>
      <c r="M5" s="2715"/>
      <c r="N5" s="2715"/>
      <c r="O5" s="2715"/>
      <c r="P5" s="3801"/>
      <c r="Q5" s="3772"/>
      <c r="R5" s="3777"/>
      <c r="S5" s="3778"/>
      <c r="T5" s="3777"/>
      <c r="U5" s="3778"/>
      <c r="V5" s="3781"/>
      <c r="W5" s="3781"/>
      <c r="X5" s="1355"/>
      <c r="Y5" s="3777"/>
      <c r="Z5" s="3778"/>
      <c r="AA5" s="3763"/>
      <c r="AB5" s="3763"/>
      <c r="AC5" s="3797"/>
    </row>
    <row r="6" spans="1:29" ht="15.75" thickBot="1">
      <c r="A6" s="360"/>
      <c r="B6" s="361"/>
      <c r="C6" s="3782" t="s">
        <v>1677</v>
      </c>
      <c r="D6" s="3783"/>
      <c r="E6" s="3808" t="s">
        <v>3995</v>
      </c>
      <c r="F6" s="3790"/>
      <c r="G6" s="3782" t="s">
        <v>1677</v>
      </c>
      <c r="H6" s="3783"/>
      <c r="I6" s="3782" t="s">
        <v>1677</v>
      </c>
      <c r="J6" s="3783"/>
      <c r="K6" s="559" t="s">
        <v>1678</v>
      </c>
      <c r="L6" s="2714"/>
      <c r="M6" s="2715"/>
      <c r="N6" s="2715"/>
      <c r="O6" s="2715"/>
      <c r="P6" s="3802"/>
      <c r="Q6" s="3774"/>
      <c r="R6" s="3777"/>
      <c r="S6" s="3778"/>
      <c r="T6" s="3779"/>
      <c r="U6" s="3780"/>
      <c r="V6" s="3781"/>
      <c r="W6" s="3781"/>
      <c r="X6" s="1355"/>
      <c r="Y6" s="3779"/>
      <c r="Z6" s="3780"/>
      <c r="AA6" s="3764"/>
      <c r="AB6" s="3764"/>
      <c r="AC6" s="3798"/>
    </row>
    <row r="7" spans="1:29" s="108" customFormat="1" ht="15.75" thickBot="1">
      <c r="A7" s="362" t="s">
        <v>1679</v>
      </c>
      <c r="B7" s="363"/>
      <c r="C7" s="364">
        <f>'数据-取费表'!B2</f>
        <v>44926</v>
      </c>
      <c r="D7" s="365">
        <v>100</v>
      </c>
      <c r="E7" s="366">
        <v>44851</v>
      </c>
      <c r="F7" s="367">
        <f>SUMIF(59:59,YEAR(E7)&amp;"-"&amp;MONTH(E7),60:60)</f>
        <v>100</v>
      </c>
      <c r="G7" s="366">
        <v>44896</v>
      </c>
      <c r="H7" s="365">
        <f>SUMIF(59:59,YEAR(G7)&amp;"-"&amp;MONTH(G7),60:60)</f>
        <v>100</v>
      </c>
      <c r="I7" s="366">
        <v>44896</v>
      </c>
      <c r="J7" s="365">
        <f>SUMIF(59:59,YEAR(I7)&amp;"-"&amp;MONTH(I7),60:60)</f>
        <v>100</v>
      </c>
      <c r="K7" s="560"/>
      <c r="L7" s="2716"/>
      <c r="M7" s="2717"/>
      <c r="N7" s="2717"/>
      <c r="O7" s="2717"/>
      <c r="P7" s="3807" t="s">
        <v>1680</v>
      </c>
      <c r="Q7" s="3788"/>
      <c r="R7" s="701" t="s">
        <v>14</v>
      </c>
      <c r="S7" s="702">
        <f t="shared" ref="S7:S15" si="0">F7</f>
        <v>100</v>
      </c>
      <c r="T7" s="701" t="s">
        <v>14</v>
      </c>
      <c r="U7" s="702">
        <f t="shared" ref="U7:U15" si="1">H7</f>
        <v>100</v>
      </c>
      <c r="V7" s="701" t="s">
        <v>14</v>
      </c>
      <c r="W7" s="702">
        <f t="shared" ref="W7:W15" si="2">J7</f>
        <v>100</v>
      </c>
      <c r="X7" s="703"/>
      <c r="Y7" s="3786" t="s">
        <v>1680</v>
      </c>
      <c r="Z7" s="3787"/>
      <c r="AA7" s="704">
        <f>D7/F7</f>
        <v>1</v>
      </c>
      <c r="AB7" s="704">
        <f>D7/H7</f>
        <v>1</v>
      </c>
      <c r="AC7" s="1959">
        <f>D7/J7</f>
        <v>1</v>
      </c>
    </row>
    <row r="8" spans="1:29" s="108" customFormat="1" ht="15.75" thickBot="1">
      <c r="A8" s="362" t="s">
        <v>1681</v>
      </c>
      <c r="B8" s="363"/>
      <c r="C8" s="368" t="s">
        <v>3997</v>
      </c>
      <c r="D8" s="365">
        <v>100</v>
      </c>
      <c r="E8" s="368" t="s">
        <v>3997</v>
      </c>
      <c r="F8" s="367">
        <f>SUMIF(62:62,E8,63:63)-SUMIF(62:62,C8,63:63)+100</f>
        <v>100</v>
      </c>
      <c r="G8" s="368" t="s">
        <v>3997</v>
      </c>
      <c r="H8" s="365">
        <f>SUMIF(62:62,G8,63:63)-SUMIF(62:62,C8,63:63)+100</f>
        <v>100</v>
      </c>
      <c r="I8" s="368" t="s">
        <v>3997</v>
      </c>
      <c r="J8" s="365">
        <f>SUMIF(62:62,I8,63:63)-SUMIF(62:62,C8,63:63)+100</f>
        <v>100</v>
      </c>
      <c r="K8" s="560"/>
      <c r="L8" s="2716"/>
      <c r="M8" s="2717"/>
      <c r="N8" s="2717"/>
      <c r="O8" s="2717"/>
      <c r="P8" s="3807" t="s">
        <v>1683</v>
      </c>
      <c r="Q8" s="3787"/>
      <c r="R8" s="701" t="s">
        <v>14</v>
      </c>
      <c r="S8" s="702">
        <f t="shared" si="0"/>
        <v>100</v>
      </c>
      <c r="T8" s="701" t="s">
        <v>14</v>
      </c>
      <c r="U8" s="702">
        <f t="shared" si="1"/>
        <v>100</v>
      </c>
      <c r="V8" s="701" t="s">
        <v>14</v>
      </c>
      <c r="W8" s="702">
        <f t="shared" si="2"/>
        <v>100</v>
      </c>
      <c r="X8" s="703"/>
      <c r="Y8" s="3786" t="s">
        <v>1683</v>
      </c>
      <c r="Z8" s="3787"/>
      <c r="AA8" s="704">
        <f t="shared" ref="AA8:AA47" si="3">D8/F8</f>
        <v>1</v>
      </c>
      <c r="AB8" s="704">
        <f t="shared" ref="AB8:AB47" si="4">D8/H8</f>
        <v>1</v>
      </c>
      <c r="AC8" s="1959">
        <f t="shared" ref="AC8:AC47" si="5">D8/J8</f>
        <v>1</v>
      </c>
    </row>
    <row r="9" spans="1:29" s="108" customFormat="1">
      <c r="A9" s="369" t="s">
        <v>1684</v>
      </c>
      <c r="B9" s="63" t="s">
        <v>1685</v>
      </c>
      <c r="C9" s="3516" t="s">
        <v>3998</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61"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
      <c r="A10" s="374"/>
      <c r="B10" s="375" t="s">
        <v>1688</v>
      </c>
      <c r="C10" s="3433">
        <f>'数据-取费表'!F6</f>
        <v>21.67</v>
      </c>
      <c r="D10" s="127">
        <v>100</v>
      </c>
      <c r="E10" s="3433" t="s">
        <v>4009</v>
      </c>
      <c r="F10" s="127">
        <f>SUMIF(66:66,E10,67:67)-SUMIF(66:66,C10,67:67)+100</f>
        <v>103</v>
      </c>
      <c r="G10" s="3434" t="s">
        <v>4009</v>
      </c>
      <c r="H10" s="127">
        <f>SUMIF(66:66,G10,67:67)-SUMIF(66:66,C10,67:67)+100</f>
        <v>103</v>
      </c>
      <c r="I10" s="3433" t="s">
        <v>4009</v>
      </c>
      <c r="J10" s="127">
        <f>SUMIF(66:66,I10,67:67)-SUMIF(66:66,C10,67:67)+100</f>
        <v>103</v>
      </c>
      <c r="K10" s="560"/>
      <c r="L10" s="2718"/>
      <c r="M10" s="2719"/>
      <c r="N10" s="2719"/>
      <c r="O10" s="2719"/>
      <c r="P10" s="3761"/>
      <c r="Q10" s="1343" t="str">
        <f t="shared" si="6"/>
        <v>土地使用年限（年）</v>
      </c>
      <c r="R10" s="701" t="s">
        <v>14</v>
      </c>
      <c r="S10" s="702">
        <f t="shared" si="0"/>
        <v>103</v>
      </c>
      <c r="T10" s="701" t="s">
        <v>14</v>
      </c>
      <c r="U10" s="702">
        <f t="shared" si="1"/>
        <v>103</v>
      </c>
      <c r="V10" s="701" t="s">
        <v>14</v>
      </c>
      <c r="W10" s="702">
        <f t="shared" si="2"/>
        <v>103</v>
      </c>
      <c r="X10" s="703"/>
      <c r="Y10" s="3625"/>
      <c r="Z10" s="52" t="str">
        <f t="shared" si="7"/>
        <v>土地使用年限（年）</v>
      </c>
      <c r="AA10" s="704">
        <f t="shared" si="3"/>
        <v>0.970873786407767</v>
      </c>
      <c r="AB10" s="704">
        <f t="shared" si="4"/>
        <v>0.970873786407767</v>
      </c>
      <c r="AC10" s="1959">
        <f t="shared" si="5"/>
        <v>0.970873786407767</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61"/>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6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6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6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9" t="s">
        <v>1691</v>
      </c>
      <c r="Q15" s="1352" t="str">
        <f t="shared" si="6"/>
        <v>办公集聚程度</v>
      </c>
      <c r="R15" s="705" t="s">
        <v>14</v>
      </c>
      <c r="S15" s="706">
        <f t="shared" si="0"/>
        <v>100</v>
      </c>
      <c r="T15" s="705" t="s">
        <v>14</v>
      </c>
      <c r="U15" s="706">
        <f t="shared" si="1"/>
        <v>100</v>
      </c>
      <c r="V15" s="705" t="s">
        <v>14</v>
      </c>
      <c r="W15" s="706">
        <f t="shared" si="2"/>
        <v>100</v>
      </c>
      <c r="X15" s="1355"/>
      <c r="Y15" s="3752" t="s">
        <v>1691</v>
      </c>
      <c r="Z15" s="1356" t="str">
        <f t="shared" si="7"/>
        <v>办公集聚程度</v>
      </c>
      <c r="AA15" s="1353">
        <f t="shared" si="3"/>
        <v>1</v>
      </c>
      <c r="AB15" s="1353">
        <f t="shared" si="4"/>
        <v>1</v>
      </c>
      <c r="AC15" s="1962">
        <f t="shared" si="5"/>
        <v>1</v>
      </c>
    </row>
    <row r="16" spans="1:29" ht="15">
      <c r="A16" s="379"/>
      <c r="B16" s="578"/>
      <c r="C16" s="1904" t="s">
        <v>3468</v>
      </c>
      <c r="D16" s="399"/>
      <c r="E16" s="398" t="s">
        <v>3468</v>
      </c>
      <c r="F16" s="399"/>
      <c r="G16" s="1904" t="s">
        <v>3468</v>
      </c>
      <c r="H16" s="401"/>
      <c r="I16" s="398" t="s">
        <v>3468</v>
      </c>
      <c r="J16" s="399"/>
      <c r="K16" s="564"/>
      <c r="L16" s="2721"/>
      <c r="M16" s="2715"/>
      <c r="N16" s="2715"/>
      <c r="O16" s="2715"/>
      <c r="P16" s="3760"/>
      <c r="Q16" s="1352"/>
      <c r="R16" s="705"/>
      <c r="S16" s="706"/>
      <c r="T16" s="705"/>
      <c r="U16" s="706"/>
      <c r="V16" s="705"/>
      <c r="W16" s="706"/>
      <c r="X16" s="1355"/>
      <c r="Y16" s="375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3529" t="s">
        <v>4042</v>
      </c>
      <c r="J17" s="406">
        <f>SUMIF(79:79,I18,80:80)-SUMIF(79:79,C18,80:80)+100</f>
        <v>102</v>
      </c>
      <c r="K17" s="563">
        <v>2</v>
      </c>
      <c r="L17" s="2721"/>
      <c r="M17" s="2715"/>
      <c r="N17" s="2715"/>
      <c r="O17" s="2715"/>
      <c r="P17" s="3760"/>
      <c r="Q17" s="1352" t="str">
        <f>B17</f>
        <v>交通便捷度</v>
      </c>
      <c r="R17" s="705" t="s">
        <v>14</v>
      </c>
      <c r="S17" s="706">
        <f>F17</f>
        <v>100</v>
      </c>
      <c r="T17" s="705" t="s">
        <v>14</v>
      </c>
      <c r="U17" s="706">
        <f>H17</f>
        <v>100</v>
      </c>
      <c r="V17" s="705" t="s">
        <v>14</v>
      </c>
      <c r="W17" s="706">
        <f>J17</f>
        <v>102</v>
      </c>
      <c r="X17" s="1355"/>
      <c r="Y17" s="3753"/>
      <c r="Z17" s="1356" t="str">
        <f>Q17</f>
        <v>交通便捷度</v>
      </c>
      <c r="AA17" s="1353">
        <f t="shared" si="3"/>
        <v>1</v>
      </c>
      <c r="AB17" s="1353">
        <f t="shared" si="4"/>
        <v>1</v>
      </c>
      <c r="AC17" s="1962">
        <f t="shared" si="5"/>
        <v>0.98039215686274506</v>
      </c>
    </row>
    <row r="18" spans="1:29" ht="15">
      <c r="A18" s="379"/>
      <c r="B18" s="580"/>
      <c r="C18" s="1904" t="s">
        <v>3468</v>
      </c>
      <c r="D18" s="401"/>
      <c r="E18" s="1902" t="s">
        <v>3468</v>
      </c>
      <c r="F18" s="401"/>
      <c r="G18" s="1903" t="s">
        <v>3468</v>
      </c>
      <c r="H18" s="399"/>
      <c r="I18" s="1903" t="s">
        <v>3469</v>
      </c>
      <c r="J18" s="399"/>
      <c r="K18" s="564"/>
      <c r="L18" s="2721"/>
      <c r="M18" s="2715"/>
      <c r="N18" s="2715"/>
      <c r="O18" s="2715"/>
      <c r="P18" s="3760"/>
      <c r="Q18" s="1352"/>
      <c r="R18" s="705"/>
      <c r="S18" s="706"/>
      <c r="T18" s="705"/>
      <c r="U18" s="706"/>
      <c r="V18" s="705"/>
      <c r="W18" s="706"/>
      <c r="X18" s="1355"/>
      <c r="Y18" s="375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2">
        <f t="shared" si="5"/>
        <v>1</v>
      </c>
    </row>
    <row r="20" spans="1:29" ht="15">
      <c r="A20" s="379"/>
      <c r="B20" s="580"/>
      <c r="C20" s="1904" t="s">
        <v>3468</v>
      </c>
      <c r="D20" s="399"/>
      <c r="E20" s="1897" t="s">
        <v>3468</v>
      </c>
      <c r="F20" s="399"/>
      <c r="G20" s="1898" t="s">
        <v>3468</v>
      </c>
      <c r="H20" s="399"/>
      <c r="I20" s="1898" t="s">
        <v>3468</v>
      </c>
      <c r="J20" s="399"/>
      <c r="K20" s="564"/>
      <c r="L20" s="2721"/>
      <c r="M20" s="2715"/>
      <c r="N20" s="2715"/>
      <c r="O20" s="2715"/>
      <c r="P20" s="3760"/>
      <c r="Q20" s="1352"/>
      <c r="R20" s="705"/>
      <c r="S20" s="706"/>
      <c r="T20" s="705"/>
      <c r="U20" s="706"/>
      <c r="V20" s="705"/>
      <c r="W20" s="706"/>
      <c r="X20" s="1355"/>
      <c r="Y20" s="375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2">
        <f t="shared" ref="AC21" si="10">D21/J21</f>
        <v>1</v>
      </c>
    </row>
    <row r="22" spans="1:29" ht="15">
      <c r="A22" s="379"/>
      <c r="B22" s="581"/>
      <c r="C22" s="1964" t="s">
        <v>4013</v>
      </c>
      <c r="D22" s="399"/>
      <c r="E22" s="398" t="s">
        <v>4013</v>
      </c>
      <c r="F22" s="399"/>
      <c r="G22" s="1904" t="s">
        <v>4013</v>
      </c>
      <c r="H22" s="399"/>
      <c r="I22" s="398" t="s">
        <v>4013</v>
      </c>
      <c r="J22" s="399"/>
      <c r="K22" s="1130"/>
      <c r="L22" s="2721"/>
      <c r="M22" s="2715"/>
      <c r="N22" s="2715"/>
      <c r="O22" s="2715"/>
      <c r="P22" s="3760"/>
      <c r="Q22" s="1352"/>
      <c r="R22" s="705"/>
      <c r="S22" s="706"/>
      <c r="T22" s="705"/>
      <c r="U22" s="706"/>
      <c r="V22" s="705"/>
      <c r="W22" s="706"/>
      <c r="X22" s="1355"/>
      <c r="Y22" s="375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0"/>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2">
        <f t="shared" si="5"/>
        <v>1</v>
      </c>
    </row>
    <row r="24" spans="1:29" ht="15">
      <c r="A24" s="379"/>
      <c r="B24" s="581"/>
      <c r="C24" s="1904" t="s">
        <v>3468</v>
      </c>
      <c r="D24" s="399"/>
      <c r="E24" s="1897" t="s">
        <v>3468</v>
      </c>
      <c r="F24" s="399"/>
      <c r="G24" s="1898" t="s">
        <v>3468</v>
      </c>
      <c r="H24" s="399"/>
      <c r="I24" s="1898" t="s">
        <v>3468</v>
      </c>
      <c r="J24" s="399"/>
      <c r="K24" s="564"/>
      <c r="L24" s="2721"/>
      <c r="M24" s="2715"/>
      <c r="N24" s="2715"/>
      <c r="O24" s="2715"/>
      <c r="P24" s="3760"/>
      <c r="Q24" s="1352"/>
      <c r="R24" s="705"/>
      <c r="S24" s="706"/>
      <c r="T24" s="705"/>
      <c r="U24" s="706"/>
      <c r="V24" s="705"/>
      <c r="W24" s="706"/>
      <c r="X24" s="1355"/>
      <c r="Y24" s="3753"/>
      <c r="Z24" s="1356"/>
      <c r="AA24" s="1353">
        <v>1</v>
      </c>
      <c r="AB24" s="1353">
        <v>1</v>
      </c>
      <c r="AC24" s="1962">
        <v>1</v>
      </c>
    </row>
    <row r="25" spans="1:29" ht="27.75">
      <c r="A25" s="358"/>
      <c r="B25" s="579" t="s">
        <v>1815</v>
      </c>
      <c r="C25" s="1908" t="s">
        <v>4037</v>
      </c>
      <c r="D25" s="386">
        <v>100</v>
      </c>
      <c r="E25" s="1908" t="s">
        <v>4041</v>
      </c>
      <c r="F25" s="386">
        <f>SUMIF(87:87,E26,88:88)-SUMIF(87:87,C26,88:88)+100</f>
        <v>102</v>
      </c>
      <c r="G25" s="1908" t="s">
        <v>4038</v>
      </c>
      <c r="H25" s="386">
        <f>SUMIF(87:87,G26,88:88)-SUMIF(87:87,C26,88:88)+100</f>
        <v>100</v>
      </c>
      <c r="I25" s="1908" t="s">
        <v>4039</v>
      </c>
      <c r="J25" s="386">
        <f>SUMIF(87:87,I26,88:88)-SUMIF(87:87,C26,88:88)+100</f>
        <v>102</v>
      </c>
      <c r="K25" s="563">
        <v>1</v>
      </c>
      <c r="L25" s="2721"/>
      <c r="M25" s="2715"/>
      <c r="N25" s="2715"/>
      <c r="O25" s="2715"/>
      <c r="P25" s="3760"/>
      <c r="Q25" s="1352" t="str">
        <f>B25</f>
        <v>毗邻道路的类型与等级</v>
      </c>
      <c r="R25" s="705" t="s">
        <v>14</v>
      </c>
      <c r="S25" s="706">
        <f>F25</f>
        <v>102</v>
      </c>
      <c r="T25" s="705" t="s">
        <v>14</v>
      </c>
      <c r="U25" s="706">
        <f>H25</f>
        <v>100</v>
      </c>
      <c r="V25" s="705" t="s">
        <v>14</v>
      </c>
      <c r="W25" s="706">
        <f>J25</f>
        <v>102</v>
      </c>
      <c r="X25" s="1355"/>
      <c r="Y25" s="3753"/>
      <c r="Z25" s="1356" t="str">
        <f>Q25</f>
        <v>毗邻道路的类型与等级</v>
      </c>
      <c r="AA25" s="1353">
        <f t="shared" si="3"/>
        <v>0.98039215686274506</v>
      </c>
      <c r="AB25" s="1353">
        <f t="shared" si="4"/>
        <v>1</v>
      </c>
      <c r="AC25" s="1962">
        <f t="shared" si="5"/>
        <v>0.98039215686274506</v>
      </c>
    </row>
    <row r="26" spans="1:29" ht="15">
      <c r="A26" s="358"/>
      <c r="B26" s="580"/>
      <c r="C26" s="582" t="s">
        <v>4049</v>
      </c>
      <c r="D26" s="386"/>
      <c r="E26" s="565" t="s">
        <v>4040</v>
      </c>
      <c r="F26" s="386"/>
      <c r="G26" s="582" t="s">
        <v>4049</v>
      </c>
      <c r="H26" s="386"/>
      <c r="I26" s="565" t="s">
        <v>4040</v>
      </c>
      <c r="J26" s="386"/>
      <c r="K26" s="564"/>
      <c r="L26" s="2721"/>
      <c r="M26" s="2715"/>
      <c r="N26" s="2715"/>
      <c r="O26" s="2715"/>
      <c r="P26" s="3760"/>
      <c r="Q26" s="1352"/>
      <c r="R26" s="705"/>
      <c r="S26" s="706"/>
      <c r="T26" s="705"/>
      <c r="U26" s="706"/>
      <c r="V26" s="705"/>
      <c r="W26" s="706"/>
      <c r="X26" s="1355"/>
      <c r="Y26" s="375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0"/>
      <c r="Q27" s="1352" t="str">
        <f t="shared" ref="Q27:Q47" si="11">B27</f>
        <v>楼层</v>
      </c>
      <c r="R27" s="705" t="s">
        <v>14</v>
      </c>
      <c r="S27" s="706">
        <f>F27</f>
        <v>100</v>
      </c>
      <c r="T27" s="705" t="s">
        <v>14</v>
      </c>
      <c r="U27" s="706">
        <f>H27</f>
        <v>100</v>
      </c>
      <c r="V27" s="705" t="s">
        <v>14</v>
      </c>
      <c r="W27" s="706">
        <f>J27</f>
        <v>100</v>
      </c>
      <c r="X27" s="1355"/>
      <c r="Y27" s="375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60"/>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60"/>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60"/>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2">
        <f t="shared" si="5"/>
        <v>1</v>
      </c>
    </row>
    <row r="33" spans="1:29" ht="15">
      <c r="A33" s="391" t="s">
        <v>1694</v>
      </c>
      <c r="B33" s="63" t="s">
        <v>1817</v>
      </c>
      <c r="C33" s="1967" t="s">
        <v>4045</v>
      </c>
      <c r="D33" s="418">
        <v>100</v>
      </c>
      <c r="E33" s="1967" t="s">
        <v>4045</v>
      </c>
      <c r="F33" s="412">
        <f>SUMIF(101:101,E33,102:102)-SUMIF(101:101,C33,102:102)+100</f>
        <v>100</v>
      </c>
      <c r="G33" s="1967" t="s">
        <v>4045</v>
      </c>
      <c r="H33" s="386">
        <f>SUMIF(101:101,G33,102:102)-SUMIF(101:101,C33,102:102)+100</f>
        <v>100</v>
      </c>
      <c r="I33" s="1967" t="s">
        <v>4045</v>
      </c>
      <c r="J33" s="418">
        <f>SUMIF(101:101,I33,102:102)-SUMIF(101:101,C33,102:102)+100</f>
        <v>100</v>
      </c>
      <c r="K33" s="561"/>
      <c r="L33" s="2721"/>
      <c r="M33" s="2715"/>
      <c r="N33" s="2715"/>
      <c r="O33" s="2715"/>
      <c r="P33" s="3754" t="s">
        <v>1696</v>
      </c>
      <c r="Q33" s="1352" t="str">
        <f t="shared" si="11"/>
        <v>建筑类型</v>
      </c>
      <c r="R33" s="705" t="s">
        <v>14</v>
      </c>
      <c r="S33" s="706">
        <f t="shared" si="12"/>
        <v>100</v>
      </c>
      <c r="T33" s="705" t="s">
        <v>14</v>
      </c>
      <c r="U33" s="706">
        <f t="shared" si="13"/>
        <v>100</v>
      </c>
      <c r="V33" s="705" t="s">
        <v>14</v>
      </c>
      <c r="W33" s="706">
        <f t="shared" si="14"/>
        <v>100</v>
      </c>
      <c r="X33" s="1355"/>
      <c r="Y33" s="3757" t="s">
        <v>1696</v>
      </c>
      <c r="Z33" s="1356" t="str">
        <f t="shared" si="15"/>
        <v>建筑类型</v>
      </c>
      <c r="AA33" s="1353">
        <f t="shared" si="3"/>
        <v>1</v>
      </c>
      <c r="AB33" s="1353">
        <f t="shared" si="4"/>
        <v>1</v>
      </c>
      <c r="AC33" s="1962">
        <f t="shared" si="5"/>
        <v>1</v>
      </c>
    </row>
    <row r="34" spans="1:29" s="422" customFormat="1" ht="15">
      <c r="A34" s="419"/>
      <c r="B34" s="375" t="s">
        <v>1697</v>
      </c>
      <c r="C34" s="420">
        <f>'数据-基础表'!B3</f>
        <v>48955.32</v>
      </c>
      <c r="D34" s="127">
        <v>100</v>
      </c>
      <c r="E34" s="381">
        <v>58239.38</v>
      </c>
      <c r="F34" s="376">
        <f>LOOKUP(E34,104:104,105:105)-LOOKUP(C34,104:104,105:105)+100</f>
        <v>101</v>
      </c>
      <c r="G34" s="380">
        <v>15509.5</v>
      </c>
      <c r="H34" s="127">
        <f>LOOKUP(G34,104:104,105:105)-LOOKUP(C34,104:104,105:105)+100</f>
        <v>97</v>
      </c>
      <c r="I34" s="380">
        <v>14000</v>
      </c>
      <c r="J34" s="127">
        <f>LOOKUP(I34,104:104,105:105)-LOOKUP(C34,104:104,105:105)+100</f>
        <v>97</v>
      </c>
      <c r="K34" s="562"/>
      <c r="L34" s="2720"/>
      <c r="M34" s="2722"/>
      <c r="N34" s="2722"/>
      <c r="O34" s="2722"/>
      <c r="P34" s="3755"/>
      <c r="Q34" s="707" t="str">
        <f t="shared" si="11"/>
        <v>项目建筑规模</v>
      </c>
      <c r="R34" s="708" t="s">
        <v>14</v>
      </c>
      <c r="S34" s="709">
        <f t="shared" si="12"/>
        <v>101</v>
      </c>
      <c r="T34" s="708" t="s">
        <v>14</v>
      </c>
      <c r="U34" s="709">
        <f t="shared" si="13"/>
        <v>97</v>
      </c>
      <c r="V34" s="708" t="s">
        <v>14</v>
      </c>
      <c r="W34" s="709">
        <f t="shared" si="14"/>
        <v>97</v>
      </c>
      <c r="X34" s="710"/>
      <c r="Y34" s="3757"/>
      <c r="Z34" s="711" t="str">
        <f t="shared" si="15"/>
        <v>项目建筑规模</v>
      </c>
      <c r="AA34" s="1353">
        <f t="shared" si="3"/>
        <v>0.99009900990099009</v>
      </c>
      <c r="AB34" s="1353">
        <f t="shared" si="4"/>
        <v>1.0309278350515463</v>
      </c>
      <c r="AC34" s="1962">
        <f t="shared" si="5"/>
        <v>1.0309278350515463</v>
      </c>
    </row>
    <row r="35" spans="1:29" ht="15">
      <c r="A35" s="423"/>
      <c r="B35" s="375" t="s">
        <v>1698</v>
      </c>
      <c r="C35" s="411" t="s">
        <v>3454</v>
      </c>
      <c r="D35" s="386">
        <v>100</v>
      </c>
      <c r="E35" s="411" t="s">
        <v>3454</v>
      </c>
      <c r="F35" s="412">
        <f>SUMIF(106:106,E35,107:107)-SUMIF(106:106,C35,107:107)+100</f>
        <v>100</v>
      </c>
      <c r="G35" s="411" t="s">
        <v>3454</v>
      </c>
      <c r="H35" s="386">
        <f>SUMIF(106:106,G35,107:107)-SUMIF(106:106,C35,107:107)+100</f>
        <v>100</v>
      </c>
      <c r="I35" s="411" t="s">
        <v>3454</v>
      </c>
      <c r="J35" s="386">
        <f>SUMIF(106:106,I35,107:107)-SUMIF(106:106,C35,107:107)+100</f>
        <v>100</v>
      </c>
      <c r="K35" s="561"/>
      <c r="L35" s="2721"/>
      <c r="M35" s="2715"/>
      <c r="N35" s="2715"/>
      <c r="O35" s="2715"/>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2">
        <f t="shared" si="5"/>
        <v>1</v>
      </c>
    </row>
    <row r="36" spans="1:29" ht="15">
      <c r="A36" s="423"/>
      <c r="B36" s="375" t="s">
        <v>1785</v>
      </c>
      <c r="C36" s="411" t="s">
        <v>4018</v>
      </c>
      <c r="D36" s="386">
        <v>100</v>
      </c>
      <c r="E36" s="411" t="s">
        <v>4018</v>
      </c>
      <c r="F36" s="412">
        <f>SUMIF(108:108,E36,109:109)-SUMIF(108:108,C36,109:109)+100</f>
        <v>100</v>
      </c>
      <c r="G36" s="411" t="s">
        <v>4018</v>
      </c>
      <c r="H36" s="386">
        <f>SUMIF(108:108,G36,109:109)-SUMIF(108:108,C36,109:109)+100</f>
        <v>100</v>
      </c>
      <c r="I36" s="411" t="s">
        <v>4018</v>
      </c>
      <c r="J36" s="386">
        <f>SUMIF(108:108,I36,109:109)-SUMIF(108:108,C36,109:109)+100</f>
        <v>100</v>
      </c>
      <c r="K36" s="561"/>
      <c r="L36" s="2721"/>
      <c r="M36" s="2715"/>
      <c r="N36" s="2715"/>
      <c r="O36" s="2715"/>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2">
        <f t="shared" si="5"/>
        <v>1</v>
      </c>
    </row>
    <row r="37" spans="1:29" ht="15">
      <c r="A37" s="423"/>
      <c r="B37" s="375" t="s">
        <v>1786</v>
      </c>
      <c r="C37" s="425">
        <f>'数据-取费表'!N6</f>
        <v>0.88</v>
      </c>
      <c r="D37" s="386">
        <v>100</v>
      </c>
      <c r="E37" s="425">
        <v>0.83</v>
      </c>
      <c r="F37" s="412">
        <f>LOOKUP(E37,111:111,112:112)-LOOKUP(C37,111:111,112:112)+100</f>
        <v>100</v>
      </c>
      <c r="G37" s="425">
        <v>0.8</v>
      </c>
      <c r="H37" s="412">
        <f>LOOKUP(G37,111:111,112:112)-LOOKUP(C37,111:111,112:112)+100</f>
        <v>100</v>
      </c>
      <c r="I37" s="425">
        <v>0.88</v>
      </c>
      <c r="J37" s="386">
        <f>LOOKUP(I37,111:111,112:112)-LOOKUP(C37,111:111,112:112)+100</f>
        <v>100</v>
      </c>
      <c r="K37" s="561">
        <v>1</v>
      </c>
      <c r="L37" s="2721"/>
      <c r="M37" s="2715"/>
      <c r="N37" s="2715"/>
      <c r="O37" s="2715"/>
      <c r="P37" s="3755"/>
      <c r="Q37" s="1352" t="str">
        <f t="shared" si="11"/>
        <v>成新度</v>
      </c>
      <c r="R37" s="705" t="s">
        <v>14</v>
      </c>
      <c r="S37" s="706">
        <f t="shared" si="12"/>
        <v>100</v>
      </c>
      <c r="T37" s="705" t="s">
        <v>14</v>
      </c>
      <c r="U37" s="706">
        <f t="shared" si="13"/>
        <v>100</v>
      </c>
      <c r="V37" s="705" t="s">
        <v>14</v>
      </c>
      <c r="W37" s="706">
        <f t="shared" si="14"/>
        <v>100</v>
      </c>
      <c r="X37" s="1355"/>
      <c r="Y37" s="375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9">
        <f t="shared" si="5"/>
        <v>1</v>
      </c>
    </row>
    <row r="39" spans="1:29" ht="15">
      <c r="A39" s="423"/>
      <c r="B39" s="375" t="s">
        <v>1819</v>
      </c>
      <c r="C39" s="411" t="s">
        <v>4020</v>
      </c>
      <c r="D39" s="386">
        <v>100</v>
      </c>
      <c r="E39" s="411" t="s">
        <v>4020</v>
      </c>
      <c r="F39" s="412">
        <f>SUMIF(115:115,E39,116:116)-SUMIF(115:115,C39,116:116)+100</f>
        <v>100</v>
      </c>
      <c r="G39" s="411" t="s">
        <v>4020</v>
      </c>
      <c r="H39" s="386">
        <f>SUMIF(115:115,G39,116:116)-SUMIF(115:115,C39,116:116)+100</f>
        <v>100</v>
      </c>
      <c r="I39" s="411" t="s">
        <v>4020</v>
      </c>
      <c r="J39" s="386">
        <f>SUMIF(115:115,I39,116:116)-SUMIF(115:115,C39,116:116)+100</f>
        <v>100</v>
      </c>
      <c r="K39" s="561"/>
      <c r="L39" s="2721"/>
      <c r="M39" s="2715"/>
      <c r="N39" s="2715"/>
      <c r="O39" s="2715"/>
      <c r="P39" s="3755" t="s">
        <v>1696</v>
      </c>
      <c r="Q39" s="1352" t="str">
        <f t="shared" si="11"/>
        <v>物业管理</v>
      </c>
      <c r="R39" s="705" t="s">
        <v>14</v>
      </c>
      <c r="S39" s="706">
        <f t="shared" si="12"/>
        <v>100</v>
      </c>
      <c r="T39" s="705" t="s">
        <v>14</v>
      </c>
      <c r="U39" s="706">
        <f t="shared" si="13"/>
        <v>100</v>
      </c>
      <c r="V39" s="705" t="s">
        <v>14</v>
      </c>
      <c r="W39" s="706">
        <f t="shared" si="14"/>
        <v>100</v>
      </c>
      <c r="X39" s="1355"/>
      <c r="Y39" s="3757" t="s">
        <v>1696</v>
      </c>
      <c r="Z39" s="1356" t="str">
        <f t="shared" si="15"/>
        <v>物业管理</v>
      </c>
      <c r="AA39" s="1353">
        <f t="shared" si="3"/>
        <v>1</v>
      </c>
      <c r="AB39" s="1353">
        <f t="shared" si="4"/>
        <v>1</v>
      </c>
      <c r="AC39" s="1962">
        <f t="shared" si="5"/>
        <v>1</v>
      </c>
    </row>
    <row r="40" spans="1:29" ht="15">
      <c r="A40" s="423"/>
      <c r="B40" s="375" t="s">
        <v>1787</v>
      </c>
      <c r="C40" s="411" t="s">
        <v>4031</v>
      </c>
      <c r="D40" s="386">
        <v>100</v>
      </c>
      <c r="E40" s="411" t="s">
        <v>4031</v>
      </c>
      <c r="F40" s="412">
        <f>SUMIF(117:117,E40,118:118)-SUMIF(117:117,C40,118:118)+100</f>
        <v>100</v>
      </c>
      <c r="G40" s="411" t="s">
        <v>4031</v>
      </c>
      <c r="H40" s="386">
        <f>SUMIF(117:117,G40,118:118)-SUMIF(117:117,C40,118:118)+100</f>
        <v>100</v>
      </c>
      <c r="I40" s="411" t="s">
        <v>4013</v>
      </c>
      <c r="J40" s="386">
        <f>SUMIF(117:117,I40,118:118)-SUMIF(117:117,C40,118:118)+100</f>
        <v>102</v>
      </c>
      <c r="K40" s="561">
        <v>1</v>
      </c>
      <c r="L40" s="2721"/>
      <c r="M40" s="2715"/>
      <c r="N40" s="2715"/>
      <c r="O40" s="2715"/>
      <c r="P40" s="3755"/>
      <c r="Q40" s="1352" t="str">
        <f t="shared" si="11"/>
        <v>市政基础设施</v>
      </c>
      <c r="R40" s="705" t="s">
        <v>14</v>
      </c>
      <c r="S40" s="706">
        <f t="shared" si="12"/>
        <v>100</v>
      </c>
      <c r="T40" s="705" t="s">
        <v>14</v>
      </c>
      <c r="U40" s="706">
        <f t="shared" si="13"/>
        <v>100</v>
      </c>
      <c r="V40" s="705" t="s">
        <v>14</v>
      </c>
      <c r="W40" s="706">
        <f t="shared" si="14"/>
        <v>102</v>
      </c>
      <c r="X40" s="1355"/>
      <c r="Y40" s="3757"/>
      <c r="Z40" s="1356" t="str">
        <f t="shared" si="15"/>
        <v>市政基础设施</v>
      </c>
      <c r="AA40" s="1353">
        <f t="shared" si="3"/>
        <v>1</v>
      </c>
      <c r="AB40" s="1353">
        <f t="shared" si="4"/>
        <v>1</v>
      </c>
      <c r="AC40" s="1962">
        <f t="shared" si="5"/>
        <v>0.98039215686274506</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2">
        <f t="shared" si="5"/>
        <v>1</v>
      </c>
    </row>
    <row r="43" spans="1:29" ht="15">
      <c r="A43" s="423"/>
      <c r="B43" s="375" t="s">
        <v>1792</v>
      </c>
      <c r="C43" s="411" t="s">
        <v>4018</v>
      </c>
      <c r="D43" s="386">
        <v>100</v>
      </c>
      <c r="E43" s="411" t="s">
        <v>4018</v>
      </c>
      <c r="F43" s="412">
        <f>SUMIF(123:123,E43,124:124)-SUMIF(123:123,C43,124:124)+100</f>
        <v>100</v>
      </c>
      <c r="G43" s="411" t="s">
        <v>4033</v>
      </c>
      <c r="H43" s="386">
        <f>SUMIF(123:123,G43,124:124)-SUMIF(123:123,C43,124:124)+100</f>
        <v>97</v>
      </c>
      <c r="I43" s="411" t="s">
        <v>4033</v>
      </c>
      <c r="J43" s="386">
        <f>SUMIF(123:123,I43,124:124)-SUMIF(123:123,C43,124:124)+100</f>
        <v>97</v>
      </c>
      <c r="K43" s="561">
        <v>3</v>
      </c>
      <c r="L43" s="2721"/>
      <c r="M43" s="2715"/>
      <c r="N43" s="2715"/>
      <c r="O43" s="2715"/>
      <c r="P43" s="3755"/>
      <c r="Q43" s="1352" t="str">
        <f t="shared" si="11"/>
        <v>内部装修</v>
      </c>
      <c r="R43" s="705" t="s">
        <v>14</v>
      </c>
      <c r="S43" s="706">
        <f t="shared" si="12"/>
        <v>100</v>
      </c>
      <c r="T43" s="705" t="s">
        <v>14</v>
      </c>
      <c r="U43" s="706">
        <f t="shared" si="13"/>
        <v>97</v>
      </c>
      <c r="V43" s="705" t="s">
        <v>14</v>
      </c>
      <c r="W43" s="706">
        <f t="shared" si="14"/>
        <v>97</v>
      </c>
      <c r="X43" s="1355"/>
      <c r="Y43" s="3757"/>
      <c r="Z43" s="1356" t="str">
        <f t="shared" si="15"/>
        <v>内部装修</v>
      </c>
      <c r="AA43" s="1353">
        <f t="shared" si="3"/>
        <v>1</v>
      </c>
      <c r="AB43" s="1353">
        <f t="shared" si="4"/>
        <v>1.0309278350515463</v>
      </c>
      <c r="AC43" s="1962">
        <f t="shared" si="5"/>
        <v>1.0309278350515463</v>
      </c>
    </row>
    <row r="44" spans="1:29" ht="15">
      <c r="A44" s="423"/>
      <c r="B44" s="375" t="s">
        <v>1707</v>
      </c>
      <c r="C44" s="411" t="s">
        <v>3468</v>
      </c>
      <c r="D44" s="386">
        <v>100</v>
      </c>
      <c r="E44" s="411" t="s">
        <v>3468</v>
      </c>
      <c r="F44" s="412">
        <f>SUMIF(125:125,E44,126:126)-SUMIF(125:125,C44,126:126)+100</f>
        <v>100</v>
      </c>
      <c r="G44" s="411" t="s">
        <v>3468</v>
      </c>
      <c r="H44" s="386">
        <f>SUMIF(125:125,G44,126:126)-SUMIF(125:125,C44,126:126)+100</f>
        <v>100</v>
      </c>
      <c r="I44" s="411" t="s">
        <v>3468</v>
      </c>
      <c r="J44" s="386">
        <f>SUMIF(125:125,I44,126:126)-SUMIF(125:125,C44,126:126)+100</f>
        <v>100</v>
      </c>
      <c r="K44" s="561"/>
      <c r="L44" s="2721"/>
      <c r="M44" s="2715"/>
      <c r="N44" s="2715"/>
      <c r="O44" s="2715"/>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2">
        <f t="shared" si="5"/>
        <v>1</v>
      </c>
    </row>
    <row r="45" spans="1:29" s="108" customFormat="1" ht="15">
      <c r="A45" s="424"/>
      <c r="B45" s="3520" t="s">
        <v>3999</v>
      </c>
      <c r="C45" s="3521" t="s">
        <v>4000</v>
      </c>
      <c r="D45" s="127">
        <v>100</v>
      </c>
      <c r="E45" s="3522" t="s">
        <v>4000</v>
      </c>
      <c r="F45" s="376">
        <f>SUMIF(127:127,E45,128:128)-SUMIF(127:127,C45,128:128)+100</f>
        <v>100</v>
      </c>
      <c r="G45" s="3522" t="s">
        <v>4011</v>
      </c>
      <c r="H45" s="127">
        <f>SUMIF(127:127,G45,128:128)-SUMIF(127:127,C45,128:128)+100</f>
        <v>100</v>
      </c>
      <c r="I45" s="3522" t="s">
        <v>4010</v>
      </c>
      <c r="J45" s="127">
        <f>SUMIF(127:127,I45,128:128)-SUMIF(127:127,C45,128:128)+100</f>
        <v>100</v>
      </c>
      <c r="K45" s="562"/>
      <c r="L45" s="2716"/>
      <c r="M45" s="2717"/>
      <c r="N45" s="2717"/>
      <c r="O45" s="2717"/>
      <c r="P45" s="3755"/>
      <c r="Q45" s="1343" t="str">
        <f t="shared" si="11"/>
        <v>是否含地下车库</v>
      </c>
      <c r="R45" s="701" t="s">
        <v>14</v>
      </c>
      <c r="S45" s="702">
        <f t="shared" si="12"/>
        <v>100</v>
      </c>
      <c r="T45" s="701" t="s">
        <v>14</v>
      </c>
      <c r="U45" s="702">
        <f t="shared" si="13"/>
        <v>100</v>
      </c>
      <c r="V45" s="701" t="s">
        <v>14</v>
      </c>
      <c r="W45" s="702">
        <f t="shared" si="14"/>
        <v>100</v>
      </c>
      <c r="X45" s="703"/>
      <c r="Y45" s="3757"/>
      <c r="Z45" s="52" t="str">
        <f t="shared" si="15"/>
        <v>是否含地下车库</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2">
        <f t="shared" si="5"/>
        <v>1</v>
      </c>
    </row>
    <row r="48" spans="1:29" ht="15">
      <c r="A48" s="430" t="s">
        <v>1708</v>
      </c>
      <c r="B48" s="431"/>
      <c r="C48" s="1154" t="s">
        <v>0</v>
      </c>
      <c r="D48" s="1155"/>
      <c r="E48" s="1156">
        <f>ROUND(2037042000/E34,0)</f>
        <v>34977</v>
      </c>
      <c r="F48" s="1157"/>
      <c r="G48" s="1158">
        <f>售价!R3</f>
        <v>36707</v>
      </c>
      <c r="H48" s="1159"/>
      <c r="I48" s="1156">
        <v>38000</v>
      </c>
      <c r="J48" s="436"/>
      <c r="K48" s="714"/>
      <c r="L48" s="2723"/>
      <c r="M48" s="2715"/>
      <c r="N48" s="2715"/>
      <c r="O48" s="2715"/>
      <c r="P48" s="3761" t="str">
        <f>A48</f>
        <v>成交单价（元/平方米）</v>
      </c>
      <c r="Q48" s="3750"/>
      <c r="R48" s="3751">
        <f>E48</f>
        <v>34977</v>
      </c>
      <c r="S48" s="3751"/>
      <c r="T48" s="3751">
        <f>G48</f>
        <v>36707</v>
      </c>
      <c r="U48" s="3751"/>
      <c r="V48" s="3751">
        <f>I48</f>
        <v>38000</v>
      </c>
      <c r="W48" s="3751"/>
      <c r="X48" s="397"/>
      <c r="Y48" s="712"/>
      <c r="Z48" s="397"/>
      <c r="AA48" s="397"/>
      <c r="AB48" s="397"/>
      <c r="AC48" s="578"/>
    </row>
    <row r="49" spans="1:29" ht="15.75" thickBot="1">
      <c r="A49" s="437" t="s">
        <v>1793</v>
      </c>
      <c r="B49" s="438"/>
      <c r="C49" s="1160">
        <f>R50</f>
        <v>35929</v>
      </c>
      <c r="D49" s="2317" t="s">
        <v>2138</v>
      </c>
      <c r="E49" s="1161">
        <f>R49</f>
        <v>32963</v>
      </c>
      <c r="F49" s="2318"/>
      <c r="G49" s="1160">
        <f>T49</f>
        <v>37876</v>
      </c>
      <c r="H49" s="2318"/>
      <c r="I49" s="1161">
        <f>V49</f>
        <v>36949</v>
      </c>
      <c r="J49" s="2318"/>
      <c r="K49" s="2320">
        <f>F49+H49+J49</f>
        <v>0</v>
      </c>
      <c r="L49" s="2723"/>
      <c r="M49" s="2715"/>
      <c r="N49" s="2715"/>
      <c r="O49" s="2715"/>
      <c r="P49" s="3761" t="str">
        <f>A49</f>
        <v>比较价值（元/平方米）</v>
      </c>
      <c r="Q49" s="3750"/>
      <c r="R49" s="3751">
        <f>IF(F1="售价",ROUND(PRODUCT(R48,AA7:AA47),0),ROUND(PRODUCT(R48,AA7:AA47),1))</f>
        <v>32963</v>
      </c>
      <c r="S49" s="3751"/>
      <c r="T49" s="3751">
        <f>IF(F1="售价",ROUND(PRODUCT(T48,AB7:AB47),0),ROUND(PRODUCT(T48,AB7:AB47),1))</f>
        <v>37876</v>
      </c>
      <c r="U49" s="3751"/>
      <c r="V49" s="3751">
        <f>IF(F1="售价",ROUND(PRODUCT(V48,AC7:AC47),0),ROUND(PRODUCT(V48,AC7:AC47),1))</f>
        <v>36949</v>
      </c>
      <c r="W49" s="3751"/>
      <c r="X49" s="397"/>
      <c r="Y49" s="397"/>
      <c r="Z49" s="397"/>
      <c r="AA49" s="397"/>
      <c r="AB49" s="397"/>
      <c r="AC49" s="578"/>
    </row>
    <row r="50" spans="1:29" ht="15.75" thickBot="1">
      <c r="A50" s="441" t="s">
        <v>1794</v>
      </c>
      <c r="B50" s="442"/>
      <c r="C50" s="1163">
        <f>R50</f>
        <v>35929</v>
      </c>
      <c r="D50" s="1163"/>
      <c r="E50" s="1163"/>
      <c r="F50" s="1163"/>
      <c r="G50" s="1163"/>
      <c r="H50" s="1163"/>
      <c r="I50" s="1163"/>
      <c r="J50" s="443"/>
      <c r="K50" s="715"/>
      <c r="L50" s="2723"/>
      <c r="M50" s="2715"/>
      <c r="N50" s="2715"/>
      <c r="O50" s="2715"/>
      <c r="P50" s="3793" t="str">
        <f>A50</f>
        <v>估价对象XX用房的比较价值（楼面单价，元/平方米）</v>
      </c>
      <c r="Q50" s="3794"/>
      <c r="R50" s="3795">
        <f>IF(F1="售价",ROUND(IF(D49="简单平均",AVERAGE(R49:V49),R49*F49+T49*H49+V49*J49),0),ROUND(IF(D49="简单平均",AVERAGE(R49:V49),R49*F49+T49*H49+V49*J49),1))</f>
        <v>35929</v>
      </c>
      <c r="S50" s="3795"/>
      <c r="T50" s="3795"/>
      <c r="U50" s="3795"/>
      <c r="V50" s="3795"/>
      <c r="W50" s="3795"/>
      <c r="X50" s="1946"/>
      <c r="Y50" s="1946"/>
      <c r="Z50" s="1946"/>
      <c r="AA50" s="1946"/>
      <c r="AB50" s="1946"/>
      <c r="AC50" s="1947"/>
    </row>
    <row r="51" spans="1:29">
      <c r="A51" s="2724"/>
      <c r="B51" s="2724"/>
      <c r="C51" s="2724"/>
      <c r="D51" s="2724"/>
      <c r="E51" s="2724">
        <v>31.05</v>
      </c>
      <c r="F51" s="2724"/>
      <c r="G51" s="3523">
        <v>39</v>
      </c>
      <c r="H51" s="2724"/>
      <c r="I51" s="2724">
        <v>30</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6.1098807754148554E-2</v>
      </c>
      <c r="F53" s="449" t="str">
        <f>IF(OR(E53&gt;=0.3,E53&lt;=-0.3),"超过30%","")</f>
        <v/>
      </c>
      <c r="G53" s="448">
        <f>IF(G48&lt;G49,G49/G48-1,G48/G49-1)</f>
        <v>3.1846786716430042E-2</v>
      </c>
      <c r="H53" s="449" t="str">
        <f>IF(OR(G53&gt;=0.3,G53&lt;=-0.3),"超过30%","")</f>
        <v/>
      </c>
      <c r="I53" s="448">
        <f>IF(I48&lt;I49,I49/I48-1,I48/I49-1)</f>
        <v>2.8444612844731987E-2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0.14904589994842699</v>
      </c>
      <c r="F54" s="449" t="str">
        <f>IF(OR(E54&gt;=0.2,E54&lt;=-0.2),"超过20%","")</f>
        <v/>
      </c>
      <c r="G54" s="448">
        <f>IF(G49&lt;I49,I49/G49-1,G49/I49-1)</f>
        <v>2.5088635687028127E-2</v>
      </c>
      <c r="H54" s="449" t="str">
        <f>IF(OR(G54&gt;=0.2,G54&lt;=-0.2),"超过20%","")</f>
        <v/>
      </c>
      <c r="I54" s="448">
        <f>IF(I49&lt;E49,E49/I49-1,I49/E49-1)</f>
        <v>0.12092345963656226</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4.9461074420333428E-2</v>
      </c>
      <c r="F55" s="449" t="str">
        <f>IF(OR(E55&gt;=0.3,E55&lt;=-0.3),"超过30%","")</f>
        <v/>
      </c>
      <c r="G55" s="448">
        <f>IF(G48&lt;I48,I48/G48-1,G48/I48-1)</f>
        <v>3.5224888985752045E-2</v>
      </c>
      <c r="H55" s="449" t="str">
        <f>IF(OR(G55&gt;=0.3,G55&lt;=-0.3),"超过30%","")</f>
        <v/>
      </c>
      <c r="I55" s="448">
        <f>IF(I48&lt;E48,E48/I48-1,I48/E48-1)</f>
        <v>8.6428224261657638E-2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99</v>
      </c>
      <c r="G60" s="461">
        <v>99</v>
      </c>
      <c r="H60" s="461">
        <v>99</v>
      </c>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528">
        <f>C10</f>
        <v>21.67</v>
      </c>
      <c r="D66" s="532" t="s">
        <v>4034</v>
      </c>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103</v>
      </c>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524" t="s">
        <v>4014</v>
      </c>
      <c r="D87" s="3524" t="s">
        <v>4015</v>
      </c>
      <c r="E87" s="3524" t="s">
        <v>4016</v>
      </c>
      <c r="F87" s="3525" t="s">
        <v>4035</v>
      </c>
      <c r="G87" s="3525" t="s">
        <v>4036</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30" t="s">
        <v>4046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40000(含)-50000</v>
      </c>
      <c r="H103" s="527" t="str">
        <f t="shared" si="23"/>
        <v>50000(含)-60000</v>
      </c>
      <c r="I103" s="527" t="str">
        <f t="shared" si="23"/>
        <v>60000(含)-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10000</v>
      </c>
      <c r="E104" s="544">
        <v>20000</v>
      </c>
      <c r="F104" s="544">
        <v>30000</v>
      </c>
      <c r="G104" s="544">
        <v>40000</v>
      </c>
      <c r="H104" s="544">
        <v>50000</v>
      </c>
      <c r="I104" s="544">
        <v>60000</v>
      </c>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101</v>
      </c>
      <c r="E105" s="485">
        <v>102</v>
      </c>
      <c r="F105" s="485">
        <v>103</v>
      </c>
      <c r="G105" s="485">
        <v>104</v>
      </c>
      <c r="H105" s="485">
        <v>105</v>
      </c>
      <c r="I105" s="485">
        <v>106</v>
      </c>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525" t="s">
        <v>4017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525" t="s">
        <v>4019</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525" t="s">
        <v>4021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24" t="s">
        <v>4022</v>
      </c>
      <c r="D117" s="3524" t="s">
        <v>4023</v>
      </c>
      <c r="E117" s="3524" t="s">
        <v>4024</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24" t="s">
        <v>4025</v>
      </c>
      <c r="D123" s="3524" t="s">
        <v>4026</v>
      </c>
      <c r="E123" s="3524" t="s">
        <v>4027</v>
      </c>
      <c r="F123" s="3526" t="s">
        <v>4028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是否含地下车库</v>
      </c>
      <c r="C127" s="3525" t="s">
        <v>4029</v>
      </c>
      <c r="D127" s="3525" t="s">
        <v>4030</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9:S194"/>
  <sheetViews>
    <sheetView zoomScale="85" zoomScaleNormal="85" workbookViewId="0">
      <selection activeCell="F34" sqref="F34"/>
    </sheetView>
  </sheetViews>
  <sheetFormatPr defaultRowHeight="13.5"/>
  <cols>
    <col min="11" max="11" width="10.5" bestFit="1" customWidth="1"/>
    <col min="13" max="13" width="12.75" bestFit="1" customWidth="1"/>
  </cols>
  <sheetData>
    <row r="19" spans="1:13">
      <c r="K19">
        <f>1.376*100000000</f>
        <v>137600000</v>
      </c>
      <c r="L19">
        <v>21906.48</v>
      </c>
      <c r="M19">
        <f>K19/L19</f>
        <v>6281.2464622340058</v>
      </c>
    </row>
    <row r="31" spans="1:13">
      <c r="A31" s="3500" t="s">
        <v>3478</v>
      </c>
    </row>
    <row r="32" spans="1:13">
      <c r="A32" s="3500" t="s">
        <v>3479</v>
      </c>
    </row>
    <row r="33" spans="1:19">
      <c r="A33" s="3500" t="s">
        <v>3480</v>
      </c>
    </row>
    <row r="34" spans="1:19">
      <c r="A34" s="3500" t="s">
        <v>3481</v>
      </c>
    </row>
    <row r="35" spans="1:19">
      <c r="A35" s="3500" t="s">
        <v>3482</v>
      </c>
    </row>
    <row r="36" spans="1:19">
      <c r="A36" s="3500" t="s">
        <v>3483</v>
      </c>
    </row>
    <row r="37" spans="1:19">
      <c r="A37" s="3500" t="s">
        <v>3484</v>
      </c>
    </row>
    <row r="38" spans="1:19">
      <c r="A38" t="s">
        <v>3487</v>
      </c>
    </row>
    <row r="47" spans="1:19">
      <c r="Q47" t="s">
        <v>3498</v>
      </c>
    </row>
    <row r="48" spans="1:19">
      <c r="R48" s="3500" t="s">
        <v>3496</v>
      </c>
      <c r="S48">
        <v>10</v>
      </c>
    </row>
    <row r="49" spans="18:19">
      <c r="R49" s="3500" t="s">
        <v>3497</v>
      </c>
      <c r="S49">
        <v>1200</v>
      </c>
    </row>
    <row r="68" spans="1:1">
      <c r="A68" t="s">
        <v>3486</v>
      </c>
    </row>
    <row r="110" spans="1:1">
      <c r="A110" t="s">
        <v>3485</v>
      </c>
    </row>
    <row r="153" spans="1:1">
      <c r="A153" t="s">
        <v>3488</v>
      </c>
    </row>
    <row r="172" spans="1:1">
      <c r="A172" t="s">
        <v>3489</v>
      </c>
    </row>
    <row r="194" spans="1:1">
      <c r="A194" s="3500" t="s">
        <v>4012</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S92"/>
  <sheetViews>
    <sheetView topLeftCell="I46" zoomScaleNormal="100" workbookViewId="0">
      <selection activeCell="J49" sqref="J49"/>
    </sheetView>
  </sheetViews>
  <sheetFormatPr defaultRowHeight="13.5"/>
  <cols>
    <col min="1" max="13" width="9" style="3501"/>
    <col min="14" max="14" width="10.5" style="3501" bestFit="1" customWidth="1"/>
    <col min="15" max="16384" width="9" style="3501"/>
  </cols>
  <sheetData>
    <row r="2" spans="1:19">
      <c r="A2" s="3501" t="s">
        <v>3490</v>
      </c>
      <c r="S2" s="3501" t="s">
        <v>4002</v>
      </c>
    </row>
    <row r="3" spans="1:19">
      <c r="R3" s="3501">
        <f>ROUND(569299500/15509.5,0)</f>
        <v>36707</v>
      </c>
    </row>
    <row r="4" spans="1:19">
      <c r="N4" s="3501">
        <f>5.69*100000000</f>
        <v>569000000</v>
      </c>
      <c r="R4" s="3515" t="s">
        <v>4003</v>
      </c>
    </row>
    <row r="5" spans="1:19">
      <c r="N5" s="3501">
        <v>15509.5</v>
      </c>
    </row>
    <row r="6" spans="1:19">
      <c r="N6" s="3501">
        <f>ROUND(N4/N5,0)</f>
        <v>36687</v>
      </c>
      <c r="R6" s="3501">
        <f>2022-2010-2</f>
        <v>10</v>
      </c>
    </row>
    <row r="7" spans="1:19">
      <c r="R7" s="3501">
        <f>50-R6</f>
        <v>40</v>
      </c>
    </row>
    <row r="8" spans="1:19">
      <c r="R8" s="3527">
        <f>(60-12)/60</f>
        <v>0.8</v>
      </c>
    </row>
    <row r="11" spans="1:19">
      <c r="A11" s="3501" t="s">
        <v>3491</v>
      </c>
    </row>
    <row r="12" spans="1:19">
      <c r="N12" s="3501" t="s">
        <v>3495</v>
      </c>
    </row>
    <row r="20" spans="1:1">
      <c r="A20" s="3501" t="s">
        <v>3492</v>
      </c>
    </row>
    <row r="29" spans="1:1">
      <c r="A29" s="3501" t="s">
        <v>3493</v>
      </c>
    </row>
    <row r="38" spans="1:16">
      <c r="A38" s="3501" t="s">
        <v>3494</v>
      </c>
    </row>
    <row r="39" spans="1:16">
      <c r="P39" s="3501">
        <f>2053-2023</f>
        <v>30</v>
      </c>
    </row>
    <row r="40" spans="1:16">
      <c r="P40" s="3515" t="s">
        <v>4032</v>
      </c>
    </row>
    <row r="41" spans="1:16">
      <c r="P41" s="3501">
        <f>2022-2015</f>
        <v>7</v>
      </c>
    </row>
    <row r="42" spans="1:16">
      <c r="P42" s="3527">
        <f>(60-P41)/60</f>
        <v>0.8833333333333333</v>
      </c>
    </row>
    <row r="50" spans="1:7">
      <c r="C50" s="3501">
        <v>2012</v>
      </c>
      <c r="D50" s="3501">
        <f>2022-C50</f>
        <v>10</v>
      </c>
    </row>
    <row r="51" spans="1:7">
      <c r="A51" s="3515" t="s">
        <v>3996</v>
      </c>
      <c r="C51" s="3517">
        <v>56259</v>
      </c>
      <c r="D51" s="3518">
        <v>44926</v>
      </c>
      <c r="E51" s="3519">
        <f>(C51-D51)/365</f>
        <v>31.049315068493151</v>
      </c>
      <c r="F51" s="3501" t="s">
        <v>4001</v>
      </c>
      <c r="G51" s="3527">
        <f>(60-D50)/60</f>
        <v>0.83333333333333337</v>
      </c>
    </row>
    <row r="92" spans="1:3">
      <c r="A92" s="3512" t="s">
        <v>3766</v>
      </c>
      <c r="B92" s="3501" t="s">
        <v>4005</v>
      </c>
      <c r="C92" s="3515" t="s">
        <v>4006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48955.32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65" t="s">
        <v>1770</v>
      </c>
      <c r="D4" s="3766"/>
      <c r="E4" s="3767" t="s">
        <v>1771</v>
      </c>
      <c r="F4" s="3768"/>
      <c r="G4" s="3765" t="s">
        <v>1772</v>
      </c>
      <c r="H4" s="3766"/>
      <c r="I4" s="3765" t="s">
        <v>1773</v>
      </c>
      <c r="J4" s="3766"/>
      <c r="K4" s="559" t="s">
        <v>1774</v>
      </c>
      <c r="L4" s="913"/>
      <c r="M4" s="914"/>
      <c r="N4" s="914"/>
      <c r="O4" s="914"/>
      <c r="P4" s="3769" t="s">
        <v>1775</v>
      </c>
      <c r="Q4" s="3770"/>
      <c r="R4" s="3775" t="s">
        <v>1771</v>
      </c>
      <c r="S4" s="3776"/>
      <c r="T4" s="3775" t="s">
        <v>1772</v>
      </c>
      <c r="U4" s="3776"/>
      <c r="V4" s="3781" t="s">
        <v>1773</v>
      </c>
      <c r="W4" s="3781"/>
      <c r="X4" s="1355"/>
      <c r="Y4" s="3775" t="s">
        <v>1775</v>
      </c>
      <c r="Z4" s="3776"/>
      <c r="AA4" s="3762" t="s">
        <v>1771</v>
      </c>
      <c r="AB4" s="3763" t="s">
        <v>1772</v>
      </c>
      <c r="AC4" s="3762" t="s">
        <v>1773</v>
      </c>
    </row>
    <row r="5" spans="1:29" ht="15">
      <c r="A5" s="358"/>
      <c r="B5" s="359"/>
      <c r="C5" s="3784" t="s">
        <v>1673</v>
      </c>
      <c r="D5" s="3785"/>
      <c r="E5" s="3791" t="s">
        <v>1674</v>
      </c>
      <c r="F5" s="3792"/>
      <c r="G5" s="3784" t="s">
        <v>1675</v>
      </c>
      <c r="H5" s="3785"/>
      <c r="I5" s="3784" t="s">
        <v>1676</v>
      </c>
      <c r="J5" s="3785"/>
      <c r="K5" s="559"/>
      <c r="L5" s="913"/>
      <c r="M5" s="914"/>
      <c r="N5" s="914"/>
      <c r="O5" s="914"/>
      <c r="P5" s="3771"/>
      <c r="Q5" s="3772"/>
      <c r="R5" s="3777"/>
      <c r="S5" s="3778"/>
      <c r="T5" s="3777"/>
      <c r="U5" s="3778"/>
      <c r="V5" s="3781"/>
      <c r="W5" s="3781"/>
      <c r="X5" s="1355"/>
      <c r="Y5" s="3777"/>
      <c r="Z5" s="3778"/>
      <c r="AA5" s="3763"/>
      <c r="AB5" s="3763"/>
      <c r="AC5" s="3763"/>
    </row>
    <row r="6" spans="1:29" ht="15.75" thickBot="1">
      <c r="A6" s="360"/>
      <c r="B6" s="361"/>
      <c r="C6" s="3782" t="s">
        <v>1677</v>
      </c>
      <c r="D6" s="3783"/>
      <c r="E6" s="3789" t="s">
        <v>1677</v>
      </c>
      <c r="F6" s="3790"/>
      <c r="G6" s="3782" t="s">
        <v>1677</v>
      </c>
      <c r="H6" s="3783"/>
      <c r="I6" s="3782" t="s">
        <v>1677</v>
      </c>
      <c r="J6" s="3783"/>
      <c r="K6" s="559" t="s">
        <v>1678</v>
      </c>
      <c r="L6" s="913"/>
      <c r="M6" s="914"/>
      <c r="N6" s="914"/>
      <c r="O6" s="914"/>
      <c r="P6" s="3773"/>
      <c r="Q6" s="3774"/>
      <c r="R6" s="3777"/>
      <c r="S6" s="3778"/>
      <c r="T6" s="3779"/>
      <c r="U6" s="3780"/>
      <c r="V6" s="3781"/>
      <c r="W6" s="3781"/>
      <c r="X6" s="1355"/>
      <c r="Y6" s="3779"/>
      <c r="Z6" s="3780"/>
      <c r="AA6" s="3764"/>
      <c r="AB6" s="3764"/>
      <c r="AC6" s="3764"/>
    </row>
    <row r="7" spans="1:29" s="108" customFormat="1" ht="15.75" thickBot="1">
      <c r="A7" s="362" t="s">
        <v>1679</v>
      </c>
      <c r="B7" s="363"/>
      <c r="C7" s="364">
        <f>'数据-取费表'!B2</f>
        <v>44926</v>
      </c>
      <c r="D7" s="365">
        <v>100</v>
      </c>
      <c r="E7" s="366"/>
      <c r="F7" s="367">
        <f>SUMIF(52:52,YEAR(E7)&amp;"-"&amp;MONTH(E7),53:53)</f>
        <v>0</v>
      </c>
      <c r="G7" s="366"/>
      <c r="H7" s="365">
        <f>SUMIF(52:52,YEAR(G7)&amp;"-"&amp;MONTH(G7),53:53)</f>
        <v>0</v>
      </c>
      <c r="I7" s="366"/>
      <c r="J7" s="365">
        <f>SUMIF(52:52,YEAR(I7)&amp;"-"&amp;MONTH(I7),53:53)</f>
        <v>0</v>
      </c>
      <c r="K7" s="560"/>
      <c r="L7" s="915"/>
      <c r="M7" s="916"/>
      <c r="N7" s="916"/>
      <c r="O7" s="916"/>
      <c r="P7" s="3786" t="s">
        <v>1680</v>
      </c>
      <c r="Q7" s="3788"/>
      <c r="R7" s="701" t="s">
        <v>14</v>
      </c>
      <c r="S7" s="702">
        <f t="shared" ref="S7:S15" si="0">F7</f>
        <v>0</v>
      </c>
      <c r="T7" s="701" t="s">
        <v>14</v>
      </c>
      <c r="U7" s="702">
        <f t="shared" ref="U7:U15" si="1">H7</f>
        <v>0</v>
      </c>
      <c r="V7" s="701" t="s">
        <v>14</v>
      </c>
      <c r="W7" s="702">
        <f t="shared" ref="W7:W15" si="2">J7</f>
        <v>0</v>
      </c>
      <c r="X7" s="703"/>
      <c r="Y7" s="3786" t="s">
        <v>1680</v>
      </c>
      <c r="Z7" s="37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6" t="s">
        <v>1683</v>
      </c>
      <c r="Q8" s="3787"/>
      <c r="R8" s="701" t="s">
        <v>14</v>
      </c>
      <c r="S8" s="702">
        <f t="shared" si="0"/>
        <v>100</v>
      </c>
      <c r="T8" s="701" t="s">
        <v>14</v>
      </c>
      <c r="U8" s="702">
        <f t="shared" si="1"/>
        <v>100</v>
      </c>
      <c r="V8" s="701" t="s">
        <v>14</v>
      </c>
      <c r="W8" s="702">
        <f t="shared" si="2"/>
        <v>100</v>
      </c>
      <c r="X8" s="703"/>
      <c r="Y8" s="3786" t="s">
        <v>1683</v>
      </c>
      <c r="Z8" s="37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0"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0"/>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0"/>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0"/>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0"/>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0"/>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1" t="s">
        <v>1696</v>
      </c>
      <c r="Q29" s="1352" t="str">
        <f t="shared" si="11"/>
        <v>建筑类型</v>
      </c>
      <c r="R29" s="705" t="s">
        <v>14</v>
      </c>
      <c r="S29" s="706">
        <f t="shared" si="12"/>
        <v>100</v>
      </c>
      <c r="T29" s="705" t="s">
        <v>14</v>
      </c>
      <c r="U29" s="706">
        <f t="shared" si="13"/>
        <v>100</v>
      </c>
      <c r="V29" s="705" t="s">
        <v>14</v>
      </c>
      <c r="W29" s="706">
        <f t="shared" si="14"/>
        <v>100</v>
      </c>
      <c r="X29" s="1355"/>
      <c r="Y29" s="37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1696</v>
      </c>
      <c r="Q35" s="1352" t="str">
        <f t="shared" si="11"/>
        <v>市政基础设施</v>
      </c>
      <c r="R35" s="705" t="s">
        <v>14</v>
      </c>
      <c r="S35" s="706">
        <f t="shared" si="12"/>
        <v>100</v>
      </c>
      <c r="T35" s="705" t="s">
        <v>14</v>
      </c>
      <c r="U35" s="706">
        <f t="shared" si="13"/>
        <v>100</v>
      </c>
      <c r="V35" s="705" t="s">
        <v>14</v>
      </c>
      <c r="W35" s="706">
        <f t="shared" si="14"/>
        <v>100</v>
      </c>
      <c r="X35" s="1355"/>
      <c r="Y35" s="37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50" t="str">
        <f>A41</f>
        <v>成交单价（元/平方米）</v>
      </c>
      <c r="Q41" s="3750"/>
      <c r="R41" s="3751">
        <f>E41</f>
        <v>0</v>
      </c>
      <c r="S41" s="3751"/>
      <c r="T41" s="3751">
        <f>G41</f>
        <v>0</v>
      </c>
      <c r="U41" s="3751"/>
      <c r="V41" s="3751">
        <f>I41</f>
        <v>0</v>
      </c>
      <c r="W41" s="375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43"/>
  <sheetViews>
    <sheetView zoomScale="115" zoomScaleNormal="115" workbookViewId="0">
      <selection activeCell="I151" sqref="I151"/>
    </sheetView>
  </sheetViews>
  <sheetFormatPr defaultRowHeight="11.25"/>
  <cols>
    <col min="1" max="1" width="3.75" style="3504" customWidth="1"/>
    <col min="2" max="2" width="21" style="3504" customWidth="1"/>
    <col min="3" max="3" width="4.25" style="3504" bestFit="1" customWidth="1"/>
    <col min="4" max="5" width="7" style="3504" bestFit="1" customWidth="1"/>
    <col min="6" max="6" width="14.75" style="3511" bestFit="1" customWidth="1"/>
    <col min="7" max="7" width="4.25" style="3504" bestFit="1" customWidth="1"/>
    <col min="8" max="8" width="4.5" style="3504" bestFit="1" customWidth="1"/>
    <col min="9" max="9" width="24.25" style="3504" bestFit="1" customWidth="1"/>
    <col min="10" max="10" width="27.25" style="3504" bestFit="1" customWidth="1"/>
    <col min="11" max="11" width="11.625" style="3511" bestFit="1" customWidth="1"/>
    <col min="12" max="12" width="14" style="3511" bestFit="1" customWidth="1"/>
    <col min="13" max="13" width="10" style="3504" bestFit="1" customWidth="1"/>
    <col min="14" max="14" width="2.625" style="3504" customWidth="1"/>
    <col min="15" max="16384" width="9" style="3504"/>
  </cols>
  <sheetData>
    <row r="1" spans="1:13" ht="24.75" customHeight="1">
      <c r="A1" s="3502" t="s">
        <v>3499</v>
      </c>
      <c r="B1" s="3502"/>
      <c r="C1" s="3502"/>
      <c r="D1" s="3502"/>
      <c r="E1" s="3502"/>
      <c r="F1" s="3503"/>
      <c r="G1" s="3502"/>
      <c r="H1" s="3502"/>
      <c r="I1" s="3502"/>
      <c r="J1" s="3502"/>
      <c r="K1" s="3503"/>
      <c r="L1" s="3503"/>
      <c r="M1" s="3502"/>
    </row>
    <row r="2" spans="1:13" s="3507" customFormat="1" ht="12.95" customHeight="1">
      <c r="A2" s="3505" t="s">
        <v>2647</v>
      </c>
      <c r="B2" s="3505" t="s">
        <v>3500</v>
      </c>
      <c r="C2" s="3505" t="s">
        <v>3501</v>
      </c>
      <c r="D2" s="3505" t="s">
        <v>3502</v>
      </c>
      <c r="E2" s="3505" t="s">
        <v>3503</v>
      </c>
      <c r="F2" s="3506" t="s">
        <v>3504</v>
      </c>
      <c r="G2" s="3505" t="s">
        <v>3505</v>
      </c>
      <c r="H2" s="3505" t="s">
        <v>3506</v>
      </c>
      <c r="I2" s="3505" t="s">
        <v>3507</v>
      </c>
      <c r="J2" s="3505" t="s">
        <v>3508</v>
      </c>
      <c r="K2" s="3506" t="s">
        <v>3509</v>
      </c>
      <c r="L2" s="3506" t="s">
        <v>3510</v>
      </c>
      <c r="M2" s="3505" t="s">
        <v>3511</v>
      </c>
    </row>
    <row r="3" spans="1:13" s="3507" customFormat="1" ht="12.95" hidden="1" customHeight="1">
      <c r="A3" s="3505">
        <v>1</v>
      </c>
      <c r="B3" s="3505" t="s">
        <v>3512</v>
      </c>
      <c r="C3" s="3505" t="s">
        <v>3513</v>
      </c>
      <c r="D3" s="3505" t="s">
        <v>3514</v>
      </c>
      <c r="E3" s="3505" t="s">
        <v>3515</v>
      </c>
      <c r="F3" s="3506">
        <v>6662</v>
      </c>
      <c r="G3" s="3505" t="s">
        <v>3516</v>
      </c>
      <c r="H3" s="3505">
        <v>2022</v>
      </c>
      <c r="I3" s="3505" t="s">
        <v>3517</v>
      </c>
      <c r="J3" s="3505" t="s">
        <v>3518</v>
      </c>
      <c r="K3" s="3506">
        <v>370</v>
      </c>
      <c r="L3" s="3506">
        <v>56000</v>
      </c>
      <c r="M3" s="3505" t="s">
        <v>3519</v>
      </c>
    </row>
    <row r="4" spans="1:13" s="3507" customFormat="1" ht="12.95" hidden="1" customHeight="1">
      <c r="A4" s="3505">
        <v>2</v>
      </c>
      <c r="B4" s="3505" t="s">
        <v>3520</v>
      </c>
      <c r="C4" s="3505" t="s">
        <v>3513</v>
      </c>
      <c r="D4" s="3505" t="s">
        <v>3521</v>
      </c>
      <c r="E4" s="3505" t="s">
        <v>21</v>
      </c>
      <c r="F4" s="3506">
        <v>5136</v>
      </c>
      <c r="G4" s="3505" t="s">
        <v>3516</v>
      </c>
      <c r="H4" s="3505">
        <v>2022</v>
      </c>
      <c r="I4" s="3505" t="s">
        <v>3522</v>
      </c>
      <c r="J4" s="3505" t="s">
        <v>3523</v>
      </c>
      <c r="K4" s="3506">
        <v>248</v>
      </c>
      <c r="L4" s="3506">
        <v>48287</v>
      </c>
      <c r="M4" s="3505" t="s">
        <v>3524</v>
      </c>
    </row>
    <row r="5" spans="1:13" s="3507" customFormat="1" ht="12.95" hidden="1" customHeight="1">
      <c r="A5" s="3505">
        <v>3</v>
      </c>
      <c r="B5" s="3505" t="s">
        <v>3525</v>
      </c>
      <c r="C5" s="3505" t="s">
        <v>3513</v>
      </c>
      <c r="D5" s="3505" t="s">
        <v>3526</v>
      </c>
      <c r="E5" s="3505" t="s">
        <v>3527</v>
      </c>
      <c r="F5" s="3506">
        <v>3012</v>
      </c>
      <c r="G5" s="3505" t="s">
        <v>3516</v>
      </c>
      <c r="H5" s="3505">
        <v>2022</v>
      </c>
      <c r="I5" s="3505" t="s">
        <v>3528</v>
      </c>
      <c r="J5" s="3505" t="s">
        <v>3529</v>
      </c>
      <c r="K5" s="3506">
        <v>110</v>
      </c>
      <c r="L5" s="3506">
        <v>36500</v>
      </c>
      <c r="M5" s="3505" t="s">
        <v>3530</v>
      </c>
    </row>
    <row r="6" spans="1:13" s="3507" customFormat="1" ht="12.95" hidden="1" customHeight="1">
      <c r="A6" s="3505">
        <v>4</v>
      </c>
      <c r="B6" s="3505" t="s">
        <v>3531</v>
      </c>
      <c r="C6" s="3505" t="s">
        <v>3513</v>
      </c>
      <c r="D6" s="3505" t="s">
        <v>3532</v>
      </c>
      <c r="E6" s="3505" t="s">
        <v>3533</v>
      </c>
      <c r="F6" s="3506">
        <v>131215</v>
      </c>
      <c r="G6" s="3505" t="s">
        <v>3516</v>
      </c>
      <c r="H6" s="3505">
        <v>2022</v>
      </c>
      <c r="I6" s="3505" t="s">
        <v>3534</v>
      </c>
      <c r="J6" s="3505" t="s">
        <v>3535</v>
      </c>
      <c r="K6" s="3506">
        <v>1375</v>
      </c>
      <c r="L6" s="3506">
        <v>10479</v>
      </c>
      <c r="M6" s="3505" t="s">
        <v>3530</v>
      </c>
    </row>
    <row r="7" spans="1:13" s="3507" customFormat="1" ht="12.95" hidden="1" customHeight="1">
      <c r="A7" s="3505">
        <v>5</v>
      </c>
      <c r="B7" s="3505" t="s">
        <v>3536</v>
      </c>
      <c r="C7" s="3505" t="s">
        <v>3513</v>
      </c>
      <c r="D7" s="3505" t="s">
        <v>3532</v>
      </c>
      <c r="E7" s="3505" t="s">
        <v>21</v>
      </c>
      <c r="F7" s="3506">
        <v>1398</v>
      </c>
      <c r="G7" s="3505" t="s">
        <v>3516</v>
      </c>
      <c r="H7" s="3505">
        <v>2022</v>
      </c>
      <c r="I7" s="3505" t="s">
        <v>3537</v>
      </c>
      <c r="J7" s="3505" t="s">
        <v>3538</v>
      </c>
      <c r="K7" s="3506">
        <v>147</v>
      </c>
      <c r="L7" s="3506">
        <v>104902</v>
      </c>
      <c r="M7" s="3505" t="s">
        <v>3524</v>
      </c>
    </row>
    <row r="8" spans="1:13" s="3507" customFormat="1" ht="12.95" hidden="1" customHeight="1">
      <c r="A8" s="3505">
        <v>6</v>
      </c>
      <c r="B8" s="3505" t="s">
        <v>3539</v>
      </c>
      <c r="C8" s="3505" t="s">
        <v>3513</v>
      </c>
      <c r="D8" s="3505" t="s">
        <v>3540</v>
      </c>
      <c r="E8" s="3505" t="s">
        <v>3541</v>
      </c>
      <c r="F8" s="3506">
        <v>7017</v>
      </c>
      <c r="G8" s="3505" t="s">
        <v>3516</v>
      </c>
      <c r="H8" s="3505">
        <v>2022</v>
      </c>
      <c r="I8" s="3505" t="s">
        <v>3542</v>
      </c>
      <c r="J8" s="3505" t="s">
        <v>3543</v>
      </c>
      <c r="K8" s="3506">
        <v>213</v>
      </c>
      <c r="L8" s="3506">
        <v>29970</v>
      </c>
      <c r="M8" s="3505" t="s">
        <v>3524</v>
      </c>
    </row>
    <row r="9" spans="1:13" s="3507" customFormat="1" ht="12.95" hidden="1" customHeight="1">
      <c r="A9" s="3505">
        <v>7</v>
      </c>
      <c r="B9" s="3505" t="s">
        <v>3544</v>
      </c>
      <c r="C9" s="3505" t="s">
        <v>3513</v>
      </c>
      <c r="D9" s="3505" t="s">
        <v>3545</v>
      </c>
      <c r="E9" s="3505" t="s">
        <v>3546</v>
      </c>
      <c r="F9" s="3506">
        <v>67000</v>
      </c>
      <c r="G9" s="3505" t="s">
        <v>3516</v>
      </c>
      <c r="H9" s="3505">
        <v>2022</v>
      </c>
      <c r="I9" s="3505" t="s">
        <v>3547</v>
      </c>
      <c r="J9" s="3505" t="s">
        <v>3548</v>
      </c>
      <c r="K9" s="3506">
        <v>800</v>
      </c>
      <c r="L9" s="3506">
        <v>12000</v>
      </c>
      <c r="M9" s="3505" t="s">
        <v>3530</v>
      </c>
    </row>
    <row r="10" spans="1:13" s="3507" customFormat="1" ht="15" hidden="1" customHeight="1">
      <c r="A10" s="3505">
        <v>8</v>
      </c>
      <c r="B10" s="3505" t="s">
        <v>3549</v>
      </c>
      <c r="C10" s="3505" t="s">
        <v>3513</v>
      </c>
      <c r="D10" s="3505" t="s">
        <v>3521</v>
      </c>
      <c r="E10" s="3505" t="s">
        <v>3546</v>
      </c>
      <c r="F10" s="3506">
        <v>17930</v>
      </c>
      <c r="G10" s="3505" t="s">
        <v>3516</v>
      </c>
      <c r="H10" s="3505">
        <v>2022</v>
      </c>
      <c r="I10" s="3505" t="s">
        <v>3550</v>
      </c>
      <c r="J10" s="3505" t="s">
        <v>3551</v>
      </c>
      <c r="K10" s="3506">
        <v>663</v>
      </c>
      <c r="L10" s="3506">
        <v>36977</v>
      </c>
      <c r="M10" s="3505" t="s">
        <v>3524</v>
      </c>
    </row>
    <row r="11" spans="1:13" s="3507" customFormat="1" ht="15" hidden="1" customHeight="1">
      <c r="A11" s="3505">
        <v>9</v>
      </c>
      <c r="B11" s="3505" t="s">
        <v>3552</v>
      </c>
      <c r="C11" s="3505" t="s">
        <v>3513</v>
      </c>
      <c r="D11" s="3505" t="s">
        <v>3553</v>
      </c>
      <c r="E11" s="3505" t="s">
        <v>21</v>
      </c>
      <c r="F11" s="3506">
        <v>6772</v>
      </c>
      <c r="G11" s="3505" t="s">
        <v>3516</v>
      </c>
      <c r="H11" s="3505">
        <v>2022</v>
      </c>
      <c r="I11" s="3505" t="s">
        <v>3554</v>
      </c>
      <c r="J11" s="3505" t="s">
        <v>3555</v>
      </c>
      <c r="K11" s="3506">
        <v>203</v>
      </c>
      <c r="L11" s="3506">
        <v>29976</v>
      </c>
      <c r="M11" s="3505" t="s">
        <v>3530</v>
      </c>
    </row>
    <row r="12" spans="1:13" s="3507" customFormat="1" ht="15" hidden="1" customHeight="1">
      <c r="A12" s="3505">
        <v>10</v>
      </c>
      <c r="B12" s="3505" t="s">
        <v>3556</v>
      </c>
      <c r="C12" s="3505" t="s">
        <v>3513</v>
      </c>
      <c r="D12" s="3505" t="s">
        <v>3545</v>
      </c>
      <c r="E12" s="3505" t="s">
        <v>3546</v>
      </c>
      <c r="F12" s="3506">
        <v>8100</v>
      </c>
      <c r="G12" s="3505" t="s">
        <v>3516</v>
      </c>
      <c r="H12" s="3505">
        <v>2022</v>
      </c>
      <c r="I12" s="3505" t="s">
        <v>3557</v>
      </c>
      <c r="J12" s="3505" t="s">
        <v>3558</v>
      </c>
      <c r="K12" s="3506">
        <v>220</v>
      </c>
      <c r="L12" s="3506">
        <v>27160</v>
      </c>
      <c r="M12" s="3505" t="s">
        <v>3530</v>
      </c>
    </row>
    <row r="13" spans="1:13" s="3507" customFormat="1" ht="15" hidden="1" customHeight="1">
      <c r="A13" s="3505">
        <v>11</v>
      </c>
      <c r="B13" s="3505" t="s">
        <v>3559</v>
      </c>
      <c r="C13" s="3505" t="s">
        <v>3513</v>
      </c>
      <c r="D13" s="3505" t="s">
        <v>3560</v>
      </c>
      <c r="E13" s="3505" t="s">
        <v>3546</v>
      </c>
      <c r="F13" s="3506">
        <v>11756</v>
      </c>
      <c r="G13" s="3505" t="s">
        <v>3516</v>
      </c>
      <c r="H13" s="3505">
        <v>2022</v>
      </c>
      <c r="I13" s="3505" t="s">
        <v>3561</v>
      </c>
      <c r="J13" s="3505" t="s">
        <v>3562</v>
      </c>
      <c r="K13" s="3506">
        <v>458</v>
      </c>
      <c r="L13" s="3506">
        <v>39000</v>
      </c>
      <c r="M13" s="3505" t="s">
        <v>3530</v>
      </c>
    </row>
    <row r="14" spans="1:13" s="3507" customFormat="1" ht="15" hidden="1" customHeight="1">
      <c r="A14" s="3505">
        <v>12</v>
      </c>
      <c r="B14" s="3505" t="s">
        <v>3563</v>
      </c>
      <c r="C14" s="3505" t="s">
        <v>3513</v>
      </c>
      <c r="D14" s="3505" t="s">
        <v>3514</v>
      </c>
      <c r="E14" s="3505" t="s">
        <v>3527</v>
      </c>
      <c r="F14" s="3506">
        <v>4677</v>
      </c>
      <c r="G14" s="3505" t="s">
        <v>3516</v>
      </c>
      <c r="H14" s="3505">
        <v>2022</v>
      </c>
      <c r="I14" s="3505" t="s">
        <v>3564</v>
      </c>
      <c r="J14" s="3505" t="s">
        <v>3565</v>
      </c>
      <c r="K14" s="3506">
        <v>183</v>
      </c>
      <c r="L14" s="3506">
        <v>39128</v>
      </c>
      <c r="M14" s="3505" t="s">
        <v>3524</v>
      </c>
    </row>
    <row r="15" spans="1:13" s="3507" customFormat="1" ht="15" hidden="1" customHeight="1">
      <c r="A15" s="3505">
        <v>13</v>
      </c>
      <c r="B15" s="3505" t="s">
        <v>3566</v>
      </c>
      <c r="C15" s="3505" t="s">
        <v>3513</v>
      </c>
      <c r="D15" s="3505" t="s">
        <v>3532</v>
      </c>
      <c r="E15" s="3505" t="s">
        <v>21</v>
      </c>
      <c r="F15" s="3506">
        <v>8573</v>
      </c>
      <c r="G15" s="3505" t="s">
        <v>3516</v>
      </c>
      <c r="H15" s="3505">
        <v>2022</v>
      </c>
      <c r="I15" s="3505" t="s">
        <v>3567</v>
      </c>
      <c r="J15" s="3505" t="s">
        <v>3568</v>
      </c>
      <c r="K15" s="3506">
        <v>386</v>
      </c>
      <c r="L15" s="3506">
        <v>45025</v>
      </c>
      <c r="M15" s="3505" t="s">
        <v>3524</v>
      </c>
    </row>
    <row r="16" spans="1:13" s="3507" customFormat="1" ht="15" hidden="1" customHeight="1">
      <c r="A16" s="3505">
        <v>14</v>
      </c>
      <c r="B16" s="3505" t="s">
        <v>3569</v>
      </c>
      <c r="C16" s="3505" t="s">
        <v>3513</v>
      </c>
      <c r="D16" s="3505" t="s">
        <v>3570</v>
      </c>
      <c r="E16" s="3505" t="s">
        <v>3541</v>
      </c>
      <c r="F16" s="3506">
        <v>109905</v>
      </c>
      <c r="G16" s="3505" t="s">
        <v>3516</v>
      </c>
      <c r="H16" s="3505">
        <v>2022</v>
      </c>
      <c r="I16" s="3505" t="s">
        <v>3571</v>
      </c>
      <c r="J16" s="3505" t="s">
        <v>3572</v>
      </c>
      <c r="K16" s="3506">
        <v>4500</v>
      </c>
      <c r="L16" s="3506">
        <v>40944</v>
      </c>
      <c r="M16" s="3505" t="s">
        <v>3530</v>
      </c>
    </row>
    <row r="17" spans="1:13" s="3507" customFormat="1" ht="15" hidden="1" customHeight="1">
      <c r="A17" s="3505">
        <v>15</v>
      </c>
      <c r="B17" s="3505" t="s">
        <v>3573</v>
      </c>
      <c r="C17" s="3505" t="s">
        <v>3513</v>
      </c>
      <c r="D17" s="3505" t="s">
        <v>3532</v>
      </c>
      <c r="E17" s="3505" t="s">
        <v>21</v>
      </c>
      <c r="F17" s="3506">
        <v>15695</v>
      </c>
      <c r="G17" s="3505" t="s">
        <v>3516</v>
      </c>
      <c r="H17" s="3505">
        <v>2022</v>
      </c>
      <c r="I17" s="3505" t="s">
        <v>3574</v>
      </c>
      <c r="J17" s="3505" t="s">
        <v>3575</v>
      </c>
      <c r="K17" s="3506">
        <v>439</v>
      </c>
      <c r="L17" s="3506">
        <v>28000</v>
      </c>
      <c r="M17" s="3505" t="s">
        <v>3524</v>
      </c>
    </row>
    <row r="18" spans="1:13" s="3507" customFormat="1" ht="15" hidden="1" customHeight="1">
      <c r="A18" s="3505">
        <v>16</v>
      </c>
      <c r="B18" s="3505" t="s">
        <v>3576</v>
      </c>
      <c r="C18" s="3505" t="s">
        <v>3513</v>
      </c>
      <c r="D18" s="3505" t="s">
        <v>3545</v>
      </c>
      <c r="E18" s="3505" t="s">
        <v>3546</v>
      </c>
      <c r="F18" s="3506">
        <v>29473</v>
      </c>
      <c r="G18" s="3505" t="s">
        <v>3516</v>
      </c>
      <c r="H18" s="3505">
        <v>2022</v>
      </c>
      <c r="I18" s="3505" t="s">
        <v>3577</v>
      </c>
      <c r="J18" s="3505" t="s">
        <v>3578</v>
      </c>
      <c r="K18" s="3506">
        <v>994</v>
      </c>
      <c r="L18" s="3506">
        <v>33738</v>
      </c>
      <c r="M18" s="3505" t="s">
        <v>3524</v>
      </c>
    </row>
    <row r="19" spans="1:13" s="3507" customFormat="1" ht="15" hidden="1" customHeight="1">
      <c r="A19" s="3505">
        <v>17</v>
      </c>
      <c r="B19" s="3505" t="s">
        <v>3579</v>
      </c>
      <c r="C19" s="3505" t="s">
        <v>3513</v>
      </c>
      <c r="D19" s="3505" t="s">
        <v>3526</v>
      </c>
      <c r="E19" s="3505" t="s">
        <v>3580</v>
      </c>
      <c r="F19" s="3506">
        <v>420000</v>
      </c>
      <c r="G19" s="3505" t="s">
        <v>3516</v>
      </c>
      <c r="H19" s="3505">
        <v>2022</v>
      </c>
      <c r="I19" s="3505" t="s">
        <v>3581</v>
      </c>
      <c r="J19" s="3505" t="s">
        <v>3582</v>
      </c>
      <c r="K19" s="3506">
        <v>11539</v>
      </c>
      <c r="L19" s="3506">
        <v>54948</v>
      </c>
      <c r="M19" s="3505" t="s">
        <v>3530</v>
      </c>
    </row>
    <row r="20" spans="1:13" s="3507" customFormat="1" ht="15" hidden="1" customHeight="1">
      <c r="A20" s="3505">
        <v>18</v>
      </c>
      <c r="B20" s="3505" t="s">
        <v>3583</v>
      </c>
      <c r="C20" s="3505" t="s">
        <v>3513</v>
      </c>
      <c r="D20" s="3505" t="s">
        <v>3540</v>
      </c>
      <c r="E20" s="3505" t="s">
        <v>21</v>
      </c>
      <c r="F20" s="3506">
        <v>57800</v>
      </c>
      <c r="G20" s="3505" t="s">
        <v>3516</v>
      </c>
      <c r="H20" s="3505">
        <v>2022</v>
      </c>
      <c r="I20" s="3505" t="s">
        <v>3584</v>
      </c>
      <c r="J20" s="3505" t="s">
        <v>3585</v>
      </c>
      <c r="K20" s="3506">
        <v>2984</v>
      </c>
      <c r="L20" s="3506">
        <v>51800</v>
      </c>
      <c r="M20" s="3505" t="s">
        <v>3524</v>
      </c>
    </row>
    <row r="21" spans="1:13" s="3507" customFormat="1" ht="15" hidden="1" customHeight="1">
      <c r="A21" s="3505">
        <v>19</v>
      </c>
      <c r="B21" s="3505" t="s">
        <v>3586</v>
      </c>
      <c r="C21" s="3505" t="s">
        <v>3513</v>
      </c>
      <c r="D21" s="3505" t="s">
        <v>3526</v>
      </c>
      <c r="E21" s="3505" t="s">
        <v>21</v>
      </c>
      <c r="F21" s="3506">
        <v>40393</v>
      </c>
      <c r="G21" s="3505" t="s">
        <v>3587</v>
      </c>
      <c r="H21" s="3505">
        <v>2022</v>
      </c>
      <c r="I21" s="3505" t="s">
        <v>3588</v>
      </c>
      <c r="J21" s="3505" t="s">
        <v>3589</v>
      </c>
      <c r="K21" s="3506">
        <v>1396</v>
      </c>
      <c r="L21" s="3506">
        <v>34560</v>
      </c>
      <c r="M21" s="3505" t="s">
        <v>3524</v>
      </c>
    </row>
    <row r="22" spans="1:13" s="3507" customFormat="1" ht="15" hidden="1" customHeight="1">
      <c r="A22" s="3505">
        <v>20</v>
      </c>
      <c r="B22" s="3505" t="s">
        <v>3590</v>
      </c>
      <c r="C22" s="3505" t="s">
        <v>3513</v>
      </c>
      <c r="D22" s="3505" t="s">
        <v>3560</v>
      </c>
      <c r="E22" s="3505" t="s">
        <v>3546</v>
      </c>
      <c r="F22" s="3506">
        <v>20187</v>
      </c>
      <c r="G22" s="3505" t="s">
        <v>3587</v>
      </c>
      <c r="H22" s="3505">
        <v>2022</v>
      </c>
      <c r="I22" s="3505" t="s">
        <v>3591</v>
      </c>
      <c r="J22" s="3505" t="s">
        <v>3592</v>
      </c>
      <c r="K22" s="3506">
        <v>396</v>
      </c>
      <c r="L22" s="3506">
        <v>19617</v>
      </c>
      <c r="M22" s="3505" t="s">
        <v>3524</v>
      </c>
    </row>
    <row r="23" spans="1:13" s="3507" customFormat="1" ht="15" hidden="1" customHeight="1">
      <c r="A23" s="3505">
        <v>21</v>
      </c>
      <c r="B23" s="3505" t="s">
        <v>3593</v>
      </c>
      <c r="C23" s="3505" t="s">
        <v>3513</v>
      </c>
      <c r="D23" s="3505" t="s">
        <v>3514</v>
      </c>
      <c r="E23" s="3505" t="s">
        <v>3527</v>
      </c>
      <c r="F23" s="3506">
        <v>19127</v>
      </c>
      <c r="G23" s="3505" t="s">
        <v>3587</v>
      </c>
      <c r="H23" s="3505">
        <v>2022</v>
      </c>
      <c r="I23" s="3505" t="s">
        <v>3594</v>
      </c>
      <c r="J23" s="3505" t="s">
        <v>3595</v>
      </c>
      <c r="K23" s="3506">
        <v>840</v>
      </c>
      <c r="L23" s="3506">
        <v>43917</v>
      </c>
      <c r="M23" s="3505" t="s">
        <v>3530</v>
      </c>
    </row>
    <row r="24" spans="1:13" s="3507" customFormat="1" ht="15" hidden="1" customHeight="1">
      <c r="A24" s="3505">
        <v>22</v>
      </c>
      <c r="B24" s="3505" t="s">
        <v>3596</v>
      </c>
      <c r="C24" s="3505" t="s">
        <v>3513</v>
      </c>
      <c r="D24" s="3505" t="s">
        <v>3597</v>
      </c>
      <c r="E24" s="3505" t="s">
        <v>3598</v>
      </c>
      <c r="F24" s="3506">
        <v>71260</v>
      </c>
      <c r="G24" s="3505" t="s">
        <v>3587</v>
      </c>
      <c r="H24" s="3505">
        <v>2022</v>
      </c>
      <c r="I24" s="3505" t="s">
        <v>3599</v>
      </c>
      <c r="J24" s="3505" t="s">
        <v>3600</v>
      </c>
      <c r="K24" s="3506">
        <v>392</v>
      </c>
      <c r="L24" s="3506">
        <v>5500</v>
      </c>
      <c r="M24" s="3505" t="s">
        <v>3524</v>
      </c>
    </row>
    <row r="25" spans="1:13" s="3507" customFormat="1" ht="15" hidden="1" customHeight="1">
      <c r="A25" s="3505">
        <v>23</v>
      </c>
      <c r="B25" s="3505" t="s">
        <v>3601</v>
      </c>
      <c r="C25" s="3505" t="s">
        <v>3513</v>
      </c>
      <c r="D25" s="3505" t="s">
        <v>3532</v>
      </c>
      <c r="E25" s="3505" t="s">
        <v>21</v>
      </c>
      <c r="F25" s="3506">
        <v>37924</v>
      </c>
      <c r="G25" s="3505" t="s">
        <v>3587</v>
      </c>
      <c r="H25" s="3505">
        <v>2022</v>
      </c>
      <c r="I25" s="3505" t="s">
        <v>3575</v>
      </c>
      <c r="J25" s="3505" t="s">
        <v>3602</v>
      </c>
      <c r="K25" s="3506">
        <v>950</v>
      </c>
      <c r="L25" s="3506">
        <v>25050</v>
      </c>
      <c r="M25" s="3505" t="s">
        <v>3530</v>
      </c>
    </row>
    <row r="26" spans="1:13" s="3507" customFormat="1" ht="15" hidden="1" customHeight="1">
      <c r="A26" s="3505">
        <v>24</v>
      </c>
      <c r="B26" s="3505" t="s">
        <v>3603</v>
      </c>
      <c r="C26" s="3505" t="s">
        <v>3513</v>
      </c>
      <c r="D26" s="3505" t="s">
        <v>3545</v>
      </c>
      <c r="E26" s="3505" t="s">
        <v>21</v>
      </c>
      <c r="F26" s="3506">
        <v>54200</v>
      </c>
      <c r="G26" s="3505" t="s">
        <v>3587</v>
      </c>
      <c r="H26" s="3505">
        <v>2022</v>
      </c>
      <c r="I26" s="3505" t="s">
        <v>3572</v>
      </c>
      <c r="J26" s="3505" t="s">
        <v>3604</v>
      </c>
      <c r="K26" s="3506">
        <v>3057</v>
      </c>
      <c r="L26" s="3506">
        <v>56403</v>
      </c>
      <c r="M26" s="3505" t="s">
        <v>3524</v>
      </c>
    </row>
    <row r="27" spans="1:13" s="3507" customFormat="1" ht="15" hidden="1" customHeight="1">
      <c r="A27" s="3505">
        <v>25</v>
      </c>
      <c r="B27" s="3505" t="s">
        <v>3605</v>
      </c>
      <c r="C27" s="3505" t="s">
        <v>3513</v>
      </c>
      <c r="D27" s="3505" t="s">
        <v>3545</v>
      </c>
      <c r="E27" s="3505" t="s">
        <v>3515</v>
      </c>
      <c r="F27" s="3506">
        <v>8690</v>
      </c>
      <c r="G27" s="3505" t="s">
        <v>3587</v>
      </c>
      <c r="H27" s="3505">
        <v>2022</v>
      </c>
      <c r="I27" s="3505" t="s">
        <v>3606</v>
      </c>
      <c r="J27" s="3505" t="s">
        <v>3607</v>
      </c>
      <c r="K27" s="3506">
        <v>282</v>
      </c>
      <c r="L27" s="3506">
        <v>32451</v>
      </c>
      <c r="M27" s="3505" t="s">
        <v>3524</v>
      </c>
    </row>
    <row r="28" spans="1:13" s="3507" customFormat="1" ht="15" hidden="1" customHeight="1">
      <c r="A28" s="3505">
        <v>26</v>
      </c>
      <c r="B28" s="3505" t="s">
        <v>3608</v>
      </c>
      <c r="C28" s="3505" t="s">
        <v>3513</v>
      </c>
      <c r="D28" s="3505" t="s">
        <v>3570</v>
      </c>
      <c r="E28" s="3505" t="s">
        <v>21</v>
      </c>
      <c r="F28" s="3506">
        <v>31000</v>
      </c>
      <c r="G28" s="3505" t="s">
        <v>3587</v>
      </c>
      <c r="H28" s="3505">
        <v>2022</v>
      </c>
      <c r="I28" s="3505" t="s">
        <v>3609</v>
      </c>
      <c r="J28" s="3505" t="s">
        <v>3610</v>
      </c>
      <c r="K28" s="3506">
        <v>2283</v>
      </c>
      <c r="L28" s="3506">
        <v>90920</v>
      </c>
      <c r="M28" s="3505" t="s">
        <v>3530</v>
      </c>
    </row>
    <row r="29" spans="1:13" s="3507" customFormat="1" ht="15" hidden="1" customHeight="1">
      <c r="A29" s="3505">
        <v>27</v>
      </c>
      <c r="B29" s="3505" t="s">
        <v>3611</v>
      </c>
      <c r="C29" s="3505" t="s">
        <v>3513</v>
      </c>
      <c r="D29" s="3505" t="s">
        <v>3545</v>
      </c>
      <c r="E29" s="3505" t="s">
        <v>3546</v>
      </c>
      <c r="F29" s="3506">
        <v>32274</v>
      </c>
      <c r="G29" s="3505" t="s">
        <v>3587</v>
      </c>
      <c r="H29" s="3505">
        <v>2022</v>
      </c>
      <c r="I29" s="3505" t="s">
        <v>3517</v>
      </c>
      <c r="J29" s="3505" t="s">
        <v>3612</v>
      </c>
      <c r="K29" s="3506">
        <v>1300</v>
      </c>
      <c r="L29" s="3506">
        <v>40280</v>
      </c>
      <c r="M29" s="3505" t="s">
        <v>3519</v>
      </c>
    </row>
    <row r="30" spans="1:13" s="3507" customFormat="1" ht="15" hidden="1" customHeight="1">
      <c r="A30" s="3505">
        <v>28</v>
      </c>
      <c r="B30" s="3505" t="s">
        <v>3613</v>
      </c>
      <c r="C30" s="3505" t="s">
        <v>3513</v>
      </c>
      <c r="D30" s="3505" t="s">
        <v>3545</v>
      </c>
      <c r="E30" s="3505" t="s">
        <v>3546</v>
      </c>
      <c r="F30" s="3506">
        <v>8940</v>
      </c>
      <c r="G30" s="3505" t="s">
        <v>3614</v>
      </c>
      <c r="H30" s="3505">
        <v>2022</v>
      </c>
      <c r="I30" s="3505" t="s">
        <v>3594</v>
      </c>
      <c r="J30" s="3505" t="s">
        <v>3615</v>
      </c>
      <c r="K30" s="3506">
        <v>270</v>
      </c>
      <c r="L30" s="3506">
        <v>30200</v>
      </c>
      <c r="M30" s="3505" t="s">
        <v>3530</v>
      </c>
    </row>
    <row r="31" spans="1:13" s="3507" customFormat="1" ht="15" hidden="1" customHeight="1">
      <c r="A31" s="3505">
        <v>29</v>
      </c>
      <c r="B31" s="3505" t="s">
        <v>3616</v>
      </c>
      <c r="C31" s="3505" t="s">
        <v>3513</v>
      </c>
      <c r="D31" s="3505" t="s">
        <v>3545</v>
      </c>
      <c r="E31" s="3505" t="s">
        <v>3598</v>
      </c>
      <c r="F31" s="3506">
        <v>40038</v>
      </c>
      <c r="G31" s="3505" t="s">
        <v>3614</v>
      </c>
      <c r="H31" s="3505">
        <v>2022</v>
      </c>
      <c r="I31" s="3505" t="s">
        <v>3617</v>
      </c>
      <c r="J31" s="3505" t="s">
        <v>3618</v>
      </c>
      <c r="K31" s="3506">
        <v>180</v>
      </c>
      <c r="L31" s="3506">
        <v>4496</v>
      </c>
      <c r="M31" s="3505" t="s">
        <v>3524</v>
      </c>
    </row>
    <row r="32" spans="1:13" s="3507" customFormat="1" ht="15" hidden="1" customHeight="1">
      <c r="A32" s="3505">
        <v>30</v>
      </c>
      <c r="B32" s="3505" t="s">
        <v>3619</v>
      </c>
      <c r="C32" s="3505" t="s">
        <v>3513</v>
      </c>
      <c r="D32" s="3505" t="s">
        <v>3620</v>
      </c>
      <c r="E32" s="3505" t="s">
        <v>21</v>
      </c>
      <c r="F32" s="3506">
        <v>5403</v>
      </c>
      <c r="G32" s="3505" t="s">
        <v>3614</v>
      </c>
      <c r="H32" s="3505">
        <v>2022</v>
      </c>
      <c r="I32" s="3505" t="s">
        <v>3621</v>
      </c>
      <c r="J32" s="3505" t="s">
        <v>3622</v>
      </c>
      <c r="K32" s="3506">
        <v>176</v>
      </c>
      <c r="L32" s="3506">
        <v>32574</v>
      </c>
      <c r="M32" s="3505" t="s">
        <v>3524</v>
      </c>
    </row>
    <row r="33" spans="1:13" s="3507" customFormat="1" ht="15" hidden="1" customHeight="1">
      <c r="A33" s="3505">
        <v>31</v>
      </c>
      <c r="B33" s="3505" t="s">
        <v>3623</v>
      </c>
      <c r="C33" s="3505" t="s">
        <v>3513</v>
      </c>
      <c r="D33" s="3505" t="s">
        <v>3553</v>
      </c>
      <c r="E33" s="3505" t="s">
        <v>3527</v>
      </c>
      <c r="F33" s="3506">
        <v>41866</v>
      </c>
      <c r="G33" s="3505" t="s">
        <v>3614</v>
      </c>
      <c r="H33" s="3505">
        <v>2022</v>
      </c>
      <c r="I33" s="3505" t="s">
        <v>3624</v>
      </c>
      <c r="J33" s="3505" t="s">
        <v>3625</v>
      </c>
      <c r="K33" s="3506">
        <v>1350</v>
      </c>
      <c r="L33" s="3506">
        <v>32000</v>
      </c>
      <c r="M33" s="3505" t="s">
        <v>3524</v>
      </c>
    </row>
    <row r="34" spans="1:13" s="3507" customFormat="1" ht="15" hidden="1" customHeight="1">
      <c r="A34" s="3505">
        <v>32</v>
      </c>
      <c r="B34" s="3505" t="s">
        <v>3626</v>
      </c>
      <c r="C34" s="3505" t="s">
        <v>3513</v>
      </c>
      <c r="D34" s="3505" t="s">
        <v>3526</v>
      </c>
      <c r="E34" s="3505" t="s">
        <v>21</v>
      </c>
      <c r="F34" s="3506">
        <v>13986</v>
      </c>
      <c r="G34" s="3505" t="s">
        <v>3614</v>
      </c>
      <c r="H34" s="3505">
        <v>2022</v>
      </c>
      <c r="I34" s="3505" t="s">
        <v>3627</v>
      </c>
      <c r="J34" s="3505" t="s">
        <v>3628</v>
      </c>
      <c r="K34" s="3506">
        <v>1672</v>
      </c>
      <c r="L34" s="3506">
        <v>119548</v>
      </c>
      <c r="M34" s="3505" t="s">
        <v>3524</v>
      </c>
    </row>
    <row r="35" spans="1:13" s="3507" customFormat="1" ht="15" hidden="1" customHeight="1">
      <c r="A35" s="3505">
        <v>33</v>
      </c>
      <c r="B35" s="3505" t="s">
        <v>3629</v>
      </c>
      <c r="C35" s="3505" t="s">
        <v>3630</v>
      </c>
      <c r="D35" s="3505" t="s">
        <v>3631</v>
      </c>
      <c r="E35" s="3505" t="s">
        <v>3632</v>
      </c>
      <c r="F35" s="3506">
        <v>67715</v>
      </c>
      <c r="G35" s="3505" t="s">
        <v>3633</v>
      </c>
      <c r="H35" s="3505">
        <v>2022</v>
      </c>
      <c r="I35" s="3505" t="s">
        <v>3634</v>
      </c>
      <c r="J35" s="3505" t="s">
        <v>3635</v>
      </c>
      <c r="K35" s="3506">
        <v>2520</v>
      </c>
      <c r="L35" s="3506">
        <v>37215</v>
      </c>
      <c r="M35" s="3505" t="s">
        <v>3636</v>
      </c>
    </row>
    <row r="36" spans="1:13" s="3507" customFormat="1" ht="15" hidden="1" customHeight="1">
      <c r="A36" s="3505">
        <v>34</v>
      </c>
      <c r="B36" s="3505" t="s">
        <v>3637</v>
      </c>
      <c r="C36" s="3505" t="s">
        <v>3630</v>
      </c>
      <c r="D36" s="3505" t="s">
        <v>3631</v>
      </c>
      <c r="E36" s="3505" t="s">
        <v>3638</v>
      </c>
      <c r="F36" s="3506">
        <v>23226</v>
      </c>
      <c r="G36" s="3505" t="s">
        <v>3633</v>
      </c>
      <c r="H36" s="3505">
        <v>2022</v>
      </c>
      <c r="I36" s="3505" t="s">
        <v>3639</v>
      </c>
      <c r="J36" s="3505" t="s">
        <v>3640</v>
      </c>
      <c r="K36" s="3506">
        <v>397</v>
      </c>
      <c r="L36" s="3506">
        <v>17093</v>
      </c>
      <c r="M36" s="3505" t="s">
        <v>3636</v>
      </c>
    </row>
    <row r="37" spans="1:13" s="3507" customFormat="1" ht="15" hidden="1" customHeight="1">
      <c r="A37" s="3505">
        <v>35</v>
      </c>
      <c r="B37" s="3505" t="s">
        <v>3641</v>
      </c>
      <c r="C37" s="3505" t="s">
        <v>3630</v>
      </c>
      <c r="D37" s="3505" t="s">
        <v>3642</v>
      </c>
      <c r="E37" s="3505" t="s">
        <v>3632</v>
      </c>
      <c r="F37" s="3506">
        <v>15101</v>
      </c>
      <c r="G37" s="3505" t="s">
        <v>3633</v>
      </c>
      <c r="H37" s="3505">
        <v>2022</v>
      </c>
      <c r="I37" s="3505" t="s">
        <v>3643</v>
      </c>
      <c r="J37" s="3505" t="s">
        <v>3644</v>
      </c>
      <c r="K37" s="3506">
        <v>680</v>
      </c>
      <c r="L37" s="3506">
        <v>45000</v>
      </c>
      <c r="M37" s="3505" t="s">
        <v>3636</v>
      </c>
    </row>
    <row r="38" spans="1:13" s="3507" customFormat="1" ht="15" hidden="1" customHeight="1">
      <c r="A38" s="3505">
        <v>36</v>
      </c>
      <c r="B38" s="3505" t="s">
        <v>3645</v>
      </c>
      <c r="C38" s="3505" t="s">
        <v>3630</v>
      </c>
      <c r="D38" s="3505" t="s">
        <v>3642</v>
      </c>
      <c r="E38" s="3505" t="s">
        <v>3632</v>
      </c>
      <c r="F38" s="3506">
        <v>15101</v>
      </c>
      <c r="G38" s="3505" t="s">
        <v>3633</v>
      </c>
      <c r="H38" s="3505">
        <v>2022</v>
      </c>
      <c r="I38" s="3505" t="s">
        <v>3643</v>
      </c>
      <c r="J38" s="3505" t="s">
        <v>3646</v>
      </c>
      <c r="K38" s="3506">
        <v>680</v>
      </c>
      <c r="L38" s="3506">
        <v>45000</v>
      </c>
      <c r="M38" s="3505" t="s">
        <v>3636</v>
      </c>
    </row>
    <row r="39" spans="1:13" s="3507" customFormat="1" ht="15" hidden="1" customHeight="1">
      <c r="A39" s="3505">
        <v>37</v>
      </c>
      <c r="B39" s="3505" t="s">
        <v>3647</v>
      </c>
      <c r="C39" s="3505" t="s">
        <v>3630</v>
      </c>
      <c r="D39" s="3505" t="s">
        <v>3648</v>
      </c>
      <c r="E39" s="3505" t="s">
        <v>3638</v>
      </c>
      <c r="F39" s="3506">
        <v>14095</v>
      </c>
      <c r="G39" s="3505" t="s">
        <v>3633</v>
      </c>
      <c r="H39" s="3505">
        <v>2022</v>
      </c>
      <c r="I39" s="3505" t="s">
        <v>3649</v>
      </c>
      <c r="J39" s="3505" t="s">
        <v>3650</v>
      </c>
      <c r="K39" s="3506">
        <v>333</v>
      </c>
      <c r="L39" s="3506">
        <v>23625</v>
      </c>
      <c r="M39" s="3505" t="s">
        <v>3636</v>
      </c>
    </row>
    <row r="40" spans="1:13" s="3507" customFormat="1" ht="15" hidden="1" customHeight="1">
      <c r="A40" s="3505">
        <v>38</v>
      </c>
      <c r="B40" s="3505" t="s">
        <v>3651</v>
      </c>
      <c r="C40" s="3505" t="s">
        <v>3630</v>
      </c>
      <c r="D40" s="3505" t="s">
        <v>3648</v>
      </c>
      <c r="E40" s="3505" t="s">
        <v>3638</v>
      </c>
      <c r="F40" s="3506">
        <v>19862</v>
      </c>
      <c r="G40" s="3505" t="s">
        <v>3633</v>
      </c>
      <c r="H40" s="3505">
        <v>2022</v>
      </c>
      <c r="I40" s="3505" t="s">
        <v>3649</v>
      </c>
      <c r="J40" s="3505" t="s">
        <v>3650</v>
      </c>
      <c r="K40" s="3506">
        <v>480</v>
      </c>
      <c r="L40" s="3506">
        <v>24200</v>
      </c>
      <c r="M40" s="3505" t="s">
        <v>3636</v>
      </c>
    </row>
    <row r="41" spans="1:13" s="3507" customFormat="1" ht="15" hidden="1" customHeight="1">
      <c r="A41" s="3505">
        <v>39</v>
      </c>
      <c r="B41" s="3505" t="s">
        <v>3652</v>
      </c>
      <c r="C41" s="3505" t="s">
        <v>3630</v>
      </c>
      <c r="D41" s="3505" t="s">
        <v>3653</v>
      </c>
      <c r="E41" s="3505" t="s">
        <v>3632</v>
      </c>
      <c r="F41" s="3506">
        <v>45395</v>
      </c>
      <c r="G41" s="3505" t="s">
        <v>3633</v>
      </c>
      <c r="H41" s="3505">
        <v>2022</v>
      </c>
      <c r="I41" s="3505" t="s">
        <v>3654</v>
      </c>
      <c r="J41" s="3505" t="s">
        <v>3655</v>
      </c>
      <c r="K41" s="3506">
        <v>2633</v>
      </c>
      <c r="L41" s="3506">
        <v>58000</v>
      </c>
      <c r="M41" s="3505" t="s">
        <v>3636</v>
      </c>
    </row>
    <row r="42" spans="1:13" s="3507" customFormat="1" ht="15" hidden="1" customHeight="1">
      <c r="A42" s="3505">
        <v>40</v>
      </c>
      <c r="B42" s="3505" t="s">
        <v>3656</v>
      </c>
      <c r="C42" s="3505" t="s">
        <v>3630</v>
      </c>
      <c r="D42" s="3505" t="s">
        <v>3653</v>
      </c>
      <c r="E42" s="3505" t="s">
        <v>3632</v>
      </c>
      <c r="F42" s="3506">
        <v>93780</v>
      </c>
      <c r="G42" s="3505" t="s">
        <v>3633</v>
      </c>
      <c r="H42" s="3505">
        <v>2022</v>
      </c>
      <c r="I42" s="3505" t="s">
        <v>3657</v>
      </c>
      <c r="J42" s="3505" t="s">
        <v>3658</v>
      </c>
      <c r="K42" s="3506">
        <v>5700</v>
      </c>
      <c r="L42" s="3506">
        <v>60781</v>
      </c>
      <c r="M42" s="3505" t="s">
        <v>3636</v>
      </c>
    </row>
    <row r="43" spans="1:13" s="3507" customFormat="1" ht="15" hidden="1" customHeight="1">
      <c r="A43" s="3505">
        <v>41</v>
      </c>
      <c r="B43" s="3505" t="s">
        <v>3659</v>
      </c>
      <c r="C43" s="3505" t="s">
        <v>3630</v>
      </c>
      <c r="D43" s="3505" t="s">
        <v>3653</v>
      </c>
      <c r="E43" s="3505" t="s">
        <v>3660</v>
      </c>
      <c r="F43" s="3506">
        <v>20507</v>
      </c>
      <c r="G43" s="3505" t="s">
        <v>3633</v>
      </c>
      <c r="H43" s="3505">
        <v>2022</v>
      </c>
      <c r="I43" s="3505" t="s">
        <v>3657</v>
      </c>
      <c r="J43" s="3505" t="s">
        <v>3661</v>
      </c>
      <c r="K43" s="3506">
        <v>1150</v>
      </c>
      <c r="L43" s="3506">
        <v>56078</v>
      </c>
      <c r="M43" s="3505" t="s">
        <v>3636</v>
      </c>
    </row>
    <row r="44" spans="1:13" s="3507" customFormat="1" ht="15" hidden="1" customHeight="1">
      <c r="A44" s="3505">
        <v>42</v>
      </c>
      <c r="B44" s="3505" t="s">
        <v>3662</v>
      </c>
      <c r="C44" s="3505" t="s">
        <v>3630</v>
      </c>
      <c r="D44" s="3505" t="s">
        <v>3663</v>
      </c>
      <c r="E44" s="3505" t="s">
        <v>3632</v>
      </c>
      <c r="F44" s="3506">
        <v>3739</v>
      </c>
      <c r="G44" s="3505" t="s">
        <v>3633</v>
      </c>
      <c r="H44" s="3505">
        <v>2022</v>
      </c>
      <c r="I44" s="3505" t="s">
        <v>3654</v>
      </c>
      <c r="J44" s="3505" t="s">
        <v>3664</v>
      </c>
      <c r="K44" s="3506">
        <v>180</v>
      </c>
      <c r="L44" s="3506">
        <v>48141</v>
      </c>
      <c r="M44" s="3505" t="s">
        <v>3636</v>
      </c>
    </row>
    <row r="45" spans="1:13" s="3507" customFormat="1" ht="15" hidden="1" customHeight="1">
      <c r="A45" s="3505">
        <v>43</v>
      </c>
      <c r="B45" s="3505" t="s">
        <v>3665</v>
      </c>
      <c r="C45" s="3505" t="s">
        <v>3630</v>
      </c>
      <c r="D45" s="3505" t="s">
        <v>3666</v>
      </c>
      <c r="E45" s="3505" t="s">
        <v>3632</v>
      </c>
      <c r="F45" s="3506">
        <v>10232</v>
      </c>
      <c r="G45" s="3505" t="s">
        <v>3633</v>
      </c>
      <c r="H45" s="3505">
        <v>2022</v>
      </c>
      <c r="I45" s="3505" t="s">
        <v>3667</v>
      </c>
      <c r="J45" s="3505" t="s">
        <v>3668</v>
      </c>
      <c r="K45" s="3506">
        <v>657</v>
      </c>
      <c r="L45" s="3506">
        <v>64210</v>
      </c>
      <c r="M45" s="3505" t="s">
        <v>3636</v>
      </c>
    </row>
    <row r="46" spans="1:13" s="3507" customFormat="1" ht="15" hidden="1" customHeight="1">
      <c r="A46" s="3505">
        <v>44</v>
      </c>
      <c r="B46" s="3505" t="s">
        <v>3669</v>
      </c>
      <c r="C46" s="3505" t="s">
        <v>3630</v>
      </c>
      <c r="D46" s="3505" t="s">
        <v>3631</v>
      </c>
      <c r="E46" s="3505" t="s">
        <v>3660</v>
      </c>
      <c r="F46" s="3506">
        <v>33456</v>
      </c>
      <c r="G46" s="3505" t="s">
        <v>3633</v>
      </c>
      <c r="H46" s="3505">
        <v>2022</v>
      </c>
      <c r="I46" s="3505" t="s">
        <v>3670</v>
      </c>
      <c r="J46" s="3505" t="s">
        <v>3671</v>
      </c>
      <c r="K46" s="3506">
        <v>892</v>
      </c>
      <c r="L46" s="3506">
        <v>26700</v>
      </c>
      <c r="M46" s="3505" t="s">
        <v>3636</v>
      </c>
    </row>
    <row r="47" spans="1:13" s="3507" customFormat="1" ht="15" hidden="1" customHeight="1">
      <c r="A47" s="3505">
        <v>45</v>
      </c>
      <c r="B47" s="3505" t="s">
        <v>3672</v>
      </c>
      <c r="C47" s="3505" t="s">
        <v>3630</v>
      </c>
      <c r="D47" s="3505" t="s">
        <v>3653</v>
      </c>
      <c r="E47" s="3505" t="s">
        <v>3632</v>
      </c>
      <c r="F47" s="3506">
        <v>27427</v>
      </c>
      <c r="G47" s="3505" t="s">
        <v>3633</v>
      </c>
      <c r="H47" s="3505">
        <v>2022</v>
      </c>
      <c r="I47" s="3505" t="s">
        <v>3673</v>
      </c>
      <c r="J47" s="3505" t="s">
        <v>3674</v>
      </c>
      <c r="K47" s="3506">
        <v>1100</v>
      </c>
      <c r="L47" s="3506">
        <v>40106</v>
      </c>
      <c r="M47" s="3505" t="s">
        <v>3636</v>
      </c>
    </row>
    <row r="48" spans="1:13" s="3507" customFormat="1" ht="15" hidden="1" customHeight="1">
      <c r="A48" s="3505">
        <v>46</v>
      </c>
      <c r="B48" s="3505" t="s">
        <v>3675</v>
      </c>
      <c r="C48" s="3505" t="s">
        <v>3630</v>
      </c>
      <c r="D48" s="3505" t="s">
        <v>3631</v>
      </c>
      <c r="E48" s="3505" t="s">
        <v>3632</v>
      </c>
      <c r="F48" s="3506">
        <v>57318</v>
      </c>
      <c r="G48" s="3505" t="s">
        <v>3633</v>
      </c>
      <c r="H48" s="3505">
        <v>2022</v>
      </c>
      <c r="I48" s="3505" t="s">
        <v>3676</v>
      </c>
      <c r="J48" s="3505" t="s">
        <v>3677</v>
      </c>
      <c r="K48" s="3506">
        <v>2850</v>
      </c>
      <c r="L48" s="3506">
        <v>50595</v>
      </c>
      <c r="M48" s="3505" t="s">
        <v>3678</v>
      </c>
    </row>
    <row r="49" spans="1:13" s="3507" customFormat="1" ht="15" hidden="1" customHeight="1">
      <c r="A49" s="3505">
        <v>47</v>
      </c>
      <c r="B49" s="3505" t="s">
        <v>3679</v>
      </c>
      <c r="C49" s="3505" t="s">
        <v>3630</v>
      </c>
      <c r="D49" s="3505" t="s">
        <v>3680</v>
      </c>
      <c r="E49" s="3505" t="s">
        <v>3681</v>
      </c>
      <c r="F49" s="3506">
        <v>68433</v>
      </c>
      <c r="G49" s="3505" t="s">
        <v>3633</v>
      </c>
      <c r="H49" s="3505">
        <v>2022</v>
      </c>
      <c r="I49" s="3505" t="s">
        <v>3682</v>
      </c>
      <c r="J49" s="3505" t="s">
        <v>3683</v>
      </c>
      <c r="K49" s="3506">
        <v>411</v>
      </c>
      <c r="L49" s="3506">
        <v>6000</v>
      </c>
      <c r="M49" s="3505" t="s">
        <v>3678</v>
      </c>
    </row>
    <row r="50" spans="1:13" s="3507" customFormat="1" ht="15" hidden="1" customHeight="1">
      <c r="A50" s="3505">
        <v>48</v>
      </c>
      <c r="B50" s="3505" t="s">
        <v>3684</v>
      </c>
      <c r="C50" s="3505" t="s">
        <v>3630</v>
      </c>
      <c r="D50" s="3505" t="s">
        <v>3663</v>
      </c>
      <c r="E50" s="3505" t="s">
        <v>3632</v>
      </c>
      <c r="F50" s="3506">
        <v>34350</v>
      </c>
      <c r="G50" s="3505" t="s">
        <v>3633</v>
      </c>
      <c r="H50" s="3505">
        <v>2022</v>
      </c>
      <c r="I50" s="3505" t="s">
        <v>3685</v>
      </c>
      <c r="J50" s="3505" t="s">
        <v>3686</v>
      </c>
      <c r="K50" s="3506">
        <v>700</v>
      </c>
      <c r="L50" s="3506">
        <v>20378</v>
      </c>
      <c r="M50" s="3505" t="s">
        <v>3678</v>
      </c>
    </row>
    <row r="51" spans="1:13" s="3507" customFormat="1" ht="15" hidden="1" customHeight="1">
      <c r="A51" s="3505">
        <v>49</v>
      </c>
      <c r="B51" s="3505" t="s">
        <v>3687</v>
      </c>
      <c r="C51" s="3505" t="s">
        <v>3630</v>
      </c>
      <c r="D51" s="3505" t="s">
        <v>3653</v>
      </c>
      <c r="E51" s="3505" t="s">
        <v>3638</v>
      </c>
      <c r="F51" s="3506">
        <v>6002</v>
      </c>
      <c r="G51" s="3505" t="s">
        <v>3633</v>
      </c>
      <c r="H51" s="3505">
        <v>2022</v>
      </c>
      <c r="I51" s="3505" t="s">
        <v>3688</v>
      </c>
      <c r="J51" s="3505" t="s">
        <v>3689</v>
      </c>
      <c r="K51" s="3506">
        <v>120</v>
      </c>
      <c r="L51" s="3506">
        <v>19993</v>
      </c>
      <c r="M51" s="3505" t="s">
        <v>3636</v>
      </c>
    </row>
    <row r="52" spans="1:13" s="3507" customFormat="1" ht="15" hidden="1" customHeight="1">
      <c r="A52" s="3505">
        <v>50</v>
      </c>
      <c r="B52" s="3505" t="s">
        <v>3690</v>
      </c>
      <c r="C52" s="3505" t="s">
        <v>3630</v>
      </c>
      <c r="D52" s="3505" t="s">
        <v>3691</v>
      </c>
      <c r="E52" s="3505" t="s">
        <v>3692</v>
      </c>
      <c r="F52" s="3506">
        <v>13100</v>
      </c>
      <c r="G52" s="3505" t="s">
        <v>3633</v>
      </c>
      <c r="H52" s="3505">
        <v>2022</v>
      </c>
      <c r="I52" s="3505" t="s">
        <v>3693</v>
      </c>
      <c r="J52" s="3505" t="s">
        <v>3694</v>
      </c>
      <c r="K52" s="3506">
        <v>113</v>
      </c>
      <c r="L52" s="3506">
        <v>8626</v>
      </c>
      <c r="M52" s="3505" t="s">
        <v>3678</v>
      </c>
    </row>
    <row r="53" spans="1:13" s="3507" customFormat="1" ht="15" hidden="1" customHeight="1">
      <c r="A53" s="3505">
        <v>51</v>
      </c>
      <c r="B53" s="3505" t="s">
        <v>3695</v>
      </c>
      <c r="C53" s="3505" t="s">
        <v>3630</v>
      </c>
      <c r="D53" s="3505" t="s">
        <v>3631</v>
      </c>
      <c r="E53" s="3505" t="s">
        <v>3638</v>
      </c>
      <c r="F53" s="3506">
        <v>38149</v>
      </c>
      <c r="G53" s="3505" t="s">
        <v>3633</v>
      </c>
      <c r="H53" s="3505">
        <v>2022</v>
      </c>
      <c r="I53" s="3505" t="s">
        <v>3696</v>
      </c>
      <c r="J53" s="3505" t="s">
        <v>3697</v>
      </c>
      <c r="K53" s="3506">
        <v>420</v>
      </c>
      <c r="L53" s="3506">
        <v>11009</v>
      </c>
      <c r="M53" s="3505" t="s">
        <v>3678</v>
      </c>
    </row>
    <row r="54" spans="1:13" s="3507" customFormat="1" ht="15" hidden="1" customHeight="1">
      <c r="A54" s="3505">
        <v>52</v>
      </c>
      <c r="B54" s="3505" t="s">
        <v>3698</v>
      </c>
      <c r="C54" s="3505" t="s">
        <v>3630</v>
      </c>
      <c r="D54" s="3505" t="s">
        <v>3642</v>
      </c>
      <c r="E54" s="3505" t="s">
        <v>3632</v>
      </c>
      <c r="F54" s="3506">
        <v>5874</v>
      </c>
      <c r="G54" s="3505" t="s">
        <v>3699</v>
      </c>
      <c r="H54" s="3505">
        <v>2022</v>
      </c>
      <c r="I54" s="3505" t="s">
        <v>3700</v>
      </c>
      <c r="J54" s="3505" t="s">
        <v>3701</v>
      </c>
      <c r="K54" s="3506">
        <v>200</v>
      </c>
      <c r="L54" s="3506">
        <v>34048</v>
      </c>
      <c r="M54" s="3505" t="s">
        <v>3636</v>
      </c>
    </row>
    <row r="55" spans="1:13" s="3507" customFormat="1" ht="15" hidden="1" customHeight="1">
      <c r="A55" s="3505">
        <v>53</v>
      </c>
      <c r="B55" s="3505" t="s">
        <v>3702</v>
      </c>
      <c r="C55" s="3505" t="s">
        <v>3630</v>
      </c>
      <c r="D55" s="3505" t="s">
        <v>3648</v>
      </c>
      <c r="E55" s="3505" t="s">
        <v>3638</v>
      </c>
      <c r="F55" s="3506">
        <v>5135</v>
      </c>
      <c r="G55" s="3505" t="s">
        <v>3699</v>
      </c>
      <c r="H55" s="3505">
        <v>2022</v>
      </c>
      <c r="I55" s="3505" t="s">
        <v>3703</v>
      </c>
      <c r="J55" s="3505" t="s">
        <v>3704</v>
      </c>
      <c r="K55" s="3506">
        <v>200</v>
      </c>
      <c r="L55" s="3506">
        <v>39000</v>
      </c>
      <c r="M55" s="3505" t="s">
        <v>3636</v>
      </c>
    </row>
    <row r="56" spans="1:13" s="3507" customFormat="1" ht="15" hidden="1" customHeight="1">
      <c r="A56" s="3505">
        <v>54</v>
      </c>
      <c r="B56" s="3505" t="s">
        <v>3705</v>
      </c>
      <c r="C56" s="3505" t="s">
        <v>3630</v>
      </c>
      <c r="D56" s="3505" t="s">
        <v>3706</v>
      </c>
      <c r="E56" s="3505" t="s">
        <v>3638</v>
      </c>
      <c r="F56" s="3506">
        <v>79260</v>
      </c>
      <c r="G56" s="3505" t="s">
        <v>3699</v>
      </c>
      <c r="H56" s="3505">
        <v>2022</v>
      </c>
      <c r="I56" s="3505" t="s">
        <v>3707</v>
      </c>
      <c r="J56" s="3505" t="s">
        <v>3708</v>
      </c>
      <c r="K56" s="3506">
        <v>2753</v>
      </c>
      <c r="L56" s="3506">
        <v>34734</v>
      </c>
      <c r="M56" s="3505" t="s">
        <v>3709</v>
      </c>
    </row>
    <row r="57" spans="1:13" s="3507" customFormat="1" ht="15" hidden="1" customHeight="1">
      <c r="A57" s="3505">
        <v>55</v>
      </c>
      <c r="B57" s="3505" t="s">
        <v>3710</v>
      </c>
      <c r="C57" s="3505" t="s">
        <v>3630</v>
      </c>
      <c r="D57" s="3505" t="s">
        <v>3631</v>
      </c>
      <c r="E57" s="3505" t="s">
        <v>3681</v>
      </c>
      <c r="F57" s="3506">
        <v>29380</v>
      </c>
      <c r="G57" s="3505" t="s">
        <v>3699</v>
      </c>
      <c r="H57" s="3505">
        <v>2022</v>
      </c>
      <c r="I57" s="3505" t="s">
        <v>3711</v>
      </c>
      <c r="J57" s="3505" t="s">
        <v>3712</v>
      </c>
      <c r="K57" s="3506">
        <v>283</v>
      </c>
      <c r="L57" s="3506">
        <v>9632</v>
      </c>
      <c r="M57" s="3505" t="s">
        <v>3678</v>
      </c>
    </row>
    <row r="58" spans="1:13" s="3507" customFormat="1" ht="15" hidden="1" customHeight="1">
      <c r="A58" s="3505">
        <v>56</v>
      </c>
      <c r="B58" s="3505" t="s">
        <v>3713</v>
      </c>
      <c r="C58" s="3505" t="s">
        <v>3630</v>
      </c>
      <c r="D58" s="3505" t="s">
        <v>3714</v>
      </c>
      <c r="E58" s="3505" t="s">
        <v>3715</v>
      </c>
      <c r="F58" s="3506">
        <v>11427</v>
      </c>
      <c r="G58" s="3505" t="s">
        <v>3699</v>
      </c>
      <c r="H58" s="3505">
        <v>2022</v>
      </c>
      <c r="I58" s="3505" t="s">
        <v>3716</v>
      </c>
      <c r="J58" s="3505" t="s">
        <v>3717</v>
      </c>
      <c r="K58" s="3506">
        <v>253</v>
      </c>
      <c r="L58" s="3506">
        <v>22141</v>
      </c>
      <c r="M58" s="3505" t="s">
        <v>3678</v>
      </c>
    </row>
    <row r="59" spans="1:13" s="3507" customFormat="1" ht="15" hidden="1" customHeight="1">
      <c r="A59" s="3505">
        <v>57</v>
      </c>
      <c r="B59" s="3505" t="s">
        <v>3718</v>
      </c>
      <c r="C59" s="3505" t="s">
        <v>3630</v>
      </c>
      <c r="D59" s="3505" t="s">
        <v>3653</v>
      </c>
      <c r="E59" s="3505" t="s">
        <v>3715</v>
      </c>
      <c r="F59" s="3506">
        <v>3209</v>
      </c>
      <c r="G59" s="3505" t="s">
        <v>3699</v>
      </c>
      <c r="H59" s="3505">
        <v>2022</v>
      </c>
      <c r="I59" s="3505" t="s">
        <v>3719</v>
      </c>
      <c r="J59" s="3505" t="s">
        <v>3720</v>
      </c>
      <c r="K59" s="3506">
        <v>92</v>
      </c>
      <c r="L59" s="3506">
        <v>28669</v>
      </c>
      <c r="M59" s="3505" t="s">
        <v>3678</v>
      </c>
    </row>
    <row r="60" spans="1:13" s="3507" customFormat="1" ht="15" hidden="1" customHeight="1">
      <c r="A60" s="3505">
        <v>58</v>
      </c>
      <c r="B60" s="3505" t="s">
        <v>3721</v>
      </c>
      <c r="C60" s="3505" t="s">
        <v>3630</v>
      </c>
      <c r="D60" s="3505" t="s">
        <v>3631</v>
      </c>
      <c r="E60" s="3505" t="s">
        <v>3638</v>
      </c>
      <c r="F60" s="3506">
        <v>22073</v>
      </c>
      <c r="G60" s="3505" t="s">
        <v>3699</v>
      </c>
      <c r="H60" s="3505">
        <v>2022</v>
      </c>
      <c r="I60" s="3505" t="s">
        <v>3722</v>
      </c>
      <c r="J60" s="3505" t="s">
        <v>3723</v>
      </c>
      <c r="K60" s="3506">
        <v>580</v>
      </c>
      <c r="L60" s="3506">
        <v>26276</v>
      </c>
      <c r="M60" s="3505" t="s">
        <v>3678</v>
      </c>
    </row>
    <row r="61" spans="1:13" s="3507" customFormat="1" ht="15" hidden="1" customHeight="1">
      <c r="A61" s="3505">
        <v>59</v>
      </c>
      <c r="B61" s="3505" t="s">
        <v>3724</v>
      </c>
      <c r="C61" s="3505" t="s">
        <v>3630</v>
      </c>
      <c r="D61" s="3505" t="s">
        <v>3653</v>
      </c>
      <c r="E61" s="3505" t="s">
        <v>3660</v>
      </c>
      <c r="F61" s="3506">
        <v>4636</v>
      </c>
      <c r="G61" s="3505" t="s">
        <v>3699</v>
      </c>
      <c r="H61" s="3505">
        <v>2022</v>
      </c>
      <c r="I61" s="3505" t="s">
        <v>3725</v>
      </c>
      <c r="J61" s="3505" t="s">
        <v>3689</v>
      </c>
      <c r="K61" s="3506">
        <v>140</v>
      </c>
      <c r="L61" s="3506">
        <v>30198</v>
      </c>
      <c r="M61" s="3505" t="s">
        <v>3636</v>
      </c>
    </row>
    <row r="62" spans="1:13" s="3507" customFormat="1" ht="15" hidden="1" customHeight="1">
      <c r="A62" s="3505">
        <v>60</v>
      </c>
      <c r="B62" s="3505" t="s">
        <v>3726</v>
      </c>
      <c r="C62" s="3505" t="s">
        <v>3630</v>
      </c>
      <c r="D62" s="3505" t="s">
        <v>3631</v>
      </c>
      <c r="E62" s="3505" t="s">
        <v>3638</v>
      </c>
      <c r="F62" s="3506">
        <v>26755</v>
      </c>
      <c r="G62" s="3505" t="s">
        <v>3699</v>
      </c>
      <c r="H62" s="3505">
        <v>2022</v>
      </c>
      <c r="I62" s="3505" t="s">
        <v>3727</v>
      </c>
      <c r="J62" s="3505" t="s">
        <v>3728</v>
      </c>
      <c r="K62" s="3506">
        <v>1070</v>
      </c>
      <c r="L62" s="3506">
        <v>40000</v>
      </c>
      <c r="M62" s="3505" t="s">
        <v>3678</v>
      </c>
    </row>
    <row r="63" spans="1:13" s="3507" customFormat="1" ht="15" hidden="1" customHeight="1">
      <c r="A63" s="3505">
        <v>61</v>
      </c>
      <c r="B63" s="3505" t="s">
        <v>3729</v>
      </c>
      <c r="C63" s="3505" t="s">
        <v>3630</v>
      </c>
      <c r="D63" s="3505" t="s">
        <v>3730</v>
      </c>
      <c r="E63" s="3505" t="s">
        <v>3632</v>
      </c>
      <c r="F63" s="3506">
        <v>145642</v>
      </c>
      <c r="G63" s="3505" t="s">
        <v>3699</v>
      </c>
      <c r="H63" s="3505">
        <v>2022</v>
      </c>
      <c r="I63" s="3505" t="s">
        <v>3731</v>
      </c>
      <c r="J63" s="3505" t="s">
        <v>3732</v>
      </c>
      <c r="K63" s="3506">
        <v>7300</v>
      </c>
      <c r="L63" s="3506">
        <v>50123</v>
      </c>
      <c r="M63" s="3505" t="s">
        <v>3678</v>
      </c>
    </row>
    <row r="64" spans="1:13" s="3507" customFormat="1" ht="15" hidden="1" customHeight="1">
      <c r="A64" s="3505">
        <v>62</v>
      </c>
      <c r="B64" s="3505" t="s">
        <v>3733</v>
      </c>
      <c r="C64" s="3505" t="s">
        <v>3630</v>
      </c>
      <c r="D64" s="3505" t="s">
        <v>3642</v>
      </c>
      <c r="E64" s="3505" t="s">
        <v>3632</v>
      </c>
      <c r="F64" s="3506">
        <v>33702</v>
      </c>
      <c r="G64" s="3505" t="s">
        <v>3699</v>
      </c>
      <c r="H64" s="3505">
        <v>2022</v>
      </c>
      <c r="I64" s="3505" t="s">
        <v>3673</v>
      </c>
      <c r="J64" s="3505" t="s">
        <v>3734</v>
      </c>
      <c r="K64" s="3506">
        <v>1139</v>
      </c>
      <c r="L64" s="3506">
        <v>33796</v>
      </c>
      <c r="M64" s="3505" t="s">
        <v>3636</v>
      </c>
    </row>
    <row r="65" spans="1:13" s="3507" customFormat="1" ht="15" hidden="1" customHeight="1">
      <c r="A65" s="3505">
        <v>63</v>
      </c>
      <c r="B65" s="3505" t="s">
        <v>3735</v>
      </c>
      <c r="C65" s="3505" t="s">
        <v>3630</v>
      </c>
      <c r="D65" s="3505" t="s">
        <v>3666</v>
      </c>
      <c r="E65" s="3505" t="s">
        <v>3632</v>
      </c>
      <c r="F65" s="3506">
        <v>52998</v>
      </c>
      <c r="G65" s="3505" t="s">
        <v>3699</v>
      </c>
      <c r="H65" s="3505">
        <v>2022</v>
      </c>
      <c r="I65" s="3505" t="s">
        <v>3736</v>
      </c>
      <c r="J65" s="3505" t="s">
        <v>3737</v>
      </c>
      <c r="K65" s="3506">
        <v>3328</v>
      </c>
      <c r="L65" s="3506">
        <v>62795</v>
      </c>
      <c r="M65" s="3505" t="s">
        <v>3636</v>
      </c>
    </row>
    <row r="66" spans="1:13" s="3507" customFormat="1" ht="15" hidden="1" customHeight="1">
      <c r="A66" s="3505">
        <v>64</v>
      </c>
      <c r="B66" s="3505" t="s">
        <v>3738</v>
      </c>
      <c r="C66" s="3505" t="s">
        <v>3630</v>
      </c>
      <c r="D66" s="3505" t="s">
        <v>3666</v>
      </c>
      <c r="E66" s="3505" t="s">
        <v>3632</v>
      </c>
      <c r="F66" s="3506">
        <v>23778</v>
      </c>
      <c r="G66" s="3505" t="s">
        <v>3699</v>
      </c>
      <c r="H66" s="3505">
        <v>2022</v>
      </c>
      <c r="I66" s="3505" t="s">
        <v>3736</v>
      </c>
      <c r="J66" s="3505" t="s">
        <v>3739</v>
      </c>
      <c r="K66" s="3506">
        <v>1493</v>
      </c>
      <c r="L66" s="3506">
        <v>62800</v>
      </c>
      <c r="M66" s="3505" t="s">
        <v>3636</v>
      </c>
    </row>
    <row r="67" spans="1:13" s="3507" customFormat="1" ht="15" hidden="1" customHeight="1">
      <c r="A67" s="3505">
        <v>65</v>
      </c>
      <c r="B67" s="3505" t="s">
        <v>3740</v>
      </c>
      <c r="C67" s="3505" t="s">
        <v>3630</v>
      </c>
      <c r="D67" s="3505" t="s">
        <v>3631</v>
      </c>
      <c r="E67" s="3505" t="s">
        <v>3638</v>
      </c>
      <c r="F67" s="3506">
        <v>30406</v>
      </c>
      <c r="G67" s="3505" t="s">
        <v>3699</v>
      </c>
      <c r="H67" s="3505">
        <v>2022</v>
      </c>
      <c r="I67" s="3505" t="s">
        <v>3741</v>
      </c>
      <c r="J67" s="3505" t="s">
        <v>3742</v>
      </c>
      <c r="K67" s="3506">
        <v>979</v>
      </c>
      <c r="L67" s="3506">
        <v>32198</v>
      </c>
      <c r="M67" s="3505" t="s">
        <v>3636</v>
      </c>
    </row>
    <row r="68" spans="1:13" s="3507" customFormat="1" ht="15" hidden="1" customHeight="1">
      <c r="A68" s="3505">
        <v>66</v>
      </c>
      <c r="B68" s="3505" t="s">
        <v>3743</v>
      </c>
      <c r="C68" s="3505" t="s">
        <v>3630</v>
      </c>
      <c r="D68" s="3505" t="s">
        <v>3706</v>
      </c>
      <c r="E68" s="3505" t="s">
        <v>3632</v>
      </c>
      <c r="F68" s="3506">
        <v>4227</v>
      </c>
      <c r="G68" s="3505" t="s">
        <v>3699</v>
      </c>
      <c r="H68" s="3505">
        <v>2022</v>
      </c>
      <c r="I68" s="3505" t="s">
        <v>3744</v>
      </c>
      <c r="J68" s="3505" t="s">
        <v>3745</v>
      </c>
      <c r="K68" s="3506">
        <v>267</v>
      </c>
      <c r="L68" s="3506">
        <v>63165</v>
      </c>
      <c r="M68" s="3505" t="s">
        <v>3636</v>
      </c>
    </row>
    <row r="69" spans="1:13" s="3507" customFormat="1" ht="15" hidden="1" customHeight="1">
      <c r="A69" s="3505">
        <v>67</v>
      </c>
      <c r="B69" s="3505" t="s">
        <v>3746</v>
      </c>
      <c r="C69" s="3505" t="s">
        <v>3630</v>
      </c>
      <c r="D69" s="3505" t="s">
        <v>3663</v>
      </c>
      <c r="E69" s="3505" t="s">
        <v>3715</v>
      </c>
      <c r="F69" s="3506">
        <v>49112</v>
      </c>
      <c r="G69" s="3505" t="s">
        <v>3699</v>
      </c>
      <c r="H69" s="3505">
        <v>2022</v>
      </c>
      <c r="I69" s="3505" t="s">
        <v>3719</v>
      </c>
      <c r="J69" s="3505" t="s">
        <v>3717</v>
      </c>
      <c r="K69" s="3506">
        <v>263</v>
      </c>
      <c r="L69" s="3506">
        <v>21420</v>
      </c>
      <c r="M69" s="3505" t="s">
        <v>3678</v>
      </c>
    </row>
    <row r="70" spans="1:13" s="3507" customFormat="1" ht="15" hidden="1" customHeight="1">
      <c r="A70" s="3505">
        <v>68</v>
      </c>
      <c r="B70" s="3505" t="s">
        <v>3747</v>
      </c>
      <c r="C70" s="3505" t="s">
        <v>3630</v>
      </c>
      <c r="D70" s="3505" t="s">
        <v>3730</v>
      </c>
      <c r="E70" s="3505" t="s">
        <v>3632</v>
      </c>
      <c r="F70" s="3506">
        <v>23013</v>
      </c>
      <c r="G70" s="3505" t="s">
        <v>3699</v>
      </c>
      <c r="H70" s="3505">
        <v>2022</v>
      </c>
      <c r="I70" s="3505" t="s">
        <v>3748</v>
      </c>
      <c r="J70" s="3505" t="s">
        <v>3749</v>
      </c>
      <c r="K70" s="3506">
        <v>2640</v>
      </c>
      <c r="L70" s="3506">
        <v>115000</v>
      </c>
      <c r="M70" s="3505" t="s">
        <v>3636</v>
      </c>
    </row>
    <row r="71" spans="1:13" s="3507" customFormat="1" ht="15" hidden="1" customHeight="1">
      <c r="A71" s="3505">
        <v>69</v>
      </c>
      <c r="B71" s="3505" t="s">
        <v>3750</v>
      </c>
      <c r="C71" s="3505" t="s">
        <v>3630</v>
      </c>
      <c r="D71" s="3505" t="s">
        <v>3648</v>
      </c>
      <c r="E71" s="3505" t="s">
        <v>3681</v>
      </c>
      <c r="F71" s="3506">
        <v>29495</v>
      </c>
      <c r="G71" s="3505" t="s">
        <v>3699</v>
      </c>
      <c r="H71" s="3505">
        <v>2022</v>
      </c>
      <c r="I71" s="3505" t="s">
        <v>3751</v>
      </c>
      <c r="J71" s="3505" t="s">
        <v>3752</v>
      </c>
      <c r="K71" s="3506">
        <v>132</v>
      </c>
      <c r="L71" s="3506">
        <v>4478</v>
      </c>
      <c r="M71" s="3505" t="s">
        <v>3636</v>
      </c>
    </row>
    <row r="72" spans="1:13" s="3507" customFormat="1" ht="15" hidden="1" customHeight="1">
      <c r="A72" s="3505">
        <v>70</v>
      </c>
      <c r="B72" s="3505" t="s">
        <v>3753</v>
      </c>
      <c r="C72" s="3505" t="s">
        <v>3630</v>
      </c>
      <c r="D72" s="3505" t="s">
        <v>3730</v>
      </c>
      <c r="E72" s="3505" t="s">
        <v>3632</v>
      </c>
      <c r="F72" s="3506">
        <v>15600</v>
      </c>
      <c r="G72" s="3505" t="s">
        <v>3699</v>
      </c>
      <c r="H72" s="3505">
        <v>2022</v>
      </c>
      <c r="I72" s="3505" t="s">
        <v>3754</v>
      </c>
      <c r="J72" s="3505" t="s">
        <v>3755</v>
      </c>
      <c r="K72" s="3506">
        <v>505</v>
      </c>
      <c r="L72" s="3506">
        <v>32372</v>
      </c>
      <c r="M72" s="3505" t="s">
        <v>3636</v>
      </c>
    </row>
    <row r="73" spans="1:13" s="3507" customFormat="1" ht="15" hidden="1" customHeight="1">
      <c r="A73" s="3505">
        <v>71</v>
      </c>
      <c r="B73" s="3505" t="s">
        <v>3756</v>
      </c>
      <c r="C73" s="3505" t="s">
        <v>3757</v>
      </c>
      <c r="D73" s="3505" t="s">
        <v>3758</v>
      </c>
      <c r="E73" s="3505" t="s">
        <v>3632</v>
      </c>
      <c r="F73" s="3506">
        <v>6343</v>
      </c>
      <c r="G73" s="3505" t="s">
        <v>3759</v>
      </c>
      <c r="H73" s="3505">
        <v>2022</v>
      </c>
      <c r="I73" s="3505" t="s">
        <v>3760</v>
      </c>
      <c r="J73" s="3505" t="s">
        <v>3761</v>
      </c>
      <c r="K73" s="3506">
        <v>152</v>
      </c>
      <c r="L73" s="3506">
        <v>23963</v>
      </c>
      <c r="M73" s="3505" t="s">
        <v>3636</v>
      </c>
    </row>
    <row r="74" spans="1:13" s="3507" customFormat="1" ht="15" hidden="1" customHeight="1">
      <c r="A74" s="3505">
        <v>72</v>
      </c>
      <c r="B74" s="3505" t="s">
        <v>3762</v>
      </c>
      <c r="C74" s="3505" t="s">
        <v>3757</v>
      </c>
      <c r="D74" s="3505" t="s">
        <v>3763</v>
      </c>
      <c r="E74" s="3505" t="s">
        <v>3660</v>
      </c>
      <c r="F74" s="3506">
        <v>17265</v>
      </c>
      <c r="G74" s="3505" t="s">
        <v>3759</v>
      </c>
      <c r="H74" s="3505">
        <v>2022</v>
      </c>
      <c r="I74" s="3505" t="s">
        <v>3764</v>
      </c>
      <c r="J74" s="3505" t="s">
        <v>3765</v>
      </c>
      <c r="K74" s="3506">
        <v>163</v>
      </c>
      <c r="L74" s="3506">
        <v>9441</v>
      </c>
      <c r="M74" s="3505" t="s">
        <v>3636</v>
      </c>
    </row>
    <row r="75" spans="1:13" s="3514" customFormat="1" ht="15" customHeight="1">
      <c r="A75" s="3512">
        <v>73</v>
      </c>
      <c r="B75" s="3512" t="s">
        <v>3766</v>
      </c>
      <c r="C75" s="3512" t="s">
        <v>3767</v>
      </c>
      <c r="D75" s="3512" t="s">
        <v>3768</v>
      </c>
      <c r="E75" s="3512" t="s">
        <v>21</v>
      </c>
      <c r="F75" s="3513">
        <v>24165</v>
      </c>
      <c r="G75" s="3512" t="s">
        <v>3516</v>
      </c>
      <c r="H75" s="3512">
        <v>2022</v>
      </c>
      <c r="I75" s="3512" t="s">
        <v>3769</v>
      </c>
      <c r="J75" s="3512" t="s">
        <v>3770</v>
      </c>
      <c r="K75" s="3513">
        <v>750</v>
      </c>
      <c r="L75" s="3513">
        <v>31037</v>
      </c>
      <c r="M75" s="3512" t="s">
        <v>3771</v>
      </c>
    </row>
    <row r="76" spans="1:13" s="3507" customFormat="1" ht="15" hidden="1" customHeight="1">
      <c r="A76" s="3505">
        <v>74</v>
      </c>
      <c r="B76" s="3505" t="s">
        <v>3772</v>
      </c>
      <c r="C76" s="3505" t="s">
        <v>3757</v>
      </c>
      <c r="D76" s="3505" t="s">
        <v>3773</v>
      </c>
      <c r="E76" s="3505" t="s">
        <v>3715</v>
      </c>
      <c r="F76" s="3506">
        <v>96740</v>
      </c>
      <c r="G76" s="3505" t="s">
        <v>3759</v>
      </c>
      <c r="H76" s="3505">
        <v>2022</v>
      </c>
      <c r="I76" s="3505" t="s">
        <v>3774</v>
      </c>
      <c r="J76" s="3505" t="s">
        <v>3775</v>
      </c>
      <c r="K76" s="3506">
        <v>1870</v>
      </c>
      <c r="L76" s="3506">
        <v>19330</v>
      </c>
      <c r="M76" s="3505" t="s">
        <v>3636</v>
      </c>
    </row>
    <row r="77" spans="1:13" s="3507" customFormat="1" ht="15" hidden="1" customHeight="1">
      <c r="A77" s="3505">
        <v>75</v>
      </c>
      <c r="B77" s="3505" t="s">
        <v>3776</v>
      </c>
      <c r="C77" s="3505" t="s">
        <v>3757</v>
      </c>
      <c r="D77" s="3505" t="s">
        <v>3777</v>
      </c>
      <c r="E77" s="3505" t="s">
        <v>3632</v>
      </c>
      <c r="F77" s="3506">
        <v>119000</v>
      </c>
      <c r="G77" s="3505" t="s">
        <v>3778</v>
      </c>
      <c r="H77" s="3505">
        <v>2022</v>
      </c>
      <c r="I77" s="3505" t="s">
        <v>3779</v>
      </c>
      <c r="J77" s="3505" t="s">
        <v>3780</v>
      </c>
      <c r="K77" s="3506">
        <v>5015</v>
      </c>
      <c r="L77" s="3506">
        <v>42143</v>
      </c>
      <c r="M77" s="3505" t="s">
        <v>3781</v>
      </c>
    </row>
    <row r="78" spans="1:13" s="3507" customFormat="1" ht="15" hidden="1" customHeight="1">
      <c r="A78" s="3505">
        <v>76</v>
      </c>
      <c r="B78" s="3505" t="s">
        <v>3782</v>
      </c>
      <c r="C78" s="3505" t="s">
        <v>3757</v>
      </c>
      <c r="D78" s="3505" t="s">
        <v>3783</v>
      </c>
      <c r="E78" s="3505" t="s">
        <v>3784</v>
      </c>
      <c r="F78" s="3506">
        <v>30120</v>
      </c>
      <c r="G78" s="3505" t="s">
        <v>3778</v>
      </c>
      <c r="H78" s="3505">
        <v>2022</v>
      </c>
      <c r="I78" s="3505" t="s">
        <v>3785</v>
      </c>
      <c r="J78" s="3505" t="s">
        <v>3786</v>
      </c>
      <c r="K78" s="3506">
        <v>1080</v>
      </c>
      <c r="L78" s="3506">
        <v>35857</v>
      </c>
      <c r="M78" s="3505" t="s">
        <v>3781</v>
      </c>
    </row>
    <row r="79" spans="1:13" s="3510" customFormat="1" ht="15" customHeight="1">
      <c r="A79" s="3508">
        <v>77</v>
      </c>
      <c r="B79" s="3508" t="s">
        <v>3787</v>
      </c>
      <c r="C79" s="3508" t="s">
        <v>3767</v>
      </c>
      <c r="D79" s="3508" t="s">
        <v>3768</v>
      </c>
      <c r="E79" s="3508" t="s">
        <v>3580</v>
      </c>
      <c r="F79" s="3509">
        <v>175969</v>
      </c>
      <c r="G79" s="3508" t="s">
        <v>3587</v>
      </c>
      <c r="H79" s="3508">
        <v>2022</v>
      </c>
      <c r="I79" s="3508" t="s">
        <v>3788</v>
      </c>
      <c r="J79" s="3508" t="s">
        <v>3789</v>
      </c>
      <c r="K79" s="3509">
        <v>3000</v>
      </c>
      <c r="L79" s="3509">
        <v>34097</v>
      </c>
      <c r="M79" s="3508" t="s">
        <v>3771</v>
      </c>
    </row>
    <row r="80" spans="1:13" s="3507" customFormat="1" ht="15" hidden="1" customHeight="1">
      <c r="A80" s="3505">
        <v>78</v>
      </c>
      <c r="B80" s="3505" t="s">
        <v>3790</v>
      </c>
      <c r="C80" s="3505" t="s">
        <v>3757</v>
      </c>
      <c r="D80" s="3505" t="s">
        <v>3791</v>
      </c>
      <c r="E80" s="3505" t="s">
        <v>3715</v>
      </c>
      <c r="F80" s="3506">
        <v>13139</v>
      </c>
      <c r="G80" s="3505" t="s">
        <v>3778</v>
      </c>
      <c r="H80" s="3505">
        <v>2022</v>
      </c>
      <c r="I80" s="3505" t="s">
        <v>3792</v>
      </c>
      <c r="J80" s="3505" t="s">
        <v>3793</v>
      </c>
      <c r="K80" s="3506">
        <v>580</v>
      </c>
      <c r="L80" s="3506">
        <v>44143</v>
      </c>
      <c r="M80" s="3505" t="s">
        <v>3781</v>
      </c>
    </row>
    <row r="81" spans="1:13" s="3507" customFormat="1" ht="15" hidden="1" customHeight="1">
      <c r="A81" s="3505">
        <v>79</v>
      </c>
      <c r="B81" s="3505" t="s">
        <v>3794</v>
      </c>
      <c r="C81" s="3505" t="s">
        <v>3757</v>
      </c>
      <c r="D81" s="3505" t="s">
        <v>3758</v>
      </c>
      <c r="E81" s="3505" t="s">
        <v>3638</v>
      </c>
      <c r="F81" s="3506">
        <v>14585</v>
      </c>
      <c r="G81" s="3505" t="s">
        <v>3633</v>
      </c>
      <c r="H81" s="3505">
        <v>2022</v>
      </c>
      <c r="I81" s="3505" t="s">
        <v>3795</v>
      </c>
      <c r="J81" s="3505" t="s">
        <v>3796</v>
      </c>
      <c r="K81" s="3506">
        <v>294</v>
      </c>
      <c r="L81" s="3506">
        <v>20158</v>
      </c>
      <c r="M81" s="3505" t="s">
        <v>3636</v>
      </c>
    </row>
    <row r="82" spans="1:13" s="3507" customFormat="1" ht="15" customHeight="1">
      <c r="A82" s="3505">
        <v>80</v>
      </c>
      <c r="B82" s="3505" t="s">
        <v>3797</v>
      </c>
      <c r="C82" s="3505" t="s">
        <v>3757</v>
      </c>
      <c r="D82" s="3505" t="s">
        <v>3798</v>
      </c>
      <c r="E82" s="3505" t="s">
        <v>3784</v>
      </c>
      <c r="F82" s="3506">
        <v>12092</v>
      </c>
      <c r="G82" s="3505" t="s">
        <v>3633</v>
      </c>
      <c r="H82" s="3505">
        <v>2022</v>
      </c>
      <c r="I82" s="3505" t="s">
        <v>3799</v>
      </c>
      <c r="J82" s="3505" t="s">
        <v>3800</v>
      </c>
      <c r="K82" s="3506">
        <v>500</v>
      </c>
      <c r="L82" s="3506">
        <v>41350</v>
      </c>
      <c r="M82" s="3505" t="s">
        <v>3781</v>
      </c>
    </row>
    <row r="83" spans="1:13" s="3507" customFormat="1" ht="15" hidden="1" customHeight="1">
      <c r="A83" s="3505">
        <v>81</v>
      </c>
      <c r="B83" s="3505" t="s">
        <v>3801</v>
      </c>
      <c r="C83" s="3505" t="s">
        <v>3757</v>
      </c>
      <c r="D83" s="3505" t="s">
        <v>3773</v>
      </c>
      <c r="E83" s="3505" t="s">
        <v>3638</v>
      </c>
      <c r="F83" s="3506">
        <v>118997</v>
      </c>
      <c r="G83" s="3505" t="s">
        <v>3633</v>
      </c>
      <c r="H83" s="3505">
        <v>2022</v>
      </c>
      <c r="I83" s="3505" t="s">
        <v>3802</v>
      </c>
      <c r="J83" s="3505" t="s">
        <v>3803</v>
      </c>
      <c r="K83" s="3506">
        <v>1250</v>
      </c>
      <c r="L83" s="3506">
        <v>10500</v>
      </c>
      <c r="M83" s="3505" t="s">
        <v>3781</v>
      </c>
    </row>
    <row r="84" spans="1:13" s="3510" customFormat="1" ht="15" customHeight="1">
      <c r="A84" s="3508">
        <v>82</v>
      </c>
      <c r="B84" s="3508" t="s">
        <v>3804</v>
      </c>
      <c r="C84" s="3508" t="s">
        <v>3767</v>
      </c>
      <c r="D84" s="3508" t="s">
        <v>3768</v>
      </c>
      <c r="E84" s="3508" t="s">
        <v>21</v>
      </c>
      <c r="F84" s="3509">
        <v>40824</v>
      </c>
      <c r="G84" s="3508" t="s">
        <v>3614</v>
      </c>
      <c r="H84" s="3508">
        <v>2022</v>
      </c>
      <c r="I84" s="3508" t="s">
        <v>3805</v>
      </c>
      <c r="J84" s="3508" t="s">
        <v>3806</v>
      </c>
      <c r="K84" s="3509">
        <v>1342</v>
      </c>
      <c r="L84" s="3509">
        <v>70831</v>
      </c>
      <c r="M84" s="3508" t="s">
        <v>3771</v>
      </c>
    </row>
    <row r="85" spans="1:13" s="3507" customFormat="1" ht="15" hidden="1" customHeight="1">
      <c r="A85" s="3505">
        <v>83</v>
      </c>
      <c r="B85" s="3505" t="s">
        <v>3807</v>
      </c>
      <c r="C85" s="3505" t="s">
        <v>3757</v>
      </c>
      <c r="D85" s="3505" t="s">
        <v>3758</v>
      </c>
      <c r="E85" s="3505" t="s">
        <v>3638</v>
      </c>
      <c r="F85" s="3506">
        <v>11235</v>
      </c>
      <c r="G85" s="3505" t="s">
        <v>3633</v>
      </c>
      <c r="H85" s="3505">
        <v>2022</v>
      </c>
      <c r="I85" s="3505" t="s">
        <v>3808</v>
      </c>
      <c r="J85" s="3505" t="s">
        <v>3809</v>
      </c>
      <c r="K85" s="3506">
        <v>427</v>
      </c>
      <c r="L85" s="3506">
        <v>38000</v>
      </c>
      <c r="M85" s="3505" t="s">
        <v>3636</v>
      </c>
    </row>
    <row r="86" spans="1:13" s="3507" customFormat="1" ht="15" hidden="1" customHeight="1">
      <c r="A86" s="3505">
        <v>84</v>
      </c>
      <c r="B86" s="3505" t="s">
        <v>3810</v>
      </c>
      <c r="C86" s="3505" t="s">
        <v>3757</v>
      </c>
      <c r="D86" s="3505" t="s">
        <v>3777</v>
      </c>
      <c r="E86" s="3505" t="s">
        <v>3632</v>
      </c>
      <c r="F86" s="3506">
        <v>12500</v>
      </c>
      <c r="G86" s="3505" t="s">
        <v>3633</v>
      </c>
      <c r="H86" s="3505">
        <v>2022</v>
      </c>
      <c r="I86" s="3505" t="s">
        <v>3657</v>
      </c>
      <c r="J86" s="3505" t="s">
        <v>3811</v>
      </c>
      <c r="K86" s="3506">
        <v>550</v>
      </c>
      <c r="L86" s="3506">
        <v>44000</v>
      </c>
      <c r="M86" s="3505" t="s">
        <v>3636</v>
      </c>
    </row>
    <row r="87" spans="1:13" s="3507" customFormat="1" ht="15" customHeight="1">
      <c r="A87" s="3505">
        <v>85</v>
      </c>
      <c r="B87" s="3505" t="s">
        <v>3812</v>
      </c>
      <c r="C87" s="3505" t="s">
        <v>3757</v>
      </c>
      <c r="D87" s="3505" t="s">
        <v>3798</v>
      </c>
      <c r="E87" s="3505" t="s">
        <v>3660</v>
      </c>
      <c r="F87" s="3506">
        <v>6297</v>
      </c>
      <c r="G87" s="3505" t="s">
        <v>3633</v>
      </c>
      <c r="H87" s="3505">
        <v>2022</v>
      </c>
      <c r="I87" s="3505" t="s">
        <v>3654</v>
      </c>
      <c r="J87" s="3505" t="s">
        <v>3813</v>
      </c>
      <c r="K87" s="3506">
        <v>187</v>
      </c>
      <c r="L87" s="3506">
        <v>29697</v>
      </c>
      <c r="M87" s="3505" t="s">
        <v>3636</v>
      </c>
    </row>
    <row r="88" spans="1:13" s="3507" customFormat="1" ht="15" hidden="1" customHeight="1">
      <c r="A88" s="3505">
        <v>86</v>
      </c>
      <c r="B88" s="3505" t="s">
        <v>3814</v>
      </c>
      <c r="C88" s="3505" t="s">
        <v>3757</v>
      </c>
      <c r="D88" s="3505" t="s">
        <v>3777</v>
      </c>
      <c r="E88" s="3505" t="s">
        <v>3632</v>
      </c>
      <c r="F88" s="3506">
        <v>7618</v>
      </c>
      <c r="G88" s="3505" t="s">
        <v>3633</v>
      </c>
      <c r="H88" s="3505">
        <v>2022</v>
      </c>
      <c r="I88" s="3505" t="s">
        <v>3815</v>
      </c>
      <c r="J88" s="3505" t="s">
        <v>3816</v>
      </c>
      <c r="K88" s="3506">
        <v>433</v>
      </c>
      <c r="L88" s="3506">
        <v>56867</v>
      </c>
      <c r="M88" s="3505" t="s">
        <v>3636</v>
      </c>
    </row>
    <row r="89" spans="1:13" s="3514" customFormat="1" ht="15" customHeight="1">
      <c r="A89" s="3512">
        <v>87</v>
      </c>
      <c r="B89" s="3512" t="s">
        <v>3817</v>
      </c>
      <c r="C89" s="3512" t="s">
        <v>3767</v>
      </c>
      <c r="D89" s="3512" t="s">
        <v>3768</v>
      </c>
      <c r="E89" s="3512" t="s">
        <v>21</v>
      </c>
      <c r="F89" s="3513">
        <v>58239</v>
      </c>
      <c r="G89" s="3512" t="s">
        <v>3818</v>
      </c>
      <c r="H89" s="3512">
        <v>2022</v>
      </c>
      <c r="I89" s="3512" t="s">
        <v>3819</v>
      </c>
      <c r="J89" s="3512" t="s">
        <v>3820</v>
      </c>
      <c r="K89" s="3513">
        <v>2037</v>
      </c>
      <c r="L89" s="3513">
        <v>34977</v>
      </c>
      <c r="M89" s="3512" t="s">
        <v>3524</v>
      </c>
    </row>
    <row r="90" spans="1:13" s="3507" customFormat="1" ht="15" customHeight="1">
      <c r="A90" s="3505">
        <v>88</v>
      </c>
      <c r="B90" s="3505" t="s">
        <v>3821</v>
      </c>
      <c r="C90" s="3505" t="s">
        <v>3757</v>
      </c>
      <c r="D90" s="3505" t="s">
        <v>3798</v>
      </c>
      <c r="E90" s="3505" t="s">
        <v>3784</v>
      </c>
      <c r="F90" s="3506">
        <v>30530</v>
      </c>
      <c r="G90" s="3505" t="s">
        <v>3699</v>
      </c>
      <c r="H90" s="3505">
        <v>2022</v>
      </c>
      <c r="I90" s="3505" t="s">
        <v>3822</v>
      </c>
      <c r="J90" s="3505" t="s">
        <v>3823</v>
      </c>
      <c r="K90" s="3506">
        <v>849</v>
      </c>
      <c r="L90" s="3506">
        <v>27809</v>
      </c>
      <c r="M90" s="3505" t="s">
        <v>3636</v>
      </c>
    </row>
    <row r="91" spans="1:13" s="3507" customFormat="1" ht="15" hidden="1" customHeight="1">
      <c r="A91" s="3505">
        <v>89</v>
      </c>
      <c r="B91" s="3505" t="s">
        <v>3824</v>
      </c>
      <c r="C91" s="3505" t="s">
        <v>3757</v>
      </c>
      <c r="D91" s="3505" t="s">
        <v>3777</v>
      </c>
      <c r="E91" s="3505" t="s">
        <v>3632</v>
      </c>
      <c r="F91" s="3506">
        <v>6461</v>
      </c>
      <c r="G91" s="3505" t="s">
        <v>3699</v>
      </c>
      <c r="H91" s="3505">
        <v>2022</v>
      </c>
      <c r="I91" s="3505" t="s">
        <v>3825</v>
      </c>
      <c r="J91" s="3505" t="s">
        <v>3826</v>
      </c>
      <c r="K91" s="3506">
        <v>321</v>
      </c>
      <c r="L91" s="3506">
        <v>49683</v>
      </c>
      <c r="M91" s="3505" t="s">
        <v>3636</v>
      </c>
    </row>
    <row r="92" spans="1:13" s="3507" customFormat="1" ht="15" hidden="1" customHeight="1">
      <c r="A92" s="3505">
        <v>90</v>
      </c>
      <c r="B92" s="3505" t="s">
        <v>3827</v>
      </c>
      <c r="C92" s="3505" t="s">
        <v>3757</v>
      </c>
      <c r="D92" s="3505" t="s">
        <v>3777</v>
      </c>
      <c r="E92" s="3505" t="s">
        <v>3632</v>
      </c>
      <c r="F92" s="3506">
        <v>5000</v>
      </c>
      <c r="G92" s="3505" t="s">
        <v>3699</v>
      </c>
      <c r="H92" s="3505">
        <v>2022</v>
      </c>
      <c r="I92" s="3505" t="s">
        <v>3828</v>
      </c>
      <c r="J92" s="3505" t="s">
        <v>3829</v>
      </c>
      <c r="K92" s="3506">
        <v>425</v>
      </c>
      <c r="L92" s="3506">
        <v>85000</v>
      </c>
      <c r="M92" s="3505" t="s">
        <v>3636</v>
      </c>
    </row>
    <row r="93" spans="1:13" s="3507" customFormat="1" ht="15" hidden="1" customHeight="1">
      <c r="A93" s="3505">
        <v>91</v>
      </c>
      <c r="B93" s="3505" t="s">
        <v>3830</v>
      </c>
      <c r="C93" s="3505" t="s">
        <v>3757</v>
      </c>
      <c r="D93" s="3505" t="s">
        <v>3831</v>
      </c>
      <c r="E93" s="3505" t="s">
        <v>3784</v>
      </c>
      <c r="F93" s="3506">
        <v>43460</v>
      </c>
      <c r="G93" s="3505" t="s">
        <v>3699</v>
      </c>
      <c r="H93" s="3505">
        <v>2022</v>
      </c>
      <c r="I93" s="3505" t="s">
        <v>3832</v>
      </c>
      <c r="J93" s="3505" t="s">
        <v>3833</v>
      </c>
      <c r="K93" s="3506">
        <v>550</v>
      </c>
      <c r="L93" s="3506">
        <v>12655</v>
      </c>
      <c r="M93" s="3505" t="s">
        <v>3781</v>
      </c>
    </row>
    <row r="94" spans="1:13" s="3507" customFormat="1" ht="15" hidden="1" customHeight="1">
      <c r="A94" s="3505">
        <v>92</v>
      </c>
      <c r="B94" s="3505" t="s">
        <v>3834</v>
      </c>
      <c r="C94" s="3505" t="s">
        <v>3757</v>
      </c>
      <c r="D94" s="3505" t="s">
        <v>3758</v>
      </c>
      <c r="E94" s="3505" t="s">
        <v>3638</v>
      </c>
      <c r="F94" s="3506">
        <v>26584</v>
      </c>
      <c r="G94" s="3505" t="s">
        <v>3699</v>
      </c>
      <c r="H94" s="3505">
        <v>2022</v>
      </c>
      <c r="I94" s="3505" t="s">
        <v>3835</v>
      </c>
      <c r="J94" s="3505" t="s">
        <v>3836</v>
      </c>
      <c r="K94" s="3506">
        <v>906</v>
      </c>
      <c r="L94" s="3506">
        <v>34081</v>
      </c>
      <c r="M94" s="3505" t="s">
        <v>3636</v>
      </c>
    </row>
    <row r="95" spans="1:13" s="3507" customFormat="1" ht="15" hidden="1" customHeight="1">
      <c r="A95" s="3505">
        <v>93</v>
      </c>
      <c r="B95" s="3505" t="s">
        <v>3837</v>
      </c>
      <c r="C95" s="3505" t="s">
        <v>3757</v>
      </c>
      <c r="D95" s="3505" t="s">
        <v>3763</v>
      </c>
      <c r="E95" s="3505" t="s">
        <v>3632</v>
      </c>
      <c r="F95" s="3506">
        <v>53000</v>
      </c>
      <c r="G95" s="3505" t="s">
        <v>3699</v>
      </c>
      <c r="H95" s="3505">
        <v>2022</v>
      </c>
      <c r="I95" s="3505" t="s">
        <v>3832</v>
      </c>
      <c r="J95" s="3505" t="s">
        <v>3838</v>
      </c>
      <c r="K95" s="3506">
        <v>2650</v>
      </c>
      <c r="L95" s="3506">
        <v>50000</v>
      </c>
      <c r="M95" s="3505" t="s">
        <v>3636</v>
      </c>
    </row>
    <row r="96" spans="1:13" s="3507" customFormat="1" ht="15" hidden="1" customHeight="1">
      <c r="A96" s="3505">
        <v>94</v>
      </c>
      <c r="B96" s="3505" t="s">
        <v>3839</v>
      </c>
      <c r="C96" s="3505" t="s">
        <v>3757</v>
      </c>
      <c r="D96" s="3505" t="s">
        <v>3773</v>
      </c>
      <c r="E96" s="3505" t="s">
        <v>3715</v>
      </c>
      <c r="F96" s="3506">
        <v>31100</v>
      </c>
      <c r="G96" s="3505" t="s">
        <v>3699</v>
      </c>
      <c r="H96" s="3505">
        <v>2022</v>
      </c>
      <c r="I96" s="3505" t="s">
        <v>3840</v>
      </c>
      <c r="J96" s="3505" t="s">
        <v>3841</v>
      </c>
      <c r="K96" s="3506">
        <v>373</v>
      </c>
      <c r="L96" s="3506">
        <v>12000</v>
      </c>
      <c r="M96" s="3505" t="s">
        <v>3636</v>
      </c>
    </row>
    <row r="97" spans="1:13" s="3507" customFormat="1" ht="15" hidden="1" customHeight="1">
      <c r="A97" s="3505">
        <v>95</v>
      </c>
      <c r="B97" s="3505" t="s">
        <v>3842</v>
      </c>
      <c r="C97" s="3505" t="s">
        <v>3757</v>
      </c>
      <c r="D97" s="3505" t="s">
        <v>3773</v>
      </c>
      <c r="E97" s="3505" t="s">
        <v>3632</v>
      </c>
      <c r="F97" s="3506">
        <v>6747</v>
      </c>
      <c r="G97" s="3505" t="s">
        <v>3699</v>
      </c>
      <c r="H97" s="3505">
        <v>2022</v>
      </c>
      <c r="I97" s="3505" t="s">
        <v>3843</v>
      </c>
      <c r="J97" s="3505" t="s">
        <v>3844</v>
      </c>
      <c r="K97" s="3506">
        <v>324</v>
      </c>
      <c r="L97" s="3506">
        <v>48036</v>
      </c>
      <c r="M97" s="3505" t="s">
        <v>3636</v>
      </c>
    </row>
    <row r="98" spans="1:13" s="3507" customFormat="1" ht="15" customHeight="1">
      <c r="A98" s="3505">
        <v>96</v>
      </c>
      <c r="B98" s="3505" t="s">
        <v>3845</v>
      </c>
      <c r="C98" s="3505" t="s">
        <v>3757</v>
      </c>
      <c r="D98" s="3505" t="s">
        <v>3798</v>
      </c>
      <c r="E98" s="3505" t="s">
        <v>3638</v>
      </c>
      <c r="F98" s="3506">
        <v>25503</v>
      </c>
      <c r="G98" s="3505" t="s">
        <v>3699</v>
      </c>
      <c r="H98" s="3505">
        <v>2022</v>
      </c>
      <c r="I98" s="3505" t="s">
        <v>3846</v>
      </c>
      <c r="J98" s="3505" t="s">
        <v>3847</v>
      </c>
      <c r="K98" s="3506">
        <v>592</v>
      </c>
      <c r="L98" s="3506">
        <v>23204</v>
      </c>
      <c r="M98" s="3505" t="s">
        <v>3636</v>
      </c>
    </row>
    <row r="99" spans="1:13" s="3507" customFormat="1" ht="15" hidden="1" customHeight="1">
      <c r="A99" s="3505">
        <v>97</v>
      </c>
      <c r="B99" s="3505" t="s">
        <v>3848</v>
      </c>
      <c r="C99" s="3505" t="s">
        <v>3757</v>
      </c>
      <c r="D99" s="3505" t="s">
        <v>3777</v>
      </c>
      <c r="E99" s="3505" t="s">
        <v>3632</v>
      </c>
      <c r="F99" s="3506">
        <v>34999</v>
      </c>
      <c r="G99" s="3505" t="s">
        <v>3699</v>
      </c>
      <c r="H99" s="3505">
        <v>2022</v>
      </c>
      <c r="I99" s="3505" t="s">
        <v>3654</v>
      </c>
      <c r="J99" s="3505" t="s">
        <v>3849</v>
      </c>
      <c r="K99" s="3506">
        <v>1500</v>
      </c>
      <c r="L99" s="3506">
        <v>42858</v>
      </c>
      <c r="M99" s="3505" t="s">
        <v>3636</v>
      </c>
    </row>
    <row r="100" spans="1:13" s="3507" customFormat="1" ht="15" hidden="1" customHeight="1">
      <c r="A100" s="3505">
        <v>98</v>
      </c>
      <c r="B100" s="3505" t="s">
        <v>3850</v>
      </c>
      <c r="C100" s="3505" t="s">
        <v>3757</v>
      </c>
      <c r="D100" s="3505" t="s">
        <v>3777</v>
      </c>
      <c r="E100" s="3505" t="s">
        <v>3632</v>
      </c>
      <c r="F100" s="3506">
        <v>184914</v>
      </c>
      <c r="G100" s="3505" t="s">
        <v>3699</v>
      </c>
      <c r="H100" s="3505">
        <v>2022</v>
      </c>
      <c r="I100" s="3505" t="s">
        <v>3851</v>
      </c>
      <c r="J100" s="3505" t="s">
        <v>3852</v>
      </c>
      <c r="K100" s="3506">
        <v>6404</v>
      </c>
      <c r="L100" s="3506">
        <v>34611</v>
      </c>
      <c r="M100" s="3505" t="s">
        <v>3781</v>
      </c>
    </row>
    <row r="101" spans="1:13" s="3507" customFormat="1" ht="15" hidden="1" customHeight="1">
      <c r="A101" s="3505">
        <v>99</v>
      </c>
      <c r="B101" s="3505" t="s">
        <v>3853</v>
      </c>
      <c r="C101" s="3505" t="s">
        <v>3757</v>
      </c>
      <c r="D101" s="3505" t="s">
        <v>3831</v>
      </c>
      <c r="E101" s="3505" t="s">
        <v>3660</v>
      </c>
      <c r="F101" s="3506">
        <v>3300</v>
      </c>
      <c r="G101" s="3505" t="s">
        <v>3699</v>
      </c>
      <c r="H101" s="3505">
        <v>2022</v>
      </c>
      <c r="I101" s="3505" t="s">
        <v>3854</v>
      </c>
      <c r="J101" s="3505" t="s">
        <v>3689</v>
      </c>
      <c r="K101" s="3506">
        <v>149</v>
      </c>
      <c r="L101" s="3506">
        <v>45000</v>
      </c>
      <c r="M101" s="3505" t="s">
        <v>3636</v>
      </c>
    </row>
    <row r="102" spans="1:13" s="3507" customFormat="1" ht="15" hidden="1" customHeight="1">
      <c r="A102" s="3505">
        <v>100</v>
      </c>
      <c r="B102" s="3505" t="s">
        <v>3855</v>
      </c>
      <c r="C102" s="3505" t="s">
        <v>3757</v>
      </c>
      <c r="D102" s="3505" t="s">
        <v>3791</v>
      </c>
      <c r="E102" s="3505" t="s">
        <v>3632</v>
      </c>
      <c r="F102" s="3506">
        <v>6200</v>
      </c>
      <c r="G102" s="3505" t="s">
        <v>3699</v>
      </c>
      <c r="H102" s="3505">
        <v>2022</v>
      </c>
      <c r="I102" s="3505" t="s">
        <v>3856</v>
      </c>
      <c r="J102" s="3505" t="s">
        <v>3857</v>
      </c>
      <c r="K102" s="3506">
        <v>242</v>
      </c>
      <c r="L102" s="3506">
        <v>39000</v>
      </c>
      <c r="M102" s="3505" t="s">
        <v>3636</v>
      </c>
    </row>
    <row r="103" spans="1:13" s="3507" customFormat="1" ht="15" hidden="1" customHeight="1">
      <c r="A103" s="3505">
        <v>101</v>
      </c>
      <c r="B103" s="3505" t="s">
        <v>3858</v>
      </c>
      <c r="C103" s="3505" t="s">
        <v>3757</v>
      </c>
      <c r="D103" s="3505" t="s">
        <v>3777</v>
      </c>
      <c r="E103" s="3505" t="s">
        <v>3660</v>
      </c>
      <c r="F103" s="3506">
        <v>17000</v>
      </c>
      <c r="G103" s="3505" t="s">
        <v>3699</v>
      </c>
      <c r="H103" s="3505">
        <v>2022</v>
      </c>
      <c r="I103" s="3505" t="s">
        <v>3859</v>
      </c>
      <c r="J103" s="3505" t="s">
        <v>3860</v>
      </c>
      <c r="K103" s="3506">
        <v>230</v>
      </c>
      <c r="L103" s="3506">
        <v>13529</v>
      </c>
      <c r="M103" s="3505" t="s">
        <v>3781</v>
      </c>
    </row>
    <row r="104" spans="1:13" s="3507" customFormat="1" ht="15" hidden="1" customHeight="1">
      <c r="A104" s="3505">
        <v>102</v>
      </c>
      <c r="B104" s="3505" t="s">
        <v>3861</v>
      </c>
      <c r="C104" s="3505" t="s">
        <v>3862</v>
      </c>
      <c r="D104" s="3505" t="s">
        <v>3863</v>
      </c>
      <c r="E104" s="3505" t="s">
        <v>3632</v>
      </c>
      <c r="F104" s="3506">
        <v>2101</v>
      </c>
      <c r="G104" s="3505" t="s">
        <v>3759</v>
      </c>
      <c r="H104" s="3505">
        <v>2022</v>
      </c>
      <c r="I104" s="3505" t="s">
        <v>3864</v>
      </c>
      <c r="J104" s="3505" t="s">
        <v>3865</v>
      </c>
      <c r="K104" s="3506">
        <v>285</v>
      </c>
      <c r="L104" s="3506">
        <v>135600</v>
      </c>
      <c r="M104" s="3505" t="s">
        <v>3781</v>
      </c>
    </row>
    <row r="105" spans="1:13" s="3507" customFormat="1" ht="15" hidden="1" customHeight="1">
      <c r="A105" s="3505">
        <v>103</v>
      </c>
      <c r="B105" s="3505" t="s">
        <v>3866</v>
      </c>
      <c r="C105" s="3505" t="s">
        <v>3862</v>
      </c>
      <c r="D105" s="3505" t="s">
        <v>3867</v>
      </c>
      <c r="E105" s="3505" t="s">
        <v>3632</v>
      </c>
      <c r="F105" s="3506">
        <v>23322</v>
      </c>
      <c r="G105" s="3505" t="s">
        <v>3759</v>
      </c>
      <c r="H105" s="3505">
        <v>2022</v>
      </c>
      <c r="I105" s="3505" t="s">
        <v>3868</v>
      </c>
      <c r="J105" s="3505" t="s">
        <v>3869</v>
      </c>
      <c r="K105" s="3506">
        <v>500</v>
      </c>
      <c r="L105" s="3506">
        <v>21439</v>
      </c>
      <c r="M105" s="3505" t="s">
        <v>3781</v>
      </c>
    </row>
    <row r="106" spans="1:13" s="3507" customFormat="1" ht="15" hidden="1" customHeight="1">
      <c r="A106" s="3505">
        <v>104</v>
      </c>
      <c r="B106" s="3505" t="s">
        <v>3870</v>
      </c>
      <c r="C106" s="3505" t="s">
        <v>3862</v>
      </c>
      <c r="D106" s="3505" t="s">
        <v>3871</v>
      </c>
      <c r="E106" s="3505" t="s">
        <v>3872</v>
      </c>
      <c r="F106" s="3506">
        <v>36876</v>
      </c>
      <c r="G106" s="3505" t="s">
        <v>3778</v>
      </c>
      <c r="H106" s="3505">
        <v>2022</v>
      </c>
      <c r="I106" s="3505" t="s">
        <v>3873</v>
      </c>
      <c r="J106" s="3505" t="s">
        <v>3874</v>
      </c>
      <c r="K106" s="3506">
        <v>727</v>
      </c>
      <c r="L106" s="3506">
        <v>19715</v>
      </c>
      <c r="M106" s="3505" t="s">
        <v>3875</v>
      </c>
    </row>
    <row r="107" spans="1:13" s="3507" customFormat="1" ht="15" hidden="1" customHeight="1">
      <c r="A107" s="3505">
        <v>105</v>
      </c>
      <c r="B107" s="3505" t="s">
        <v>3876</v>
      </c>
      <c r="C107" s="3505" t="s">
        <v>3862</v>
      </c>
      <c r="D107" s="3505" t="s">
        <v>3877</v>
      </c>
      <c r="E107" s="3505" t="s">
        <v>3632</v>
      </c>
      <c r="F107" s="3506">
        <v>6000</v>
      </c>
      <c r="G107" s="3505" t="s">
        <v>3778</v>
      </c>
      <c r="H107" s="3505">
        <v>2022</v>
      </c>
      <c r="I107" s="3505" t="s">
        <v>3878</v>
      </c>
      <c r="J107" s="3505" t="s">
        <v>3879</v>
      </c>
      <c r="K107" s="3506">
        <v>450</v>
      </c>
      <c r="L107" s="3506">
        <v>75000</v>
      </c>
      <c r="M107" s="3505" t="s">
        <v>3636</v>
      </c>
    </row>
    <row r="108" spans="1:13" s="3507" customFormat="1" ht="15" hidden="1" customHeight="1">
      <c r="A108" s="3505">
        <v>106</v>
      </c>
      <c r="B108" s="3505" t="s">
        <v>3880</v>
      </c>
      <c r="C108" s="3505" t="s">
        <v>3862</v>
      </c>
      <c r="D108" s="3505" t="s">
        <v>3863</v>
      </c>
      <c r="E108" s="3505" t="s">
        <v>3638</v>
      </c>
      <c r="F108" s="3506">
        <v>10288</v>
      </c>
      <c r="G108" s="3505" t="s">
        <v>3778</v>
      </c>
      <c r="H108" s="3505">
        <v>2022</v>
      </c>
      <c r="I108" s="3505" t="s">
        <v>3881</v>
      </c>
      <c r="J108" s="3505" t="s">
        <v>3882</v>
      </c>
      <c r="K108" s="3506">
        <v>420</v>
      </c>
      <c r="L108" s="3506">
        <v>40824</v>
      </c>
      <c r="M108" s="3505" t="s">
        <v>3636</v>
      </c>
    </row>
    <row r="109" spans="1:13" s="3507" customFormat="1" ht="15" hidden="1" customHeight="1">
      <c r="A109" s="3505">
        <v>107</v>
      </c>
      <c r="B109" s="3505" t="s">
        <v>3883</v>
      </c>
      <c r="C109" s="3505" t="s">
        <v>3862</v>
      </c>
      <c r="D109" s="3505" t="s">
        <v>3877</v>
      </c>
      <c r="E109" s="3505" t="s">
        <v>3638</v>
      </c>
      <c r="F109" s="3506">
        <v>42750</v>
      </c>
      <c r="G109" s="3505" t="s">
        <v>3778</v>
      </c>
      <c r="H109" s="3505">
        <v>2022</v>
      </c>
      <c r="I109" s="3505" t="s">
        <v>3884</v>
      </c>
      <c r="J109" s="3505" t="s">
        <v>3885</v>
      </c>
      <c r="K109" s="3506">
        <v>1727</v>
      </c>
      <c r="L109" s="3506">
        <v>40398</v>
      </c>
      <c r="M109" s="3505" t="s">
        <v>3781</v>
      </c>
    </row>
    <row r="110" spans="1:13" s="3507" customFormat="1" ht="15" hidden="1" customHeight="1">
      <c r="A110" s="3505">
        <v>108</v>
      </c>
      <c r="B110" s="3505" t="s">
        <v>3886</v>
      </c>
      <c r="C110" s="3505" t="s">
        <v>3862</v>
      </c>
      <c r="D110" s="3505" t="s">
        <v>3867</v>
      </c>
      <c r="E110" s="3505" t="s">
        <v>3638</v>
      </c>
      <c r="F110" s="3506">
        <v>17000</v>
      </c>
      <c r="G110" s="3505" t="s">
        <v>3633</v>
      </c>
      <c r="H110" s="3505">
        <v>2022</v>
      </c>
      <c r="I110" s="3505" t="s">
        <v>3843</v>
      </c>
      <c r="J110" s="3505" t="s">
        <v>3887</v>
      </c>
      <c r="K110" s="3506">
        <v>465</v>
      </c>
      <c r="L110" s="3506">
        <v>27353</v>
      </c>
      <c r="M110" s="3505" t="s">
        <v>3636</v>
      </c>
    </row>
    <row r="111" spans="1:13" s="3507" customFormat="1" ht="15" hidden="1" customHeight="1">
      <c r="A111" s="3505">
        <v>109</v>
      </c>
      <c r="B111" s="3505" t="s">
        <v>3888</v>
      </c>
      <c r="C111" s="3505" t="s">
        <v>3862</v>
      </c>
      <c r="D111" s="3505" t="s">
        <v>3871</v>
      </c>
      <c r="E111" s="3505" t="s">
        <v>3889</v>
      </c>
      <c r="F111" s="3506">
        <v>14988</v>
      </c>
      <c r="G111" s="3505" t="s">
        <v>3633</v>
      </c>
      <c r="H111" s="3505">
        <v>2022</v>
      </c>
      <c r="I111" s="3505" t="s">
        <v>3890</v>
      </c>
      <c r="J111" s="3505" t="s">
        <v>3891</v>
      </c>
      <c r="K111" s="3506">
        <v>180</v>
      </c>
      <c r="L111" s="3506">
        <v>12010</v>
      </c>
      <c r="M111" s="3505" t="s">
        <v>3636</v>
      </c>
    </row>
    <row r="112" spans="1:13" s="3507" customFormat="1" ht="15" hidden="1" customHeight="1">
      <c r="A112" s="3505">
        <v>110</v>
      </c>
      <c r="B112" s="3505" t="s">
        <v>3892</v>
      </c>
      <c r="C112" s="3505" t="s">
        <v>3862</v>
      </c>
      <c r="D112" s="3505" t="s">
        <v>3893</v>
      </c>
      <c r="E112" s="3505" t="s">
        <v>3632</v>
      </c>
      <c r="F112" s="3506">
        <v>40306</v>
      </c>
      <c r="G112" s="3505" t="s">
        <v>3633</v>
      </c>
      <c r="H112" s="3505">
        <v>2022</v>
      </c>
      <c r="I112" s="3505" t="s">
        <v>3894</v>
      </c>
      <c r="J112" s="3505" t="s">
        <v>3895</v>
      </c>
      <c r="K112" s="3506">
        <v>1505</v>
      </c>
      <c r="L112" s="3506" t="s">
        <v>3896</v>
      </c>
      <c r="M112" s="3505" t="s">
        <v>3636</v>
      </c>
    </row>
    <row r="113" spans="1:13" s="3507" customFormat="1" ht="15" hidden="1" customHeight="1">
      <c r="A113" s="3505">
        <v>111</v>
      </c>
      <c r="B113" s="3505" t="s">
        <v>3897</v>
      </c>
      <c r="C113" s="3505" t="s">
        <v>3862</v>
      </c>
      <c r="D113" s="3505" t="s">
        <v>3898</v>
      </c>
      <c r="E113" s="3505" t="s">
        <v>3632</v>
      </c>
      <c r="F113" s="3506">
        <v>22444</v>
      </c>
      <c r="G113" s="3505" t="s">
        <v>3633</v>
      </c>
      <c r="H113" s="3505">
        <v>2022</v>
      </c>
      <c r="I113" s="3505" t="s">
        <v>3899</v>
      </c>
      <c r="J113" s="3505" t="s">
        <v>3900</v>
      </c>
      <c r="K113" s="3506">
        <v>637</v>
      </c>
      <c r="L113" s="3506" t="s">
        <v>3896</v>
      </c>
      <c r="M113" s="3505" t="s">
        <v>3636</v>
      </c>
    </row>
    <row r="114" spans="1:13" s="3507" customFormat="1" ht="15" hidden="1" customHeight="1">
      <c r="A114" s="3505">
        <v>112</v>
      </c>
      <c r="B114" s="3505" t="s">
        <v>3901</v>
      </c>
      <c r="C114" s="3505" t="s">
        <v>3862</v>
      </c>
      <c r="D114" s="3505" t="s">
        <v>3863</v>
      </c>
      <c r="E114" s="3505" t="s">
        <v>3638</v>
      </c>
      <c r="F114" s="3506">
        <v>43861</v>
      </c>
      <c r="G114" s="3505" t="s">
        <v>3699</v>
      </c>
      <c r="H114" s="3505">
        <v>2022</v>
      </c>
      <c r="I114" s="3505" t="s">
        <v>3902</v>
      </c>
      <c r="J114" s="3505" t="s">
        <v>3903</v>
      </c>
      <c r="K114" s="3506">
        <v>1886</v>
      </c>
      <c r="L114" s="3506">
        <v>42999</v>
      </c>
      <c r="M114" s="3505" t="s">
        <v>3636</v>
      </c>
    </row>
    <row r="115" spans="1:13" s="3507" customFormat="1" ht="15" hidden="1" customHeight="1">
      <c r="A115" s="3505">
        <v>113</v>
      </c>
      <c r="B115" s="3505" t="s">
        <v>3904</v>
      </c>
      <c r="C115" s="3505" t="s">
        <v>3862</v>
      </c>
      <c r="D115" s="3505" t="s">
        <v>3893</v>
      </c>
      <c r="E115" s="3505" t="s">
        <v>3632</v>
      </c>
      <c r="F115" s="3506">
        <v>6486</v>
      </c>
      <c r="G115" s="3505" t="s">
        <v>3699</v>
      </c>
      <c r="H115" s="3505">
        <v>2022</v>
      </c>
      <c r="I115" s="3505" t="s">
        <v>3905</v>
      </c>
      <c r="J115" s="3505" t="s">
        <v>3906</v>
      </c>
      <c r="K115" s="3506">
        <v>462</v>
      </c>
      <c r="L115" s="3506">
        <v>71230</v>
      </c>
      <c r="M115" s="3505" t="s">
        <v>3636</v>
      </c>
    </row>
    <row r="116" spans="1:13" s="3507" customFormat="1" ht="15" hidden="1" customHeight="1">
      <c r="A116" s="3505">
        <v>114</v>
      </c>
      <c r="B116" s="3505" t="s">
        <v>3907</v>
      </c>
      <c r="C116" s="3505" t="s">
        <v>3862</v>
      </c>
      <c r="D116" s="3505" t="s">
        <v>3867</v>
      </c>
      <c r="E116" s="3505" t="s">
        <v>3862</v>
      </c>
      <c r="F116" s="3506">
        <v>45507</v>
      </c>
      <c r="G116" s="3505" t="s">
        <v>3699</v>
      </c>
      <c r="H116" s="3505">
        <v>2022</v>
      </c>
      <c r="I116" s="3505" t="s">
        <v>3908</v>
      </c>
      <c r="J116" s="3505" t="s">
        <v>3909</v>
      </c>
      <c r="K116" s="3506">
        <v>2600</v>
      </c>
      <c r="L116" s="3506">
        <v>57134</v>
      </c>
      <c r="M116" s="3505" t="s">
        <v>3636</v>
      </c>
    </row>
    <row r="117" spans="1:13" s="3507" customFormat="1" ht="15" hidden="1" customHeight="1">
      <c r="A117" s="3505">
        <v>115</v>
      </c>
      <c r="B117" s="3505" t="s">
        <v>3910</v>
      </c>
      <c r="C117" s="3505" t="s">
        <v>3911</v>
      </c>
      <c r="D117" s="3505" t="s">
        <v>3912</v>
      </c>
      <c r="E117" s="3505" t="s">
        <v>3913</v>
      </c>
      <c r="F117" s="3506">
        <v>23000</v>
      </c>
      <c r="G117" s="3505" t="s">
        <v>3759</v>
      </c>
      <c r="H117" s="3505">
        <v>2022</v>
      </c>
      <c r="I117" s="3505" t="s">
        <v>3914</v>
      </c>
      <c r="J117" s="3505" t="s">
        <v>3915</v>
      </c>
      <c r="K117" s="3506">
        <v>250</v>
      </c>
      <c r="L117" s="3506">
        <v>10870</v>
      </c>
      <c r="M117" s="3505" t="s">
        <v>3916</v>
      </c>
    </row>
    <row r="118" spans="1:13" s="3507" customFormat="1" ht="15" hidden="1" customHeight="1">
      <c r="A118" s="3505">
        <v>116</v>
      </c>
      <c r="B118" s="3505" t="s">
        <v>3917</v>
      </c>
      <c r="C118" s="3505" t="s">
        <v>3911</v>
      </c>
      <c r="D118" s="3505" t="s">
        <v>3912</v>
      </c>
      <c r="E118" s="3505" t="s">
        <v>3632</v>
      </c>
      <c r="F118" s="3506">
        <v>12000</v>
      </c>
      <c r="G118" s="3505" t="s">
        <v>3759</v>
      </c>
      <c r="H118" s="3505">
        <v>2022</v>
      </c>
      <c r="I118" s="3505" t="s">
        <v>3918</v>
      </c>
      <c r="J118" s="3505" t="s">
        <v>3919</v>
      </c>
      <c r="K118" s="3506">
        <v>300</v>
      </c>
      <c r="L118" s="3506">
        <v>25000</v>
      </c>
      <c r="M118" s="3505" t="s">
        <v>3781</v>
      </c>
    </row>
    <row r="119" spans="1:13" s="3507" customFormat="1" ht="15" hidden="1" customHeight="1">
      <c r="A119" s="3505">
        <v>117</v>
      </c>
      <c r="B119" s="3505" t="s">
        <v>3920</v>
      </c>
      <c r="C119" s="3505" t="s">
        <v>3911</v>
      </c>
      <c r="D119" s="3505" t="s">
        <v>3921</v>
      </c>
      <c r="E119" s="3505" t="s">
        <v>3632</v>
      </c>
      <c r="F119" s="3506">
        <v>23793</v>
      </c>
      <c r="G119" s="3505" t="s">
        <v>3778</v>
      </c>
      <c r="H119" s="3505">
        <v>2022</v>
      </c>
      <c r="I119" s="3505" t="s">
        <v>3922</v>
      </c>
      <c r="J119" s="3505" t="s">
        <v>3923</v>
      </c>
      <c r="K119" s="3506">
        <v>1146</v>
      </c>
      <c r="L119" s="3506">
        <v>48165</v>
      </c>
      <c r="M119" s="3505" t="s">
        <v>3636</v>
      </c>
    </row>
    <row r="120" spans="1:13" s="3507" customFormat="1" ht="15" hidden="1" customHeight="1">
      <c r="A120" s="3505">
        <v>118</v>
      </c>
      <c r="B120" s="3505" t="s">
        <v>3924</v>
      </c>
      <c r="C120" s="3505" t="s">
        <v>3911</v>
      </c>
      <c r="D120" s="3505" t="s">
        <v>3925</v>
      </c>
      <c r="E120" s="3505" t="s">
        <v>3632</v>
      </c>
      <c r="F120" s="3506">
        <v>68966</v>
      </c>
      <c r="G120" s="3505" t="s">
        <v>3778</v>
      </c>
      <c r="H120" s="3505">
        <v>2022</v>
      </c>
      <c r="I120" s="3505" t="s">
        <v>3926</v>
      </c>
      <c r="J120" s="3505" t="s">
        <v>3927</v>
      </c>
      <c r="K120" s="3506">
        <v>3491</v>
      </c>
      <c r="L120" s="3506">
        <v>50619</v>
      </c>
      <c r="M120" s="3505" t="s">
        <v>3636</v>
      </c>
    </row>
    <row r="121" spans="1:13" s="3507" customFormat="1" ht="15" hidden="1" customHeight="1">
      <c r="A121" s="3505">
        <v>119</v>
      </c>
      <c r="B121" s="3505" t="s">
        <v>3928</v>
      </c>
      <c r="C121" s="3505" t="s">
        <v>3911</v>
      </c>
      <c r="D121" s="3505" t="s">
        <v>3912</v>
      </c>
      <c r="E121" s="3505" t="s">
        <v>3660</v>
      </c>
      <c r="F121" s="3506">
        <v>33530</v>
      </c>
      <c r="G121" s="3505" t="s">
        <v>3778</v>
      </c>
      <c r="H121" s="3505">
        <v>2022</v>
      </c>
      <c r="I121" s="3505" t="s">
        <v>3929</v>
      </c>
      <c r="J121" s="3505" t="s">
        <v>3930</v>
      </c>
      <c r="K121" s="3506">
        <v>714</v>
      </c>
      <c r="L121" s="3506">
        <v>21300</v>
      </c>
      <c r="M121" s="3505" t="s">
        <v>3636</v>
      </c>
    </row>
    <row r="122" spans="1:13" s="3507" customFormat="1" ht="15" hidden="1" customHeight="1">
      <c r="A122" s="3505">
        <v>120</v>
      </c>
      <c r="B122" s="3505" t="s">
        <v>3931</v>
      </c>
      <c r="C122" s="3505" t="s">
        <v>3911</v>
      </c>
      <c r="D122" s="3505" t="s">
        <v>3912</v>
      </c>
      <c r="E122" s="3505" t="s">
        <v>3872</v>
      </c>
      <c r="F122" s="3506">
        <v>799700</v>
      </c>
      <c r="G122" s="3505" t="s">
        <v>3778</v>
      </c>
      <c r="H122" s="3505">
        <v>2022</v>
      </c>
      <c r="I122" s="3505" t="s">
        <v>3932</v>
      </c>
      <c r="J122" s="3505" t="s">
        <v>3933</v>
      </c>
      <c r="K122" s="3506">
        <v>4617</v>
      </c>
      <c r="L122" s="3506">
        <v>10832</v>
      </c>
      <c r="M122" s="3505" t="s">
        <v>3781</v>
      </c>
    </row>
    <row r="123" spans="1:13" s="3507" customFormat="1" ht="15" hidden="1" customHeight="1">
      <c r="A123" s="3505">
        <v>121</v>
      </c>
      <c r="B123" s="3505" t="s">
        <v>3934</v>
      </c>
      <c r="C123" s="3505" t="s">
        <v>3911</v>
      </c>
      <c r="D123" s="3505" t="s">
        <v>3925</v>
      </c>
      <c r="E123" s="3505" t="s">
        <v>3638</v>
      </c>
      <c r="F123" s="3506">
        <v>30886</v>
      </c>
      <c r="G123" s="3505" t="s">
        <v>3778</v>
      </c>
      <c r="H123" s="3505">
        <v>2022</v>
      </c>
      <c r="I123" s="3505" t="s">
        <v>3935</v>
      </c>
      <c r="J123" s="3505" t="s">
        <v>3936</v>
      </c>
      <c r="K123" s="3506">
        <v>530</v>
      </c>
      <c r="L123" s="3506">
        <v>17160</v>
      </c>
      <c r="M123" s="3505" t="s">
        <v>3781</v>
      </c>
    </row>
    <row r="124" spans="1:13" s="3507" customFormat="1" ht="15" hidden="1" customHeight="1">
      <c r="A124" s="3505">
        <v>122</v>
      </c>
      <c r="B124" s="3505" t="s">
        <v>3937</v>
      </c>
      <c r="C124" s="3505" t="s">
        <v>3911</v>
      </c>
      <c r="D124" s="3505" t="s">
        <v>3925</v>
      </c>
      <c r="E124" s="3505" t="s">
        <v>3632</v>
      </c>
      <c r="F124" s="3506">
        <v>19585</v>
      </c>
      <c r="G124" s="3505" t="s">
        <v>3633</v>
      </c>
      <c r="H124" s="3505">
        <v>2022</v>
      </c>
      <c r="I124" s="3505" t="s">
        <v>3938</v>
      </c>
      <c r="J124" s="3505" t="s">
        <v>3939</v>
      </c>
      <c r="K124" s="3506">
        <v>881</v>
      </c>
      <c r="L124" s="3506">
        <v>45000</v>
      </c>
      <c r="M124" s="3505" t="s">
        <v>3636</v>
      </c>
    </row>
    <row r="125" spans="1:13" s="3507" customFormat="1" ht="15" hidden="1" customHeight="1">
      <c r="A125" s="3505">
        <v>123</v>
      </c>
      <c r="B125" s="3505" t="s">
        <v>3940</v>
      </c>
      <c r="C125" s="3505" t="s">
        <v>3911</v>
      </c>
      <c r="D125" s="3505" t="s">
        <v>3941</v>
      </c>
      <c r="E125" s="3505" t="s">
        <v>3638</v>
      </c>
      <c r="F125" s="3506">
        <v>22000</v>
      </c>
      <c r="G125" s="3505" t="s">
        <v>3699</v>
      </c>
      <c r="H125" s="3505">
        <v>2022</v>
      </c>
      <c r="I125" s="3505" t="s">
        <v>3843</v>
      </c>
      <c r="J125" s="3505" t="s">
        <v>3942</v>
      </c>
      <c r="K125" s="3506">
        <v>400</v>
      </c>
      <c r="L125" s="3506">
        <v>18000</v>
      </c>
      <c r="M125" s="3505" t="s">
        <v>3678</v>
      </c>
    </row>
    <row r="126" spans="1:13" s="3507" customFormat="1" ht="15" hidden="1" customHeight="1">
      <c r="A126" s="3505">
        <v>124</v>
      </c>
      <c r="B126" s="3505" t="s">
        <v>3943</v>
      </c>
      <c r="C126" s="3505" t="s">
        <v>3911</v>
      </c>
      <c r="D126" s="3505" t="s">
        <v>3941</v>
      </c>
      <c r="E126" s="3505" t="s">
        <v>3638</v>
      </c>
      <c r="F126" s="3506">
        <v>95126</v>
      </c>
      <c r="G126" s="3505" t="s">
        <v>3699</v>
      </c>
      <c r="H126" s="3505">
        <v>2022</v>
      </c>
      <c r="I126" s="3505" t="s">
        <v>3944</v>
      </c>
      <c r="J126" s="3505" t="s">
        <v>3945</v>
      </c>
      <c r="K126" s="3506">
        <v>1428</v>
      </c>
      <c r="L126" s="3506">
        <v>15012</v>
      </c>
      <c r="M126" s="3505" t="s">
        <v>3636</v>
      </c>
    </row>
    <row r="127" spans="1:13" s="3507" customFormat="1" ht="15" hidden="1" customHeight="1">
      <c r="A127" s="3505">
        <v>125</v>
      </c>
      <c r="B127" s="3505" t="s">
        <v>3946</v>
      </c>
      <c r="C127" s="3505" t="s">
        <v>3947</v>
      </c>
      <c r="D127" s="3505" t="s">
        <v>3948</v>
      </c>
      <c r="E127" s="3505" t="s">
        <v>3632</v>
      </c>
      <c r="F127" s="3506">
        <v>52970</v>
      </c>
      <c r="G127" s="3505" t="s">
        <v>3759</v>
      </c>
      <c r="H127" s="3505">
        <v>2022</v>
      </c>
      <c r="I127" s="3505" t="s">
        <v>3949</v>
      </c>
      <c r="J127" s="3505" t="s">
        <v>3950</v>
      </c>
      <c r="K127" s="3506">
        <v>870</v>
      </c>
      <c r="L127" s="3506">
        <v>16424</v>
      </c>
      <c r="M127" s="3505" t="s">
        <v>3781</v>
      </c>
    </row>
    <row r="128" spans="1:13" s="3507" customFormat="1" ht="15" hidden="1" customHeight="1">
      <c r="A128" s="3505">
        <v>126</v>
      </c>
      <c r="B128" s="3505" t="s">
        <v>3951</v>
      </c>
      <c r="C128" s="3505" t="s">
        <v>3947</v>
      </c>
      <c r="D128" s="3505" t="s">
        <v>3952</v>
      </c>
      <c r="E128" s="3505" t="s">
        <v>3632</v>
      </c>
      <c r="F128" s="3506">
        <v>16000</v>
      </c>
      <c r="G128" s="3505" t="s">
        <v>3759</v>
      </c>
      <c r="H128" s="3505">
        <v>2022</v>
      </c>
      <c r="I128" s="3505" t="s">
        <v>3953</v>
      </c>
      <c r="J128" s="3505" t="s">
        <v>3954</v>
      </c>
      <c r="K128" s="3506">
        <v>288</v>
      </c>
      <c r="L128" s="3506">
        <v>18000</v>
      </c>
      <c r="M128" s="3505" t="s">
        <v>3636</v>
      </c>
    </row>
    <row r="129" spans="1:13" s="3507" customFormat="1" ht="15" hidden="1" customHeight="1">
      <c r="A129" s="3505">
        <v>127</v>
      </c>
      <c r="B129" s="3505" t="s">
        <v>3955</v>
      </c>
      <c r="C129" s="3505" t="s">
        <v>3947</v>
      </c>
      <c r="D129" s="3505" t="s">
        <v>3956</v>
      </c>
      <c r="E129" s="3505" t="s">
        <v>3632</v>
      </c>
      <c r="F129" s="3506">
        <v>20583</v>
      </c>
      <c r="G129" s="3505" t="s">
        <v>3759</v>
      </c>
      <c r="H129" s="3505">
        <v>2022</v>
      </c>
      <c r="I129" s="3505" t="s">
        <v>3957</v>
      </c>
      <c r="J129" s="3505" t="s">
        <v>3958</v>
      </c>
      <c r="K129" s="3506">
        <v>322</v>
      </c>
      <c r="L129" s="3506">
        <v>15644</v>
      </c>
      <c r="M129" s="3505" t="s">
        <v>3636</v>
      </c>
    </row>
    <row r="130" spans="1:13" s="3507" customFormat="1" ht="15" hidden="1" customHeight="1">
      <c r="A130" s="3505">
        <v>128</v>
      </c>
      <c r="B130" s="3505" t="s">
        <v>3959</v>
      </c>
      <c r="C130" s="3505" t="s">
        <v>3960</v>
      </c>
      <c r="D130" s="3505" t="s">
        <v>3961</v>
      </c>
      <c r="E130" s="3505" t="s">
        <v>3632</v>
      </c>
      <c r="F130" s="3506">
        <v>51892</v>
      </c>
      <c r="G130" s="3505" t="s">
        <v>3633</v>
      </c>
      <c r="H130" s="3505">
        <v>2022</v>
      </c>
      <c r="I130" s="3505" t="s">
        <v>3959</v>
      </c>
      <c r="J130" s="3505" t="s">
        <v>3962</v>
      </c>
      <c r="K130" s="3506">
        <v>488</v>
      </c>
      <c r="L130" s="3506">
        <v>9400</v>
      </c>
      <c r="M130" s="3505" t="s">
        <v>3781</v>
      </c>
    </row>
    <row r="131" spans="1:13" s="3507" customFormat="1" ht="15" hidden="1" customHeight="1">
      <c r="A131" s="3505">
        <v>129</v>
      </c>
      <c r="B131" s="3505" t="s">
        <v>3963</v>
      </c>
      <c r="C131" s="3505" t="s">
        <v>3947</v>
      </c>
      <c r="D131" s="3505" t="s">
        <v>3964</v>
      </c>
      <c r="E131" s="3505" t="s">
        <v>3660</v>
      </c>
      <c r="F131" s="3506">
        <v>6271</v>
      </c>
      <c r="G131" s="3505" t="s">
        <v>3633</v>
      </c>
      <c r="H131" s="3505">
        <v>2022</v>
      </c>
      <c r="I131" s="3505" t="s">
        <v>3965</v>
      </c>
      <c r="J131" s="3505" t="s">
        <v>3802</v>
      </c>
      <c r="K131" s="3506">
        <v>145</v>
      </c>
      <c r="L131" s="3506">
        <v>23122</v>
      </c>
      <c r="M131" s="3505" t="s">
        <v>3636</v>
      </c>
    </row>
    <row r="132" spans="1:13" s="3507" customFormat="1" ht="15" hidden="1" customHeight="1">
      <c r="A132" s="3505">
        <v>130</v>
      </c>
      <c r="B132" s="3505" t="s">
        <v>3966</v>
      </c>
      <c r="C132" s="3505" t="s">
        <v>3947</v>
      </c>
      <c r="D132" s="3505" t="s">
        <v>3956</v>
      </c>
      <c r="E132" s="3505" t="s">
        <v>3872</v>
      </c>
      <c r="F132" s="3506">
        <v>213000</v>
      </c>
      <c r="G132" s="3505" t="s">
        <v>3699</v>
      </c>
      <c r="H132" s="3505">
        <v>2022</v>
      </c>
      <c r="I132" s="3505" t="s">
        <v>3967</v>
      </c>
      <c r="J132" s="3505" t="s">
        <v>3968</v>
      </c>
      <c r="K132" s="3506">
        <v>371</v>
      </c>
      <c r="L132" s="3506">
        <v>3484</v>
      </c>
      <c r="M132" s="3505" t="s">
        <v>3781</v>
      </c>
    </row>
    <row r="133" spans="1:13" s="3507" customFormat="1" ht="15" hidden="1" customHeight="1">
      <c r="A133" s="3505">
        <v>131</v>
      </c>
      <c r="B133" s="3505" t="s">
        <v>3969</v>
      </c>
      <c r="C133" s="3505" t="s">
        <v>3960</v>
      </c>
      <c r="D133" s="3505" t="s">
        <v>3970</v>
      </c>
      <c r="E133" s="3505" t="s">
        <v>3632</v>
      </c>
      <c r="F133" s="3506">
        <v>16000</v>
      </c>
      <c r="G133" s="3505" t="s">
        <v>3633</v>
      </c>
      <c r="H133" s="3505">
        <v>2022</v>
      </c>
      <c r="I133" s="3505" t="s">
        <v>3971</v>
      </c>
      <c r="J133" s="3505" t="s">
        <v>3972</v>
      </c>
      <c r="K133" s="3506">
        <v>180</v>
      </c>
      <c r="L133" s="3506">
        <v>11250</v>
      </c>
      <c r="M133" s="3505" t="s">
        <v>3636</v>
      </c>
    </row>
    <row r="134" spans="1:13" s="3507" customFormat="1" ht="15" hidden="1" customHeight="1">
      <c r="A134" s="3505">
        <v>132</v>
      </c>
      <c r="B134" s="3505" t="s">
        <v>3973</v>
      </c>
      <c r="C134" s="3505" t="s">
        <v>3960</v>
      </c>
      <c r="D134" s="3505" t="s">
        <v>3974</v>
      </c>
      <c r="E134" s="3505" t="s">
        <v>3715</v>
      </c>
      <c r="F134" s="3506">
        <v>54435</v>
      </c>
      <c r="G134" s="3505" t="s">
        <v>3633</v>
      </c>
      <c r="H134" s="3505">
        <v>2022</v>
      </c>
      <c r="I134" s="3505" t="s">
        <v>3975</v>
      </c>
      <c r="J134" s="3505" t="s">
        <v>3976</v>
      </c>
      <c r="K134" s="3506">
        <v>403</v>
      </c>
      <c r="L134" s="3506">
        <v>7400</v>
      </c>
      <c r="M134" s="3505" t="s">
        <v>3636</v>
      </c>
    </row>
    <row r="135" spans="1:13" s="3507" customFormat="1" ht="15" hidden="1" customHeight="1">
      <c r="A135" s="3505">
        <v>133</v>
      </c>
      <c r="B135" s="3505" t="s">
        <v>3977</v>
      </c>
      <c r="C135" s="3505" t="s">
        <v>3960</v>
      </c>
      <c r="D135" s="3505" t="s">
        <v>3978</v>
      </c>
      <c r="E135" s="3505" t="s">
        <v>3715</v>
      </c>
      <c r="F135" s="3506">
        <v>11836</v>
      </c>
      <c r="G135" s="3505" t="s">
        <v>3633</v>
      </c>
      <c r="H135" s="3505">
        <v>2022</v>
      </c>
      <c r="I135" s="3505" t="s">
        <v>3979</v>
      </c>
      <c r="J135" s="3505" t="s">
        <v>3976</v>
      </c>
      <c r="K135" s="3506">
        <v>128</v>
      </c>
      <c r="L135" s="3506">
        <v>10800</v>
      </c>
      <c r="M135" s="3505" t="s">
        <v>3636</v>
      </c>
    </row>
    <row r="136" spans="1:13" s="3507" customFormat="1" ht="15" hidden="1" customHeight="1">
      <c r="A136" s="3505">
        <v>134</v>
      </c>
      <c r="B136" s="3505" t="s">
        <v>3980</v>
      </c>
      <c r="C136" s="3505" t="s">
        <v>3960</v>
      </c>
      <c r="D136" s="3505" t="s">
        <v>3974</v>
      </c>
      <c r="E136" s="3505" t="s">
        <v>3715</v>
      </c>
      <c r="F136" s="3506">
        <v>76000</v>
      </c>
      <c r="G136" s="3505" t="s">
        <v>3633</v>
      </c>
      <c r="H136" s="3505">
        <v>2022</v>
      </c>
      <c r="I136" s="3505" t="s">
        <v>3981</v>
      </c>
      <c r="J136" s="3505" t="s">
        <v>3976</v>
      </c>
      <c r="K136" s="3506">
        <v>566</v>
      </c>
      <c r="L136" s="3506">
        <v>7448</v>
      </c>
      <c r="M136" s="3505" t="s">
        <v>3636</v>
      </c>
    </row>
    <row r="137" spans="1:13" s="3507" customFormat="1" ht="15" hidden="1" customHeight="1">
      <c r="A137" s="3505">
        <v>135</v>
      </c>
      <c r="B137" s="3505" t="s">
        <v>3982</v>
      </c>
      <c r="C137" s="3505" t="s">
        <v>3960</v>
      </c>
      <c r="D137" s="3505" t="s">
        <v>3970</v>
      </c>
      <c r="E137" s="3505" t="s">
        <v>3715</v>
      </c>
      <c r="F137" s="3506">
        <v>47219</v>
      </c>
      <c r="G137" s="3505" t="s">
        <v>3633</v>
      </c>
      <c r="H137" s="3505">
        <v>2022</v>
      </c>
      <c r="I137" s="3505" t="s">
        <v>3983</v>
      </c>
      <c r="J137" s="3505" t="s">
        <v>3976</v>
      </c>
      <c r="K137" s="3506">
        <v>552</v>
      </c>
      <c r="L137" s="3506">
        <v>11700</v>
      </c>
      <c r="M137" s="3505" t="s">
        <v>3636</v>
      </c>
    </row>
    <row r="138" spans="1:13" s="3507" customFormat="1" ht="15" hidden="1" customHeight="1">
      <c r="A138" s="3505">
        <v>136</v>
      </c>
      <c r="B138" s="3505" t="s">
        <v>3984</v>
      </c>
      <c r="C138" s="3505" t="s">
        <v>3960</v>
      </c>
      <c r="D138" s="3505" t="s">
        <v>3961</v>
      </c>
      <c r="E138" s="3505" t="s">
        <v>3715</v>
      </c>
      <c r="F138" s="3506">
        <v>81000</v>
      </c>
      <c r="G138" s="3505" t="s">
        <v>3633</v>
      </c>
      <c r="H138" s="3505">
        <v>2022</v>
      </c>
      <c r="I138" s="3505" t="s">
        <v>3985</v>
      </c>
      <c r="J138" s="3505" t="s">
        <v>3976</v>
      </c>
      <c r="K138" s="3506">
        <v>810</v>
      </c>
      <c r="L138" s="3506">
        <v>10000</v>
      </c>
      <c r="M138" s="3505" t="s">
        <v>3636</v>
      </c>
    </row>
    <row r="139" spans="1:13" s="3507" customFormat="1" ht="15" hidden="1" customHeight="1">
      <c r="A139" s="3505">
        <v>137</v>
      </c>
      <c r="B139" s="3505" t="s">
        <v>3986</v>
      </c>
      <c r="C139" s="3505" t="s">
        <v>3960</v>
      </c>
      <c r="D139" s="3505" t="s">
        <v>3961</v>
      </c>
      <c r="E139" s="3505" t="s">
        <v>3715</v>
      </c>
      <c r="F139" s="3506">
        <v>6134</v>
      </c>
      <c r="G139" s="3505" t="s">
        <v>3633</v>
      </c>
      <c r="H139" s="3505">
        <v>2022</v>
      </c>
      <c r="I139" s="3505" t="s">
        <v>3987</v>
      </c>
      <c r="J139" s="3505" t="s">
        <v>3976</v>
      </c>
      <c r="K139" s="3506">
        <v>66</v>
      </c>
      <c r="L139" s="3506">
        <v>10760</v>
      </c>
      <c r="M139" s="3505" t="s">
        <v>3636</v>
      </c>
    </row>
    <row r="140" spans="1:13" s="3507" customFormat="1" ht="15" hidden="1" customHeight="1">
      <c r="A140" s="3505">
        <v>138</v>
      </c>
      <c r="B140" s="3505" t="s">
        <v>3988</v>
      </c>
      <c r="C140" s="3505" t="s">
        <v>3960</v>
      </c>
      <c r="D140" s="3505" t="s">
        <v>3961</v>
      </c>
      <c r="E140" s="3505" t="s">
        <v>3715</v>
      </c>
      <c r="F140" s="3506">
        <v>28398</v>
      </c>
      <c r="G140" s="3505" t="s">
        <v>3633</v>
      </c>
      <c r="H140" s="3505">
        <v>2022</v>
      </c>
      <c r="I140" s="3505" t="s">
        <v>3654</v>
      </c>
      <c r="J140" s="3505" t="s">
        <v>3976</v>
      </c>
      <c r="K140" s="3506">
        <v>284</v>
      </c>
      <c r="L140" s="3506">
        <v>10000</v>
      </c>
      <c r="M140" s="3505" t="s">
        <v>3636</v>
      </c>
    </row>
    <row r="141" spans="1:13" s="3507" customFormat="1" ht="15" hidden="1" customHeight="1">
      <c r="A141" s="3505">
        <v>139</v>
      </c>
      <c r="B141" s="3505" t="s">
        <v>3989</v>
      </c>
      <c r="C141" s="3505" t="s">
        <v>3960</v>
      </c>
      <c r="D141" s="3505" t="s">
        <v>3990</v>
      </c>
      <c r="E141" s="3505" t="s">
        <v>3715</v>
      </c>
      <c r="F141" s="3506">
        <v>7097</v>
      </c>
      <c r="G141" s="3505" t="s">
        <v>3633</v>
      </c>
      <c r="H141" s="3505">
        <v>2022</v>
      </c>
      <c r="I141" s="3505" t="s">
        <v>3991</v>
      </c>
      <c r="J141" s="3505" t="s">
        <v>3976</v>
      </c>
      <c r="K141" s="3506">
        <v>59</v>
      </c>
      <c r="L141" s="3506">
        <v>8280</v>
      </c>
      <c r="M141" s="3505" t="s">
        <v>3636</v>
      </c>
    </row>
    <row r="142" spans="1:13" s="3507" customFormat="1" ht="15" hidden="1" customHeight="1">
      <c r="A142" s="3505">
        <v>140</v>
      </c>
      <c r="B142" s="3505" t="s">
        <v>3992</v>
      </c>
      <c r="C142" s="3505" t="s">
        <v>3960</v>
      </c>
      <c r="D142" s="3505" t="s">
        <v>3990</v>
      </c>
      <c r="E142" s="3505" t="s">
        <v>3715</v>
      </c>
      <c r="F142" s="3506">
        <v>30000</v>
      </c>
      <c r="G142" s="3505" t="s">
        <v>3633</v>
      </c>
      <c r="H142" s="3505">
        <v>2022</v>
      </c>
      <c r="I142" s="3505" t="s">
        <v>3725</v>
      </c>
      <c r="J142" s="3505" t="s">
        <v>3976</v>
      </c>
      <c r="K142" s="3506">
        <v>238</v>
      </c>
      <c r="L142" s="3506">
        <v>7933</v>
      </c>
      <c r="M142" s="3505" t="s">
        <v>3636</v>
      </c>
    </row>
    <row r="143" spans="1:13" s="3507" customFormat="1" ht="15" hidden="1" customHeight="1">
      <c r="A143" s="3505">
        <v>141</v>
      </c>
      <c r="B143" s="3505" t="s">
        <v>3993</v>
      </c>
      <c r="C143" s="3505" t="s">
        <v>3960</v>
      </c>
      <c r="D143" s="3505" t="s">
        <v>3961</v>
      </c>
      <c r="E143" s="3505" t="s">
        <v>3715</v>
      </c>
      <c r="F143" s="3506">
        <v>85000</v>
      </c>
      <c r="G143" s="3505" t="s">
        <v>3633</v>
      </c>
      <c r="H143" s="3505">
        <v>2022</v>
      </c>
      <c r="I143" s="3505" t="s">
        <v>3994</v>
      </c>
      <c r="J143" s="3505" t="s">
        <v>3976</v>
      </c>
      <c r="K143" s="3506">
        <v>765</v>
      </c>
      <c r="L143" s="3506">
        <v>9000</v>
      </c>
      <c r="M143" s="3505" t="s">
        <v>3636</v>
      </c>
    </row>
  </sheetData>
  <autoFilter ref="A2:N143">
    <filterColumn colId="2">
      <filters>
        <filter val="北京"/>
      </filters>
    </filterColumn>
    <filterColumn colId="3">
      <filters>
        <filter val="朝阳区"/>
      </filters>
    </filterColumn>
  </autoFilter>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65" t="s">
        <v>1770</v>
      </c>
      <c r="D4" s="3766"/>
      <c r="E4" s="3767" t="s">
        <v>1771</v>
      </c>
      <c r="F4" s="3768"/>
      <c r="G4" s="3765" t="s">
        <v>1772</v>
      </c>
      <c r="H4" s="3766"/>
      <c r="I4" s="3765" t="s">
        <v>1773</v>
      </c>
      <c r="J4" s="3766"/>
      <c r="K4" s="559" t="s">
        <v>1774</v>
      </c>
      <c r="L4" s="2714"/>
      <c r="M4" s="2715"/>
      <c r="N4" s="2715"/>
      <c r="O4" s="2715"/>
      <c r="P4" s="3769" t="s">
        <v>1775</v>
      </c>
      <c r="Q4" s="3770"/>
      <c r="R4" s="3775" t="s">
        <v>1771</v>
      </c>
      <c r="S4" s="3776"/>
      <c r="T4" s="3775" t="s">
        <v>1772</v>
      </c>
      <c r="U4" s="3776"/>
      <c r="V4" s="3781" t="s">
        <v>1773</v>
      </c>
      <c r="W4" s="3781"/>
      <c r="X4" s="1355"/>
      <c r="Y4" s="3775" t="s">
        <v>1775</v>
      </c>
      <c r="Z4" s="3776"/>
      <c r="AA4" s="3762" t="s">
        <v>1771</v>
      </c>
      <c r="AB4" s="3763" t="s">
        <v>1772</v>
      </c>
      <c r="AC4" s="3762" t="s">
        <v>1773</v>
      </c>
    </row>
    <row r="5" spans="1:29" ht="15">
      <c r="A5" s="358"/>
      <c r="B5" s="359"/>
      <c r="C5" s="3784" t="s">
        <v>1673</v>
      </c>
      <c r="D5" s="3785"/>
      <c r="E5" s="3791" t="s">
        <v>1674</v>
      </c>
      <c r="F5" s="3792"/>
      <c r="G5" s="3784" t="s">
        <v>1675</v>
      </c>
      <c r="H5" s="3785"/>
      <c r="I5" s="3784" t="s">
        <v>1676</v>
      </c>
      <c r="J5" s="3785"/>
      <c r="K5" s="559"/>
      <c r="L5" s="2714"/>
      <c r="M5" s="2715"/>
      <c r="N5" s="2715"/>
      <c r="O5" s="2715"/>
      <c r="P5" s="3771"/>
      <c r="Q5" s="3772"/>
      <c r="R5" s="3777"/>
      <c r="S5" s="3778"/>
      <c r="T5" s="3777"/>
      <c r="U5" s="3778"/>
      <c r="V5" s="3781"/>
      <c r="W5" s="3781"/>
      <c r="X5" s="1355"/>
      <c r="Y5" s="3777"/>
      <c r="Z5" s="3778"/>
      <c r="AA5" s="3763"/>
      <c r="AB5" s="3763"/>
      <c r="AC5" s="3763"/>
    </row>
    <row r="6" spans="1:29" ht="15.75" thickBot="1">
      <c r="A6" s="360"/>
      <c r="B6" s="361"/>
      <c r="C6" s="3782" t="s">
        <v>1677</v>
      </c>
      <c r="D6" s="3783"/>
      <c r="E6" s="3789" t="s">
        <v>1677</v>
      </c>
      <c r="F6" s="3790"/>
      <c r="G6" s="3782" t="s">
        <v>1677</v>
      </c>
      <c r="H6" s="3783"/>
      <c r="I6" s="3782" t="s">
        <v>1677</v>
      </c>
      <c r="J6" s="3783"/>
      <c r="K6" s="559" t="s">
        <v>1678</v>
      </c>
      <c r="L6" s="2714"/>
      <c r="M6" s="2715"/>
      <c r="N6" s="2715"/>
      <c r="O6" s="2715"/>
      <c r="P6" s="3773"/>
      <c r="Q6" s="3774"/>
      <c r="R6" s="3777"/>
      <c r="S6" s="3778"/>
      <c r="T6" s="3779"/>
      <c r="U6" s="3780"/>
      <c r="V6" s="3781"/>
      <c r="W6" s="3781"/>
      <c r="X6" s="1355"/>
      <c r="Y6" s="3779"/>
      <c r="Z6" s="3780"/>
      <c r="AA6" s="3764"/>
      <c r="AB6" s="3764"/>
      <c r="AC6" s="3764"/>
    </row>
    <row r="7" spans="1:29" s="108" customFormat="1" ht="15.75" thickBot="1">
      <c r="A7" s="362" t="s">
        <v>1679</v>
      </c>
      <c r="B7" s="363"/>
      <c r="C7" s="364">
        <f>'数据-取费表'!B2</f>
        <v>44926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86" t="s">
        <v>1680</v>
      </c>
      <c r="Q7" s="3788"/>
      <c r="R7" s="701" t="s">
        <v>14</v>
      </c>
      <c r="S7" s="702">
        <f t="shared" ref="S7:S14" si="0">F7</f>
        <v>0</v>
      </c>
      <c r="T7" s="701" t="s">
        <v>14</v>
      </c>
      <c r="U7" s="702">
        <f t="shared" ref="U7:U14" si="1">H7</f>
        <v>0</v>
      </c>
      <c r="V7" s="701" t="s">
        <v>14</v>
      </c>
      <c r="W7" s="702">
        <f t="shared" ref="W7:W14" si="2">J7</f>
        <v>0</v>
      </c>
      <c r="X7" s="703"/>
      <c r="Y7" s="3786" t="s">
        <v>1680</v>
      </c>
      <c r="Z7" s="37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86" t="s">
        <v>1683</v>
      </c>
      <c r="Q8" s="3787"/>
      <c r="R8" s="701" t="s">
        <v>14</v>
      </c>
      <c r="S8" s="702">
        <f t="shared" si="0"/>
        <v>100</v>
      </c>
      <c r="T8" s="701" t="s">
        <v>14</v>
      </c>
      <c r="U8" s="702">
        <f t="shared" si="1"/>
        <v>100</v>
      </c>
      <c r="V8" s="701" t="s">
        <v>14</v>
      </c>
      <c r="W8" s="702">
        <f t="shared" si="2"/>
        <v>100</v>
      </c>
      <c r="X8" s="703"/>
      <c r="Y8" s="3786" t="s">
        <v>1683</v>
      </c>
      <c r="Z8" s="37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0"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0"/>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0"/>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0"/>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0"/>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53"/>
      <c r="Q15" s="1352"/>
      <c r="R15" s="705"/>
      <c r="S15" s="706"/>
      <c r="T15" s="705"/>
      <c r="U15" s="706"/>
      <c r="V15" s="705"/>
      <c r="W15" s="706"/>
      <c r="X15" s="1355"/>
      <c r="Y15" s="375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53"/>
      <c r="Q17" s="1352"/>
      <c r="R17" s="705"/>
      <c r="S17" s="706"/>
      <c r="T17" s="705"/>
      <c r="U17" s="706"/>
      <c r="V17" s="705"/>
      <c r="W17" s="706"/>
      <c r="X17" s="1355"/>
      <c r="Y17" s="375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53"/>
      <c r="Q19" s="1352"/>
      <c r="R19" s="705"/>
      <c r="S19" s="706"/>
      <c r="T19" s="705"/>
      <c r="U19" s="706"/>
      <c r="V19" s="705"/>
      <c r="W19" s="706"/>
      <c r="X19" s="1355"/>
      <c r="Y19" s="375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53"/>
      <c r="Q21" s="1352"/>
      <c r="R21" s="705"/>
      <c r="S21" s="706"/>
      <c r="T21" s="705"/>
      <c r="U21" s="706"/>
      <c r="V21" s="705"/>
      <c r="W21" s="706"/>
      <c r="X21" s="1355"/>
      <c r="Y21" s="37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1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7" t="s">
        <v>1696</v>
      </c>
      <c r="Q32" s="1352" t="str">
        <f t="shared" si="11"/>
        <v>车位类型</v>
      </c>
      <c r="R32" s="705" t="s">
        <v>14</v>
      </c>
      <c r="S32" s="706">
        <f t="shared" si="12"/>
        <v>100</v>
      </c>
      <c r="T32" s="705" t="s">
        <v>14</v>
      </c>
      <c r="U32" s="706">
        <f t="shared" si="13"/>
        <v>100</v>
      </c>
      <c r="V32" s="705" t="s">
        <v>14</v>
      </c>
      <c r="W32" s="706">
        <f t="shared" si="14"/>
        <v>100</v>
      </c>
      <c r="X32" s="1355"/>
      <c r="Y32" s="37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3"/>
      <c r="M37" s="2724"/>
      <c r="N37" s="2715"/>
      <c r="O37" s="2724"/>
      <c r="P37" s="3750" t="str">
        <f>A37</f>
        <v>成交单价</v>
      </c>
      <c r="Q37" s="3750"/>
      <c r="R37" s="3751">
        <f>E37</f>
        <v>0</v>
      </c>
      <c r="S37" s="3751"/>
      <c r="T37" s="3751">
        <f>G37</f>
        <v>0</v>
      </c>
      <c r="U37" s="3751"/>
      <c r="V37" s="3751">
        <f>I37</f>
        <v>0</v>
      </c>
      <c r="W37" s="375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7" t="str">
        <f>A39</f>
        <v>估价对象XX用房的比较价值（楼面单价，元/平方米）</v>
      </c>
      <c r="Q39" s="3748"/>
      <c r="R39" s="3812" t="e">
        <f>IF(F1="售价",ROUND(IF(D38="简单平均",AVERAGE(R38:W38),R38*F38+T38*H38+V38*J38),0),ROUND(IF(D38="简单平均",AVERAGE(R38:V38),R38*F38+T38*H38+V38*J38),1))</f>
        <v>#DIV/0!</v>
      </c>
      <c r="S39" s="3812"/>
      <c r="T39" s="3812"/>
      <c r="U39" s="3812"/>
      <c r="V39" s="3812"/>
      <c r="W39" s="381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65" t="s">
        <v>1770</v>
      </c>
      <c r="D4" s="3766"/>
      <c r="E4" s="3767" t="s">
        <v>1771</v>
      </c>
      <c r="F4" s="3768"/>
      <c r="G4" s="3765" t="s">
        <v>1772</v>
      </c>
      <c r="H4" s="3766"/>
      <c r="I4" s="3765" t="s">
        <v>1773</v>
      </c>
      <c r="J4" s="3766"/>
      <c r="K4" s="559" t="s">
        <v>1774</v>
      </c>
      <c r="L4" s="2714"/>
      <c r="M4" s="2715"/>
      <c r="N4" s="2715"/>
      <c r="O4" s="2715"/>
      <c r="P4" s="3769" t="s">
        <v>1775</v>
      </c>
      <c r="Q4" s="3770"/>
      <c r="R4" s="3775" t="s">
        <v>1771</v>
      </c>
      <c r="S4" s="3776"/>
      <c r="T4" s="3775" t="s">
        <v>1772</v>
      </c>
      <c r="U4" s="3776"/>
      <c r="V4" s="3781" t="s">
        <v>1773</v>
      </c>
      <c r="W4" s="3781"/>
      <c r="X4" s="1355"/>
      <c r="Y4" s="3775" t="s">
        <v>1775</v>
      </c>
      <c r="Z4" s="3776"/>
      <c r="AA4" s="3762" t="s">
        <v>1771</v>
      </c>
      <c r="AB4" s="3763" t="s">
        <v>1772</v>
      </c>
      <c r="AC4" s="3762" t="s">
        <v>1773</v>
      </c>
    </row>
    <row r="5" spans="1:29" ht="15">
      <c r="A5" s="358"/>
      <c r="B5" s="359"/>
      <c r="C5" s="3784" t="s">
        <v>1673</v>
      </c>
      <c r="D5" s="3785"/>
      <c r="E5" s="3791" t="s">
        <v>1674</v>
      </c>
      <c r="F5" s="3792"/>
      <c r="G5" s="3784" t="s">
        <v>1675</v>
      </c>
      <c r="H5" s="3785"/>
      <c r="I5" s="3784" t="s">
        <v>1676</v>
      </c>
      <c r="J5" s="3785"/>
      <c r="K5" s="559"/>
      <c r="L5" s="2714"/>
      <c r="M5" s="2715"/>
      <c r="N5" s="2715"/>
      <c r="O5" s="2715"/>
      <c r="P5" s="3771"/>
      <c r="Q5" s="3772"/>
      <c r="R5" s="3777"/>
      <c r="S5" s="3778"/>
      <c r="T5" s="3777"/>
      <c r="U5" s="3778"/>
      <c r="V5" s="3781"/>
      <c r="W5" s="3781"/>
      <c r="X5" s="1355"/>
      <c r="Y5" s="3777"/>
      <c r="Z5" s="3778"/>
      <c r="AA5" s="3763"/>
      <c r="AB5" s="3763"/>
      <c r="AC5" s="3763"/>
    </row>
    <row r="6" spans="1:29" ht="15.75" thickBot="1">
      <c r="A6" s="360"/>
      <c r="B6" s="361"/>
      <c r="C6" s="3782" t="s">
        <v>1677</v>
      </c>
      <c r="D6" s="3783"/>
      <c r="E6" s="3789" t="s">
        <v>1677</v>
      </c>
      <c r="F6" s="3790"/>
      <c r="G6" s="3782" t="s">
        <v>1677</v>
      </c>
      <c r="H6" s="3783"/>
      <c r="I6" s="3782" t="s">
        <v>1677</v>
      </c>
      <c r="J6" s="3783"/>
      <c r="K6" s="559" t="s">
        <v>1678</v>
      </c>
      <c r="L6" s="2714"/>
      <c r="M6" s="2715"/>
      <c r="N6" s="2715"/>
      <c r="O6" s="2715"/>
      <c r="P6" s="3773"/>
      <c r="Q6" s="3774"/>
      <c r="R6" s="3777"/>
      <c r="S6" s="3778"/>
      <c r="T6" s="3779"/>
      <c r="U6" s="3780"/>
      <c r="V6" s="3781"/>
      <c r="W6" s="3781"/>
      <c r="X6" s="1355"/>
      <c r="Y6" s="3779"/>
      <c r="Z6" s="3780"/>
      <c r="AA6" s="3764"/>
      <c r="AB6" s="3764"/>
      <c r="AC6" s="3764"/>
    </row>
    <row r="7" spans="1:29" s="108" customFormat="1" ht="15.75" thickBot="1">
      <c r="A7" s="362" t="s">
        <v>1679</v>
      </c>
      <c r="B7" s="363"/>
      <c r="C7" s="364">
        <f>'数据-取费表'!B2</f>
        <v>44926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86" t="s">
        <v>1680</v>
      </c>
      <c r="Q7" s="3788"/>
      <c r="R7" s="701" t="s">
        <v>14</v>
      </c>
      <c r="S7" s="702">
        <f t="shared" ref="S7:S14" si="0">F7</f>
        <v>0</v>
      </c>
      <c r="T7" s="701" t="s">
        <v>14</v>
      </c>
      <c r="U7" s="702">
        <f t="shared" ref="U7:U14" si="1">H7</f>
        <v>0</v>
      </c>
      <c r="V7" s="701" t="s">
        <v>14</v>
      </c>
      <c r="W7" s="702">
        <f t="shared" ref="W7:W14" si="2">J7</f>
        <v>0</v>
      </c>
      <c r="X7" s="703"/>
      <c r="Y7" s="3786" t="s">
        <v>1680</v>
      </c>
      <c r="Z7" s="37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86" t="s">
        <v>1683</v>
      </c>
      <c r="Q8" s="3787"/>
      <c r="R8" s="701" t="s">
        <v>14</v>
      </c>
      <c r="S8" s="702">
        <f t="shared" si="0"/>
        <v>100</v>
      </c>
      <c r="T8" s="701" t="s">
        <v>14</v>
      </c>
      <c r="U8" s="702">
        <f t="shared" si="1"/>
        <v>100</v>
      </c>
      <c r="V8" s="701" t="s">
        <v>14</v>
      </c>
      <c r="W8" s="702">
        <f t="shared" si="2"/>
        <v>100</v>
      </c>
      <c r="X8" s="703"/>
      <c r="Y8" s="3786" t="s">
        <v>1683</v>
      </c>
      <c r="Z8" s="37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0"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0"/>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0"/>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0"/>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50"/>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53"/>
      <c r="Q15" s="1352"/>
      <c r="R15" s="705"/>
      <c r="S15" s="706"/>
      <c r="T15" s="705"/>
      <c r="U15" s="706"/>
      <c r="V15" s="705"/>
      <c r="W15" s="706"/>
      <c r="X15" s="1355"/>
      <c r="Y15" s="375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53"/>
      <c r="Q17" s="1352"/>
      <c r="R17" s="705"/>
      <c r="S17" s="706"/>
      <c r="T17" s="705"/>
      <c r="U17" s="706"/>
      <c r="V17" s="705"/>
      <c r="W17" s="706"/>
      <c r="X17" s="1355"/>
      <c r="Y17" s="375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53"/>
      <c r="Q19" s="1352"/>
      <c r="R19" s="705"/>
      <c r="S19" s="706"/>
      <c r="T19" s="705"/>
      <c r="U19" s="706"/>
      <c r="V19" s="705"/>
      <c r="W19" s="706"/>
      <c r="X19" s="1355"/>
      <c r="Y19" s="375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53"/>
      <c r="Q21" s="1352"/>
      <c r="R21" s="705"/>
      <c r="S21" s="706"/>
      <c r="T21" s="705"/>
      <c r="U21" s="706"/>
      <c r="V21" s="705"/>
      <c r="W21" s="706"/>
      <c r="X21" s="1355"/>
      <c r="Y21" s="37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1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7" t="s">
        <v>1696</v>
      </c>
      <c r="Q32" s="1352">
        <f t="shared" si="11"/>
        <v>111</v>
      </c>
      <c r="R32" s="705" t="s">
        <v>14</v>
      </c>
      <c r="S32" s="706">
        <f t="shared" si="12"/>
        <v>100</v>
      </c>
      <c r="T32" s="705" t="s">
        <v>14</v>
      </c>
      <c r="U32" s="706">
        <f t="shared" si="13"/>
        <v>100</v>
      </c>
      <c r="V32" s="705" t="s">
        <v>14</v>
      </c>
      <c r="W32" s="706">
        <f t="shared" si="14"/>
        <v>100</v>
      </c>
      <c r="X32" s="1355"/>
      <c r="Y32" s="37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50" t="str">
        <f>A35</f>
        <v>成交单价（元/平方米）</v>
      </c>
      <c r="Q35" s="3750"/>
      <c r="R35" s="3751">
        <f>E35</f>
        <v>0</v>
      </c>
      <c r="S35" s="3751"/>
      <c r="T35" s="3751">
        <f>G35</f>
        <v>0</v>
      </c>
      <c r="U35" s="3751"/>
      <c r="V35" s="3751">
        <f>I35</f>
        <v>0</v>
      </c>
      <c r="W35" s="375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7" t="str">
        <f>A37</f>
        <v>估价对象XX用房的比较价值（楼面单价，元/平方米）</v>
      </c>
      <c r="Q37" s="3748"/>
      <c r="R37" s="3812" t="e">
        <f>IF(F1="售价",ROUND(IF(D36="简单平均",AVERAGE(R36:W36),R36*F36+T36*H36+V36*J36),0),ROUND(IF(D36="简单平均",AVERAGE(R36:V36),R36*F36+T36*H36+V36*J36),1))</f>
        <v>#DIV/0!</v>
      </c>
      <c r="S37" s="3812"/>
      <c r="T37" s="3812"/>
      <c r="U37" s="3812"/>
      <c r="V37" s="3812"/>
      <c r="W37" s="381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65" t="s">
        <v>1770</v>
      </c>
      <c r="D4" s="3766"/>
      <c r="E4" s="3767" t="s">
        <v>1771</v>
      </c>
      <c r="F4" s="3768"/>
      <c r="G4" s="3765" t="s">
        <v>1772</v>
      </c>
      <c r="H4" s="3766"/>
      <c r="I4" s="3765" t="s">
        <v>1773</v>
      </c>
      <c r="J4" s="3766"/>
      <c r="K4" s="559" t="s">
        <v>1774</v>
      </c>
      <c r="L4" s="2714"/>
      <c r="M4" s="2715"/>
      <c r="N4" s="2715"/>
      <c r="O4" s="2715"/>
      <c r="P4" s="3769" t="s">
        <v>1775</v>
      </c>
      <c r="Q4" s="3770"/>
      <c r="R4" s="3775" t="s">
        <v>1771</v>
      </c>
      <c r="S4" s="3776"/>
      <c r="T4" s="3775" t="s">
        <v>1772</v>
      </c>
      <c r="U4" s="3776"/>
      <c r="V4" s="3781" t="s">
        <v>1773</v>
      </c>
      <c r="W4" s="3781"/>
      <c r="X4" s="1355"/>
      <c r="Y4" s="3775" t="s">
        <v>1775</v>
      </c>
      <c r="Z4" s="3776"/>
      <c r="AA4" s="3762" t="s">
        <v>1771</v>
      </c>
      <c r="AB4" s="3763" t="s">
        <v>1772</v>
      </c>
      <c r="AC4" s="3762" t="s">
        <v>1773</v>
      </c>
    </row>
    <row r="5" spans="1:30" ht="15">
      <c r="A5" s="358"/>
      <c r="B5" s="359"/>
      <c r="C5" s="3784" t="s">
        <v>1673</v>
      </c>
      <c r="D5" s="3785"/>
      <c r="E5" s="3791" t="s">
        <v>1674</v>
      </c>
      <c r="F5" s="3792"/>
      <c r="G5" s="3784" t="s">
        <v>1675</v>
      </c>
      <c r="H5" s="3785"/>
      <c r="I5" s="3784" t="s">
        <v>1676</v>
      </c>
      <c r="J5" s="3785"/>
      <c r="K5" s="559"/>
      <c r="L5" s="2714"/>
      <c r="M5" s="2715"/>
      <c r="N5" s="2715"/>
      <c r="O5" s="2715"/>
      <c r="P5" s="3771"/>
      <c r="Q5" s="3772"/>
      <c r="R5" s="3777"/>
      <c r="S5" s="3778"/>
      <c r="T5" s="3777"/>
      <c r="U5" s="3778"/>
      <c r="V5" s="3781"/>
      <c r="W5" s="3781"/>
      <c r="X5" s="1355"/>
      <c r="Y5" s="3777"/>
      <c r="Z5" s="3778"/>
      <c r="AA5" s="3763"/>
      <c r="AB5" s="3763"/>
      <c r="AC5" s="3763"/>
    </row>
    <row r="6" spans="1:30" ht="15.75" thickBot="1">
      <c r="A6" s="360"/>
      <c r="B6" s="361"/>
      <c r="C6" s="3782" t="s">
        <v>1677</v>
      </c>
      <c r="D6" s="3783"/>
      <c r="E6" s="3789" t="s">
        <v>1677</v>
      </c>
      <c r="F6" s="3790"/>
      <c r="G6" s="3782" t="s">
        <v>1677</v>
      </c>
      <c r="H6" s="3783"/>
      <c r="I6" s="3782" t="s">
        <v>1677</v>
      </c>
      <c r="J6" s="3783"/>
      <c r="K6" s="559" t="s">
        <v>1678</v>
      </c>
      <c r="L6" s="2714"/>
      <c r="M6" s="2715"/>
      <c r="N6" s="2715"/>
      <c r="O6" s="2715"/>
      <c r="P6" s="3773"/>
      <c r="Q6" s="3774"/>
      <c r="R6" s="3777"/>
      <c r="S6" s="3778"/>
      <c r="T6" s="3779"/>
      <c r="U6" s="3780"/>
      <c r="V6" s="3781"/>
      <c r="W6" s="3781"/>
      <c r="X6" s="1355"/>
      <c r="Y6" s="3779"/>
      <c r="Z6" s="3780"/>
      <c r="AA6" s="3764"/>
      <c r="AB6" s="3764"/>
      <c r="AC6" s="3764"/>
    </row>
    <row r="7" spans="1:30" s="108" customFormat="1" ht="15.75" thickBot="1">
      <c r="A7" s="362" t="s">
        <v>1679</v>
      </c>
      <c r="B7" s="363"/>
      <c r="C7" s="364">
        <f>'数据-取费表'!B2</f>
        <v>44926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86" t="s">
        <v>1680</v>
      </c>
      <c r="Q7" s="3788"/>
      <c r="R7" s="701" t="s">
        <v>14</v>
      </c>
      <c r="S7" s="702">
        <f t="shared" ref="S7:S15" si="0">F7</f>
        <v>0</v>
      </c>
      <c r="T7" s="701" t="s">
        <v>14</v>
      </c>
      <c r="U7" s="702">
        <f t="shared" ref="U7:U15" si="1">H7</f>
        <v>0</v>
      </c>
      <c r="V7" s="701" t="s">
        <v>14</v>
      </c>
      <c r="W7" s="702">
        <f t="shared" ref="W7:W15" si="2">J7</f>
        <v>0</v>
      </c>
      <c r="X7" s="703"/>
      <c r="Y7" s="3786" t="s">
        <v>1680</v>
      </c>
      <c r="Z7" s="37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86" t="s">
        <v>1683</v>
      </c>
      <c r="Q8" s="3787"/>
      <c r="R8" s="701" t="s">
        <v>14</v>
      </c>
      <c r="S8" s="702">
        <f t="shared" si="0"/>
        <v>0</v>
      </c>
      <c r="T8" s="701" t="s">
        <v>14</v>
      </c>
      <c r="U8" s="702">
        <f t="shared" si="1"/>
        <v>0</v>
      </c>
      <c r="V8" s="701" t="s">
        <v>14</v>
      </c>
      <c r="W8" s="702">
        <f t="shared" si="2"/>
        <v>0</v>
      </c>
      <c r="X8" s="703"/>
      <c r="Y8" s="3786" t="s">
        <v>1683</v>
      </c>
      <c r="Z8" s="37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50"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8"/>
      <c r="M10" s="2719"/>
      <c r="N10" s="2719"/>
      <c r="O10" s="2772"/>
      <c r="P10" s="3750"/>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0"/>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0"/>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0"/>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0"/>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2" t="s">
        <v>1691</v>
      </c>
      <c r="Q15" s="1352" t="str">
        <f t="shared" si="6"/>
        <v>居住社区成熟度</v>
      </c>
      <c r="R15" s="705" t="s">
        <v>14</v>
      </c>
      <c r="S15" s="706">
        <f t="shared" si="0"/>
        <v>100</v>
      </c>
      <c r="T15" s="705" t="s">
        <v>14</v>
      </c>
      <c r="U15" s="706">
        <f t="shared" si="1"/>
        <v>100</v>
      </c>
      <c r="V15" s="705" t="s">
        <v>14</v>
      </c>
      <c r="W15" s="706">
        <f t="shared" si="2"/>
        <v>100</v>
      </c>
      <c r="X15" s="1355"/>
      <c r="Y15" s="37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53"/>
      <c r="Q16" s="1352"/>
      <c r="R16" s="705"/>
      <c r="S16" s="706"/>
      <c r="T16" s="705"/>
      <c r="U16" s="706"/>
      <c r="V16" s="705"/>
      <c r="W16" s="706"/>
      <c r="X16" s="1355"/>
      <c r="Y16" s="375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53"/>
      <c r="Q18" s="1352"/>
      <c r="R18" s="705"/>
      <c r="S18" s="706"/>
      <c r="T18" s="705"/>
      <c r="U18" s="706"/>
      <c r="V18" s="705"/>
      <c r="W18" s="706"/>
      <c r="X18" s="1355"/>
      <c r="Y18" s="375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53"/>
      <c r="Q20" s="1352"/>
      <c r="R20" s="705"/>
      <c r="S20" s="706"/>
      <c r="T20" s="705"/>
      <c r="U20" s="706"/>
      <c r="V20" s="705"/>
      <c r="W20" s="706"/>
      <c r="X20" s="1355"/>
      <c r="Y20" s="375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53"/>
      <c r="Q22" s="1352"/>
      <c r="R22" s="705"/>
      <c r="S22" s="706"/>
      <c r="T22" s="705"/>
      <c r="U22" s="706"/>
      <c r="V22" s="705"/>
      <c r="W22" s="706"/>
      <c r="X22" s="1355"/>
      <c r="Y22" s="375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53"/>
      <c r="Q24" s="1352"/>
      <c r="R24" s="705"/>
      <c r="S24" s="706"/>
      <c r="T24" s="705"/>
      <c r="U24" s="706"/>
      <c r="V24" s="705"/>
      <c r="W24" s="706"/>
      <c r="X24" s="1355"/>
      <c r="Y24" s="375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53"/>
      <c r="Q26" s="1352"/>
      <c r="R26" s="705"/>
      <c r="S26" s="706"/>
      <c r="T26" s="705"/>
      <c r="U26" s="706"/>
      <c r="V26" s="705"/>
      <c r="W26" s="706"/>
      <c r="X26" s="1355"/>
      <c r="Y26" s="375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53"/>
      <c r="Q28" s="1343"/>
      <c r="R28" s="701"/>
      <c r="S28" s="702"/>
      <c r="T28" s="701"/>
      <c r="U28" s="702"/>
      <c r="V28" s="701"/>
      <c r="W28" s="702"/>
      <c r="X28" s="703"/>
      <c r="Y28" s="375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53"/>
      <c r="Q30" s="1343"/>
      <c r="R30" s="701"/>
      <c r="S30" s="702"/>
      <c r="T30" s="701"/>
      <c r="U30" s="702"/>
      <c r="V30" s="701"/>
      <c r="W30" s="702"/>
      <c r="X30" s="703"/>
      <c r="Y30" s="37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53"/>
      <c r="Q33" s="1352"/>
      <c r="R33" s="705"/>
      <c r="S33" s="706"/>
      <c r="T33" s="705"/>
      <c r="U33" s="706"/>
      <c r="V33" s="705"/>
      <c r="W33" s="706"/>
      <c r="X33" s="1355"/>
      <c r="Y33" s="37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11" t="s">
        <v>1696</v>
      </c>
      <c r="Q36" s="1352">
        <f t="shared" si="8"/>
        <v>111</v>
      </c>
      <c r="R36" s="705" t="s">
        <v>14</v>
      </c>
      <c r="S36" s="706">
        <f t="shared" si="10"/>
        <v>100</v>
      </c>
      <c r="T36" s="705" t="s">
        <v>14</v>
      </c>
      <c r="U36" s="706">
        <f t="shared" si="11"/>
        <v>100</v>
      </c>
      <c r="V36" s="705" t="s">
        <v>14</v>
      </c>
      <c r="W36" s="706">
        <f t="shared" si="12"/>
        <v>100</v>
      </c>
      <c r="X36" s="1355"/>
      <c r="Y36" s="375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57" t="s">
        <v>1696</v>
      </c>
      <c r="Q42" s="1352" t="str">
        <f t="shared" si="14"/>
        <v>工程地质条件</v>
      </c>
      <c r="R42" s="705" t="s">
        <v>14</v>
      </c>
      <c r="S42" s="706">
        <f t="shared" si="10"/>
        <v>100</v>
      </c>
      <c r="T42" s="705" t="s">
        <v>14</v>
      </c>
      <c r="U42" s="706">
        <f t="shared" si="11"/>
        <v>100</v>
      </c>
      <c r="V42" s="705" t="s">
        <v>14</v>
      </c>
      <c r="W42" s="706">
        <f t="shared" si="12"/>
        <v>100</v>
      </c>
      <c r="X42" s="1355"/>
      <c r="Y42" s="37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50" t="str">
        <f>A46</f>
        <v>成交单价</v>
      </c>
      <c r="Q46" s="3750"/>
      <c r="R46" s="3781">
        <f>E46</f>
        <v>0</v>
      </c>
      <c r="S46" s="3781"/>
      <c r="T46" s="3781">
        <f>G46</f>
        <v>0</v>
      </c>
      <c r="U46" s="3781"/>
      <c r="V46" s="3781">
        <f>I46</f>
        <v>0</v>
      </c>
      <c r="W46" s="378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50" t="str">
        <f>A47</f>
        <v>比较价值（元/平方米）</v>
      </c>
      <c r="Q47" s="3750"/>
      <c r="R47" s="3813" t="e">
        <f>ROUND(PRODUCT(R46,AA7:AA45),0)</f>
        <v>#DIV/0!</v>
      </c>
      <c r="S47" s="3813"/>
      <c r="T47" s="3813" t="e">
        <f>ROUND(PRODUCT(T46,AB7:AB45),0)</f>
        <v>#DIV/0!</v>
      </c>
      <c r="U47" s="3813"/>
      <c r="V47" s="3813" t="e">
        <f>ROUND(PRODUCT(V46,AC7:AC45),0)</f>
        <v>#DIV/0!</v>
      </c>
      <c r="W47" s="381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7" t="str">
        <f>A48</f>
        <v>估价对象XX用房的比较价值（楼面单价，元/平方米）</v>
      </c>
      <c r="Q48" s="3748"/>
      <c r="R48" s="3814" t="e">
        <f>ROUND(IF(D47="简单平均",AVERAGE(R47:W47),R47*F47+T47*H47+V47*J47),0)</f>
        <v>#DIV/0!</v>
      </c>
      <c r="S48" s="3814"/>
      <c r="T48" s="3814"/>
      <c r="U48" s="3814"/>
      <c r="V48" s="3814"/>
      <c r="W48" s="381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65" t="s">
        <v>1887</v>
      </c>
      <c r="H55" s="381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32455.11</v>
      </c>
      <c r="F56" s="886" t="e">
        <f t="shared" ref="F56:F64" si="15">ROUND(B56*E56/10000,0)</f>
        <v>#DIV/0!</v>
      </c>
      <c r="G56" s="3761"/>
      <c r="H56" s="375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5">
        <v>0.25</v>
      </c>
      <c r="E57" s="642"/>
      <c r="F57" s="886" t="e">
        <f t="shared" si="15"/>
        <v>#DIV/0!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5">
        <v>0.25</v>
      </c>
      <c r="E58" s="642"/>
      <c r="F58" s="886" t="e">
        <f t="shared" si="15"/>
        <v>#DIV/0!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5">
        <v>0.25</v>
      </c>
      <c r="E59" s="642"/>
      <c r="F59" s="886" t="e">
        <f t="shared" si="15"/>
        <v>#DIV/0!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16500.21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48955.32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65" t="s">
        <v>1770</v>
      </c>
      <c r="D4" s="3766"/>
      <c r="E4" s="3767" t="s">
        <v>1771</v>
      </c>
      <c r="F4" s="3768"/>
      <c r="G4" s="3765" t="s">
        <v>1772</v>
      </c>
      <c r="H4" s="3766"/>
      <c r="I4" s="3765" t="s">
        <v>1773</v>
      </c>
      <c r="J4" s="3766"/>
      <c r="K4" s="559" t="s">
        <v>1774</v>
      </c>
      <c r="L4" s="2714"/>
      <c r="M4" s="2715"/>
      <c r="N4" s="2715"/>
      <c r="O4" s="2715"/>
      <c r="P4" s="3769" t="s">
        <v>1775</v>
      </c>
      <c r="Q4" s="3770"/>
      <c r="R4" s="3775" t="s">
        <v>1771</v>
      </c>
      <c r="S4" s="3776"/>
      <c r="T4" s="3775" t="s">
        <v>1772</v>
      </c>
      <c r="U4" s="3776"/>
      <c r="V4" s="3781" t="s">
        <v>1773</v>
      </c>
      <c r="W4" s="3781"/>
      <c r="X4" s="1355"/>
      <c r="Y4" s="3775" t="s">
        <v>1775</v>
      </c>
      <c r="Z4" s="3776"/>
      <c r="AA4" s="3762" t="s">
        <v>1771</v>
      </c>
      <c r="AB4" s="3763" t="s">
        <v>1772</v>
      </c>
      <c r="AC4" s="3762" t="s">
        <v>1773</v>
      </c>
    </row>
    <row r="5" spans="1:29" ht="15">
      <c r="A5" s="358"/>
      <c r="B5" s="359"/>
      <c r="C5" s="3784" t="s">
        <v>1673</v>
      </c>
      <c r="D5" s="3785"/>
      <c r="E5" s="3791" t="s">
        <v>1674</v>
      </c>
      <c r="F5" s="3792"/>
      <c r="G5" s="3784" t="s">
        <v>1675</v>
      </c>
      <c r="H5" s="3785"/>
      <c r="I5" s="3784" t="s">
        <v>1676</v>
      </c>
      <c r="J5" s="3785"/>
      <c r="K5" s="559"/>
      <c r="L5" s="2714"/>
      <c r="M5" s="2715"/>
      <c r="N5" s="2715"/>
      <c r="O5" s="2715"/>
      <c r="P5" s="3771"/>
      <c r="Q5" s="3772"/>
      <c r="R5" s="3777"/>
      <c r="S5" s="3778"/>
      <c r="T5" s="3777"/>
      <c r="U5" s="3778"/>
      <c r="V5" s="3781"/>
      <c r="W5" s="3781"/>
      <c r="X5" s="1355"/>
      <c r="Y5" s="3777"/>
      <c r="Z5" s="3778"/>
      <c r="AA5" s="3763"/>
      <c r="AB5" s="3763"/>
      <c r="AC5" s="3763"/>
    </row>
    <row r="6" spans="1:29" ht="15.75" thickBot="1">
      <c r="A6" s="360"/>
      <c r="B6" s="361"/>
      <c r="C6" s="3816" t="s">
        <v>1919</v>
      </c>
      <c r="D6" s="3817"/>
      <c r="E6" s="3818" t="s">
        <v>1919</v>
      </c>
      <c r="F6" s="3819"/>
      <c r="G6" s="3816" t="s">
        <v>1919</v>
      </c>
      <c r="H6" s="3817"/>
      <c r="I6" s="3816" t="s">
        <v>1919</v>
      </c>
      <c r="J6" s="3817"/>
      <c r="K6" s="559" t="s">
        <v>1678</v>
      </c>
      <c r="L6" s="2714"/>
      <c r="M6" s="2715"/>
      <c r="N6" s="2715"/>
      <c r="O6" s="2715"/>
      <c r="P6" s="3773"/>
      <c r="Q6" s="3774"/>
      <c r="R6" s="3777"/>
      <c r="S6" s="3778"/>
      <c r="T6" s="3779"/>
      <c r="U6" s="3780"/>
      <c r="V6" s="3781"/>
      <c r="W6" s="3781"/>
      <c r="X6" s="1355"/>
      <c r="Y6" s="3779"/>
      <c r="Z6" s="3780"/>
      <c r="AA6" s="3764"/>
      <c r="AB6" s="3764"/>
      <c r="AC6" s="3764"/>
    </row>
    <row r="7" spans="1:29" s="108" customFormat="1" ht="15.75" thickBot="1">
      <c r="A7" s="362" t="s">
        <v>1679</v>
      </c>
      <c r="B7" s="363"/>
      <c r="C7" s="364">
        <f>'数据-取费表'!B2</f>
        <v>44926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86" t="s">
        <v>1680</v>
      </c>
      <c r="Q7" s="3788"/>
      <c r="R7" s="701" t="s">
        <v>14</v>
      </c>
      <c r="S7" s="702">
        <f t="shared" ref="S7:S15" si="0">F7</f>
        <v>0</v>
      </c>
      <c r="T7" s="701" t="s">
        <v>14</v>
      </c>
      <c r="U7" s="702">
        <f t="shared" ref="U7:U15" si="1">H7</f>
        <v>0</v>
      </c>
      <c r="V7" s="701" t="s">
        <v>14</v>
      </c>
      <c r="W7" s="702">
        <f t="shared" ref="W7:W15" si="2">J7</f>
        <v>0</v>
      </c>
      <c r="X7" s="703"/>
      <c r="Y7" s="3786" t="s">
        <v>1680</v>
      </c>
      <c r="Z7" s="37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86" t="s">
        <v>1683</v>
      </c>
      <c r="Q8" s="3787"/>
      <c r="R8" s="701" t="s">
        <v>14</v>
      </c>
      <c r="S8" s="702">
        <f t="shared" si="0"/>
        <v>0</v>
      </c>
      <c r="T8" s="701" t="s">
        <v>14</v>
      </c>
      <c r="U8" s="702">
        <f t="shared" si="1"/>
        <v>0</v>
      </c>
      <c r="V8" s="701" t="s">
        <v>14</v>
      </c>
      <c r="W8" s="702">
        <f t="shared" si="2"/>
        <v>0</v>
      </c>
      <c r="X8" s="703"/>
      <c r="Y8" s="3786" t="s">
        <v>1683</v>
      </c>
      <c r="Z8" s="37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50"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8"/>
      <c r="M10" s="2719"/>
      <c r="N10" s="2719"/>
      <c r="O10" s="2772"/>
      <c r="P10" s="3750"/>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0"/>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0"/>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0"/>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0"/>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53"/>
      <c r="Q16" s="1352"/>
      <c r="R16" s="705"/>
      <c r="S16" s="706"/>
      <c r="T16" s="705"/>
      <c r="U16" s="706"/>
      <c r="V16" s="705"/>
      <c r="W16" s="706"/>
      <c r="X16" s="1355"/>
      <c r="Y16" s="375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53"/>
      <c r="Q18" s="1352"/>
      <c r="R18" s="705"/>
      <c r="S18" s="706"/>
      <c r="T18" s="705"/>
      <c r="U18" s="706"/>
      <c r="V18" s="705"/>
      <c r="W18" s="706"/>
      <c r="X18" s="1355"/>
      <c r="Y18" s="375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53"/>
      <c r="Q20" s="1352"/>
      <c r="R20" s="705"/>
      <c r="S20" s="706"/>
      <c r="T20" s="705"/>
      <c r="U20" s="706"/>
      <c r="V20" s="705"/>
      <c r="W20" s="706"/>
      <c r="X20" s="1355"/>
      <c r="Y20" s="375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53"/>
      <c r="Q22" s="1352"/>
      <c r="R22" s="705"/>
      <c r="S22" s="706"/>
      <c r="T22" s="705"/>
      <c r="U22" s="706"/>
      <c r="V22" s="705"/>
      <c r="W22" s="706"/>
      <c r="X22" s="1355"/>
      <c r="Y22" s="375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53"/>
      <c r="Q24" s="1343"/>
      <c r="R24" s="701"/>
      <c r="S24" s="702"/>
      <c r="T24" s="701"/>
      <c r="U24" s="702"/>
      <c r="V24" s="701"/>
      <c r="W24" s="702"/>
      <c r="X24" s="703"/>
      <c r="Y24" s="375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53"/>
      <c r="Q26" s="1343"/>
      <c r="R26" s="701"/>
      <c r="S26" s="702"/>
      <c r="T26" s="701"/>
      <c r="U26" s="702"/>
      <c r="V26" s="701"/>
      <c r="W26" s="702"/>
      <c r="X26" s="703"/>
      <c r="Y26" s="37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53"/>
      <c r="Q29" s="1352"/>
      <c r="R29" s="705"/>
      <c r="S29" s="706"/>
      <c r="T29" s="705"/>
      <c r="U29" s="706"/>
      <c r="V29" s="705"/>
      <c r="W29" s="706"/>
      <c r="X29" s="1355"/>
      <c r="Y29" s="37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11" t="s">
        <v>1696</v>
      </c>
      <c r="Q32" s="1352">
        <f t="shared" si="8"/>
        <v>111</v>
      </c>
      <c r="R32" s="705" t="s">
        <v>14</v>
      </c>
      <c r="S32" s="706">
        <f t="shared" si="10"/>
        <v>100</v>
      </c>
      <c r="T32" s="705" t="s">
        <v>14</v>
      </c>
      <c r="U32" s="706">
        <f t="shared" si="11"/>
        <v>100</v>
      </c>
      <c r="V32" s="705" t="s">
        <v>14</v>
      </c>
      <c r="W32" s="706">
        <f t="shared" si="12"/>
        <v>100</v>
      </c>
      <c r="X32" s="1355"/>
      <c r="Y32" s="375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57" t="s">
        <v>1696</v>
      </c>
      <c r="Q37" s="1352" t="str">
        <f t="shared" si="14"/>
        <v>工程地质条件</v>
      </c>
      <c r="R37" s="705" t="s">
        <v>14</v>
      </c>
      <c r="S37" s="706">
        <f t="shared" si="10"/>
        <v>100</v>
      </c>
      <c r="T37" s="705" t="s">
        <v>14</v>
      </c>
      <c r="U37" s="706">
        <f t="shared" si="11"/>
        <v>100</v>
      </c>
      <c r="V37" s="705" t="s">
        <v>14</v>
      </c>
      <c r="W37" s="706">
        <f t="shared" si="12"/>
        <v>100</v>
      </c>
      <c r="X37" s="1355"/>
      <c r="Y37" s="375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50" t="str">
        <f>A41</f>
        <v>成交单价</v>
      </c>
      <c r="Q41" s="3750"/>
      <c r="R41" s="3781">
        <f>E41</f>
        <v>0</v>
      </c>
      <c r="S41" s="3781"/>
      <c r="T41" s="3781">
        <f>G41</f>
        <v>0</v>
      </c>
      <c r="U41" s="3781"/>
      <c r="V41" s="3781">
        <f>I41</f>
        <v>0</v>
      </c>
      <c r="W41" s="378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50" t="str">
        <f>A42</f>
        <v>比较价值（元/平方米）</v>
      </c>
      <c r="Q42" s="3750"/>
      <c r="R42" s="3813" t="e">
        <f>ROUND(PRODUCT(R41,AA7:AA40),0)</f>
        <v>#DIV/0!</v>
      </c>
      <c r="S42" s="3813"/>
      <c r="T42" s="3813" t="e">
        <f>ROUND(PRODUCT(T41,AB7:AB40),0)</f>
        <v>#DIV/0!</v>
      </c>
      <c r="U42" s="3813"/>
      <c r="V42" s="3813" t="e">
        <f>ROUND(PRODUCT(V41,AC7:AC40),0)</f>
        <v>#DIV/0!</v>
      </c>
      <c r="W42" s="381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7" t="str">
        <f>A43</f>
        <v>估价对象XX用房的比较价值（楼面单价，元/平方米）</v>
      </c>
      <c r="Q43" s="3748"/>
      <c r="R43" s="3814" t="e">
        <f>ROUND(IF(D42="简单平均",AVERAGE(R42:W42),R42*F42+T42*H42+V42*J42),0)</f>
        <v>#DIV/0!</v>
      </c>
      <c r="S43" s="3814"/>
      <c r="T43" s="3814"/>
      <c r="U43" s="3814"/>
      <c r="V43" s="3814"/>
      <c r="W43" s="381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65" t="s">
        <v>1887</v>
      </c>
      <c r="H50" s="381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32455.11</v>
      </c>
      <c r="F51" s="639" t="e">
        <f t="shared" ref="F51:F60" si="15">ROUND(B51*E51/10000,0)</f>
        <v>#DIV/0!</v>
      </c>
      <c r="G51" s="3761"/>
      <c r="H51" s="375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16500.21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11397.7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3" t="s">
        <v>2084</v>
      </c>
      <c r="D1" s="3824"/>
      <c r="E1" s="3824"/>
      <c r="F1" s="3824"/>
      <c r="G1" s="3824"/>
      <c r="H1" s="3824"/>
      <c r="I1" s="3824"/>
      <c r="J1" s="3824"/>
      <c r="K1" s="3824"/>
      <c r="L1" s="3824"/>
      <c r="M1" s="3824"/>
      <c r="N1" s="3824"/>
      <c r="O1" s="3824"/>
      <c r="P1" s="3824"/>
      <c r="Q1" s="3824"/>
      <c r="R1" s="3824"/>
      <c r="S1" s="382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0" t="s">
        <v>27</v>
      </c>
      <c r="D22" s="3821"/>
      <c r="E22" s="3821"/>
      <c r="F22" s="3821"/>
      <c r="G22" s="3821"/>
      <c r="H22" s="3821"/>
      <c r="I22" s="3821"/>
      <c r="J22" s="3821"/>
      <c r="K22" s="3821"/>
      <c r="L22" s="3821"/>
      <c r="M22" s="3821"/>
      <c r="N22" s="3821"/>
      <c r="O22" s="3821"/>
      <c r="P22" s="3821"/>
      <c r="Q22" s="382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9"/>
      <c r="C2" s="3539"/>
      <c r="D2" s="3539"/>
      <c r="E2" s="3539"/>
    </row>
    <row r="3" spans="1:5" ht="18">
      <c r="A3" s="3540" t="str">
        <f>IF(项目基本情况!B9="房地产市场价值","估价结果一览表（市场价值不需“结果表-1”）","估价结果一览表")</f>
        <v>估价结果一览表（市场价值不需“结果表-1”）</v>
      </c>
      <c r="B3" s="3540"/>
      <c r="C3" s="3540"/>
      <c r="D3" s="3540"/>
      <c r="E3" s="3540"/>
    </row>
    <row r="4" spans="1:5" ht="19.5" thickBot="1">
      <c r="A4" s="1493"/>
      <c r="B4" s="3538" t="s">
        <v>917</v>
      </c>
      <c r="C4" s="3538"/>
      <c r="D4" s="3538"/>
      <c r="E4" s="1493"/>
    </row>
    <row r="5" spans="1:5" ht="16.5" thickTop="1">
      <c r="A5" s="1491"/>
      <c r="B5" s="3536" t="s">
        <v>909</v>
      </c>
      <c r="C5" s="1494" t="s">
        <v>910</v>
      </c>
      <c r="D5" s="850" t="e">
        <f ca="1">结果表!H101</f>
        <v>#REF!</v>
      </c>
      <c r="E5" s="1491"/>
    </row>
    <row r="6" spans="1:5" ht="15.75">
      <c r="A6" s="1491"/>
      <c r="B6" s="3536"/>
      <c r="C6" s="1494" t="s">
        <v>911</v>
      </c>
      <c r="D6" s="850" t="e">
        <f ca="1">NUMBERSTRING(INT(D5*10000),2)&amp;"元整"</f>
        <v>#REF!</v>
      </c>
      <c r="E6" s="1491"/>
    </row>
    <row r="7" spans="1:5" ht="15.75">
      <c r="A7" s="1491"/>
      <c r="B7" s="3541"/>
      <c r="C7" s="1495" t="s">
        <v>912</v>
      </c>
      <c r="D7" s="851" t="e">
        <f ca="1">结果表!H102</f>
        <v>#REF!</v>
      </c>
      <c r="E7" s="1491"/>
    </row>
    <row r="8" spans="1:5" ht="15.75">
      <c r="A8" s="1491"/>
      <c r="B8" s="3542" t="str">
        <f>结果表!E103</f>
        <v>2.估价师知悉的法定优先受偿款</v>
      </c>
      <c r="C8" s="1496" t="s">
        <v>913</v>
      </c>
      <c r="D8" s="851">
        <f>结果表!H103</f>
        <v>0</v>
      </c>
      <c r="E8" s="1491"/>
    </row>
    <row r="9" spans="1:5" ht="15.75">
      <c r="A9" s="1491"/>
      <c r="B9" s="354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5" t="str">
        <f>结果表!E107</f>
        <v>3.房地产抵押价值</v>
      </c>
      <c r="C13" s="1499" t="s">
        <v>910</v>
      </c>
      <c r="D13" s="853" t="e">
        <f ca="1">结果表!H107</f>
        <v>#REF!</v>
      </c>
      <c r="E13" s="1491"/>
    </row>
    <row r="14" spans="1:5" ht="15.75">
      <c r="A14" s="1491"/>
      <c r="B14" s="3536"/>
      <c r="C14" s="1494" t="s">
        <v>911</v>
      </c>
      <c r="D14" s="850" t="e">
        <f ca="1">NUMBERSTRING(INT(D13*10000),2)&amp;"元整"</f>
        <v>#REF!</v>
      </c>
      <c r="E14" s="1491"/>
    </row>
    <row r="15" spans="1:5" ht="15">
      <c r="A15" s="1491"/>
      <c r="B15" s="3541"/>
      <c r="C15" s="1495" t="s">
        <v>921</v>
      </c>
      <c r="D15" s="859" t="e">
        <f ca="1">结果表!H108</f>
        <v>#REF!</v>
      </c>
      <c r="E15" s="1491"/>
    </row>
    <row r="16" spans="1:5" ht="15">
      <c r="A16" s="1491"/>
      <c r="B16" s="3542" t="str">
        <f>结果表!E109</f>
        <v>——</v>
      </c>
      <c r="C16" s="1499" t="s">
        <v>922</v>
      </c>
      <c r="D16" s="1500" t="str">
        <f>结果表!H109</f>
        <v>——</v>
      </c>
      <c r="E16" s="1491"/>
    </row>
    <row r="17" spans="1:5" ht="15.75">
      <c r="A17" s="1491"/>
      <c r="B17" s="3543"/>
      <c r="C17" s="1494" t="s">
        <v>923</v>
      </c>
      <c r="D17" s="850" t="e">
        <f>NUMBERSTRING(INT(D16*10000),2)&amp;"元整"</f>
        <v>#VALUE!</v>
      </c>
      <c r="E17" s="1491"/>
    </row>
    <row r="18" spans="1:5" ht="15">
      <c r="A18" s="1491"/>
      <c r="B18" s="3544"/>
      <c r="C18" s="1495" t="s">
        <v>912</v>
      </c>
      <c r="D18" s="859" t="str">
        <f>结果表!H110</f>
        <v>——</v>
      </c>
      <c r="E18" s="1491"/>
    </row>
    <row r="19" spans="1:5" ht="15.75">
      <c r="A19" s="1491"/>
      <c r="B19" s="3535" t="str">
        <f>结果表!E111</f>
        <v>——</v>
      </c>
      <c r="C19" s="1499" t="s">
        <v>910</v>
      </c>
      <c r="D19" s="851" t="str">
        <f>结果表!H111</f>
        <v>——</v>
      </c>
      <c r="E19" s="1491"/>
    </row>
    <row r="20" spans="1:5" ht="15.75">
      <c r="A20" s="1491"/>
      <c r="B20" s="3536"/>
      <c r="C20" s="1494" t="s">
        <v>923</v>
      </c>
      <c r="D20" s="850" t="e">
        <f>NUMBERSTRING(INT(D19*10000),2)&amp;"元整"</f>
        <v>#VALUE!</v>
      </c>
      <c r="E20" s="1491"/>
    </row>
    <row r="21" spans="1:5" ht="15.75" thickBot="1">
      <c r="A21" s="1491"/>
      <c r="B21" s="353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20" sqref="F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66821</v>
      </c>
      <c r="C2" s="2145" t="s">
        <v>2074</v>
      </c>
      <c r="D2" s="2145" t="s">
        <v>2075</v>
      </c>
      <c r="E2" s="2611">
        <f ca="1">SUMIF(E6:E13,"&lt;&gt;#ref!",E6:E13)</f>
        <v>48955.32</v>
      </c>
      <c r="F2" s="2792"/>
      <c r="G2" s="2792"/>
      <c r="H2" s="2792"/>
      <c r="I2" s="2792"/>
      <c r="J2" s="2792"/>
      <c r="K2" s="2792"/>
      <c r="L2" s="2792"/>
      <c r="M2" s="2792"/>
      <c r="N2" s="2792"/>
      <c r="O2" s="2792"/>
      <c r="P2" s="2792"/>
    </row>
    <row r="3" spans="1:16" ht="15.75">
      <c r="A3" s="2145" t="s">
        <v>2076</v>
      </c>
      <c r="B3" s="2601">
        <f ca="1">ROUND(B2*10000/E2,0)</f>
        <v>13649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66821</v>
      </c>
      <c r="C6" s="2145" t="s">
        <v>2074</v>
      </c>
      <c r="D6" s="2792"/>
      <c r="E6" s="2611">
        <f ca="1">SUMIF(INDIRECT("'"&amp;A6&amp;"'"&amp;"!C:C"),"建筑面积",INDIRECT("'"&amp;A6&amp;"'"&amp;"!D:D"))</f>
        <v>48955.32</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7" sqref="D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48955.32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66821</v>
      </c>
      <c r="C2" s="1999" t="s">
        <v>1935</v>
      </c>
      <c r="D2" s="2000" t="s">
        <v>1936</v>
      </c>
      <c r="E2" s="3421"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29004</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13649</v>
      </c>
      <c r="C3" s="1999" t="s">
        <v>1941</v>
      </c>
      <c r="D3" s="2000" t="s">
        <v>1942</v>
      </c>
      <c r="E3" s="3419" t="s">
        <v>2442</v>
      </c>
      <c r="F3" s="2004" t="s">
        <v>3457</v>
      </c>
      <c r="G3" s="752">
        <f>IF(F3="宗地容积率",'数据-汇总表'!I4,IF(F3="估价对象容积率",'数据-汇总表'!I6,'数据-汇总表'!I7))</f>
        <v>2.85</v>
      </c>
      <c r="H3" s="170" t="s">
        <v>1943</v>
      </c>
      <c r="I3" s="775">
        <v>6</v>
      </c>
      <c r="J3" s="2002" t="s">
        <v>1944</v>
      </c>
      <c r="K3" s="1119"/>
      <c r="L3" s="2003" t="s">
        <v>1945</v>
      </c>
      <c r="M3" s="864">
        <f>SUMPRODUCT((区片价!B30:B54=I2)*(区片价!C3:G3=E2)*(区片价!C30:G54))</f>
        <v>23000</v>
      </c>
      <c r="N3" s="866">
        <f>SUMPRODUCT((因素修正幅度!B30:B54=I2)*(因素修正幅度!C3:G3=E2)*(因素修正幅度!C30:G54))</f>
        <v>9.9000000000000005E-2</v>
      </c>
      <c r="O3" s="1119"/>
      <c r="P3" s="1119"/>
      <c r="Q3" s="1119"/>
      <c r="R3" s="1212">
        <v>2</v>
      </c>
      <c r="S3" s="3360">
        <f>ROUND(SUMPRODUCT((B106:B110=R3)*(C105:N105=G2)*(C106:N110)),4)</f>
        <v>1.1838</v>
      </c>
      <c r="T3" s="3360">
        <f t="shared" si="0"/>
        <v>22861</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833"/>
      <c r="B4" s="3834"/>
      <c r="C4" s="3834"/>
      <c r="D4" s="3835"/>
      <c r="E4" s="3835"/>
      <c r="F4" s="3835"/>
      <c r="G4" s="3835"/>
      <c r="H4" s="3835"/>
      <c r="I4" s="3835"/>
      <c r="J4" s="383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19321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23000</v>
      </c>
      <c r="D5" s="1339">
        <f>ROUND(C6*C17+C20,0)</f>
        <v>23000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17041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16376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2.85</v>
      </c>
      <c r="AA7" s="1216"/>
      <c r="AB7" s="1216"/>
      <c r="AC7" s="1217"/>
      <c r="AD7" s="1218"/>
      <c r="AE7" s="1218"/>
      <c r="AF7" s="1218"/>
      <c r="AG7" s="1218"/>
      <c r="AH7" s="1218"/>
      <c r="AI7" s="1218"/>
      <c r="AJ7" s="1219"/>
    </row>
    <row r="8" spans="1:36" ht="25.5">
      <c r="A8" s="3298"/>
      <c r="B8" s="170" t="s">
        <v>1957</v>
      </c>
      <c r="C8" s="2026" t="s">
        <v>3458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830" t="s">
        <v>1960</v>
      </c>
      <c r="X8" s="383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832"/>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83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3255</v>
      </c>
      <c r="E18" s="3328"/>
      <c r="F18" s="3323" t="s">
        <v>3258</v>
      </c>
      <c r="G18" s="3327">
        <f>ROUND(1-(1/(POWER(1+G24,E18))),4)</f>
        <v>0</v>
      </c>
      <c r="H18" s="3323" t="s">
        <v>3260</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3256</v>
      </c>
      <c r="E19" s="3337"/>
      <c r="F19" s="3338" t="s">
        <v>3259</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837" t="s">
        <v>3261</v>
      </c>
      <c r="B20" s="167" t="s">
        <v>1994</v>
      </c>
      <c r="C20" s="3324">
        <f>ROUND(IF(F21="与级别开发程度一致",0,(G21-E21)/C21),0)</f>
        <v>0</v>
      </c>
      <c r="D20" s="3340" t="s">
        <v>1998</v>
      </c>
      <c r="E20" s="3341"/>
      <c r="F20" s="3843" t="s">
        <v>1995</v>
      </c>
      <c r="G20" s="3844"/>
      <c r="H20" s="3325" t="s">
        <v>3459</v>
      </c>
      <c r="I20" s="3325" t="s">
        <v>3460</v>
      </c>
      <c r="J20" s="3326" t="s">
        <v>3461</v>
      </c>
      <c r="K20" s="2047" t="s">
        <v>3462</v>
      </c>
      <c r="L20" s="2047" t="s">
        <v>3463</v>
      </c>
      <c r="M20" s="2047" t="s">
        <v>3465</v>
      </c>
      <c r="N20" s="2047" t="s">
        <v>3466</v>
      </c>
      <c r="O20" s="2048" t="s">
        <v>3467</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83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3464</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44926</v>
      </c>
      <c r="H23" s="3342" t="s">
        <v>3263</v>
      </c>
      <c r="I23" s="3343" t="str">
        <f>IF(H23="季度增幅（自定义）",SUMIF(N25:N28,E2,O25:O28),"")</f>
        <v/>
      </c>
      <c r="J23" s="3445" t="s">
        <v>3262</v>
      </c>
      <c r="K23" s="1125"/>
      <c r="L23" s="2055" t="s">
        <v>2004</v>
      </c>
      <c r="M23" s="1328">
        <f>ROUND(SUMIF(地价!B2:G2,E2,地价!B16:G16),0)</f>
        <v>350</v>
      </c>
      <c r="N23" s="2056" t="s">
        <v>2005</v>
      </c>
      <c r="O23" s="763">
        <f>ROUNDDOWN(DATEDIF(E23,G23,"M")/3,0)</f>
        <v>7</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0.77800000000000002</v>
      </c>
      <c r="D24" s="2060" t="s">
        <v>2007</v>
      </c>
      <c r="E24" s="1335">
        <f>存贷款利率!E22/100</f>
        <v>4.3499999999999997E-2</v>
      </c>
      <c r="F24" s="2060" t="s">
        <v>1999</v>
      </c>
      <c r="G24" s="768">
        <f>SUMIF(M30:Q30,E2,M33:Q33)</f>
        <v>5.5E-2</v>
      </c>
      <c r="H24" s="2060" t="s">
        <v>2008</v>
      </c>
      <c r="I24" s="769">
        <f>SUMIF('数据-取费表'!C6:C15,E2,'数据-取费表'!F6:F15)/COUNTIF('数据-取费表'!C6:C15,E2)</f>
        <v>21.67</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3342</v>
      </c>
      <c r="C25" s="771">
        <f>IF(B25="容积率修正",IF(G3&lt;10,D26,J26),C27)</f>
        <v>0.98019999999999996</v>
      </c>
      <c r="D25" s="2067"/>
      <c r="E25" s="2067"/>
      <c r="F25" s="2067"/>
      <c r="G25" s="2067"/>
      <c r="H25" s="2067"/>
      <c r="I25" s="2067"/>
      <c r="J25" s="2068"/>
      <c r="K25" s="1125"/>
      <c r="L25" s="2787"/>
      <c r="M25" s="2787"/>
      <c r="N25" s="2069" t="s">
        <v>2013</v>
      </c>
      <c r="O25" s="1173"/>
      <c r="P25" s="1174">
        <f>SUMPRODUCT((地价!A3:A40=YEAR(G23)&amp;"-"&amp;ROUNDUP(MONTH(G23)/3,0))*(地价!AD2:AH2=N25)*(地价!AD3:AH40))</f>
        <v>9.7000000000000003E-3</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3264</v>
      </c>
      <c r="D26" s="1352">
        <f>IF(E26=G26,F26,IF(G3&lt;10,ROUND(F26+(H26-F26)*(G3-E26)/(G26-E26),4),"——"))</f>
        <v>0.98019999999999996</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44" t="s">
        <v>3265</v>
      </c>
      <c r="J26" s="772" t="str">
        <f>IF(G3&gt;=10,D115,"——")</f>
        <v>——</v>
      </c>
      <c r="K26" s="1125"/>
      <c r="L26" s="2787"/>
      <c r="M26" s="2787"/>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0.83850000000000002</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1.0528</v>
      </c>
      <c r="D28" s="2052"/>
      <c r="E28" s="2077"/>
      <c r="F28" s="2077"/>
      <c r="G28" s="2077"/>
      <c r="H28" s="2077"/>
      <c r="I28" s="2077"/>
      <c r="J28" s="2078"/>
      <c r="K28" s="1125"/>
      <c r="L28" s="2787"/>
      <c r="M28" s="2787"/>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66821</v>
      </c>
      <c r="D30" s="2083"/>
      <c r="E30" s="2046"/>
      <c r="F30" s="2084"/>
      <c r="G30" s="2046"/>
      <c r="H30" s="2046"/>
      <c r="I30" s="2046"/>
      <c r="J30" s="2085"/>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1346</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18929</v>
      </c>
      <c r="D33" s="2098">
        <f>'数据-汇总表'!F27</f>
        <v>32455.11</v>
      </c>
      <c r="E33" s="773">
        <f>ROUND(C33*D33/10000,0)</f>
        <v>61434</v>
      </c>
      <c r="F33" s="3345" t="s">
        <v>3267</v>
      </c>
      <c r="G33" s="2099"/>
      <c r="H33" s="2099"/>
      <c r="I33" s="2099"/>
      <c r="J33" s="2100"/>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4732</v>
      </c>
      <c r="D34" s="2103"/>
      <c r="E34" s="773">
        <f>ROUND(IF(B25="楼层修正",SUM(V2:V16)*M40,C34*D34/10000),0)</f>
        <v>0</v>
      </c>
      <c r="F34" s="2104" t="s">
        <v>2032</v>
      </c>
      <c r="G34" s="2105"/>
      <c r="H34" s="2105"/>
      <c r="I34" s="2105"/>
      <c r="J34" s="2106"/>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41"/>
      <c r="B37" s="2113" t="s">
        <v>2036</v>
      </c>
      <c r="C37" s="175">
        <f>ROUND(D5*C22*C23*C24*C28*F37,0)</f>
        <v>11587</v>
      </c>
      <c r="D37" s="2098"/>
      <c r="E37" s="171">
        <f>ROUND(C37*D37/10000,0)</f>
        <v>0</v>
      </c>
      <c r="F37" s="171">
        <f>SUMIF(修正!A57:A68,G2,修正!B57:B68)</f>
        <v>0.6</v>
      </c>
      <c r="G37" s="171">
        <f>ROUND(IF(E2="工业",C37*$M$42,C37*$M$41),0)</f>
        <v>2897</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2"/>
      <c r="B38" s="2041" t="s">
        <v>2037</v>
      </c>
      <c r="C38" s="175">
        <f>ROUND(D5*C22*C23*C24*C28*F38,0)</f>
        <v>5793</v>
      </c>
      <c r="D38" s="2098"/>
      <c r="E38" s="171">
        <f t="shared" ref="E38:E42" si="4">ROUND(C38*D38/10000,0)</f>
        <v>0</v>
      </c>
      <c r="F38" s="171">
        <f>SUMIF(修正!A57:A68,G2,修正!C57:C68)</f>
        <v>0.3</v>
      </c>
      <c r="G38" s="171">
        <f>ROUND(IF(E2="工业",C38*$M$42,C38*$M$41),0)</f>
        <v>1448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42"/>
      <c r="B39" s="2041" t="s">
        <v>3266</v>
      </c>
      <c r="C39" s="175">
        <f>ROUND(D5*C22*C23*C24*C28*F39,0)</f>
        <v>4828</v>
      </c>
      <c r="D39" s="2098"/>
      <c r="E39" s="171">
        <f t="shared" si="4"/>
        <v>0</v>
      </c>
      <c r="F39" s="171">
        <f>SUMIF(修正!A57:A68,G2,修正!D57:D68)</f>
        <v>0.25</v>
      </c>
      <c r="G39" s="171">
        <f>ROUND(IF(E2="工业",C39*$M$42,C39*$M$41),0)</f>
        <v>1207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4828</v>
      </c>
      <c r="D40" s="2098"/>
      <c r="E40" s="171">
        <f t="shared" si="4"/>
        <v>0</v>
      </c>
      <c r="F40" s="175">
        <f>SUMIF(修正!A57:A68,G2,修正!E57:E68)</f>
        <v>0.25</v>
      </c>
      <c r="G40" s="171">
        <f>ROUND(IF(E2="工业",C40*$M$42,C40*$M$41),0)</f>
        <v>1207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5441</v>
      </c>
      <c r="D41" s="2098"/>
      <c r="E41" s="171">
        <f t="shared" si="4"/>
        <v>0</v>
      </c>
      <c r="F41" s="175">
        <f>SUMIF(修正!A57:A68,G2,修正!F57:F68)</f>
        <v>0.25</v>
      </c>
      <c r="G41" s="171">
        <f>ROUND(IF(E2="工业",C41*$M$42,C41*$M$41),0)</f>
        <v>1360</v>
      </c>
      <c r="H41" s="171">
        <f t="shared" si="5"/>
        <v>0</v>
      </c>
      <c r="I41" s="171">
        <f t="shared" si="6"/>
        <v>0</v>
      </c>
      <c r="J41" s="2114"/>
      <c r="L41" s="3359"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3265</v>
      </c>
      <c r="D42" s="2103">
        <f>'数据-汇总表'!G27</f>
        <v>16500.21</v>
      </c>
      <c r="E42" s="187">
        <f t="shared" si="4"/>
        <v>5387</v>
      </c>
      <c r="F42" s="767">
        <f>SUMIF(修正!A57:A68,G2,修正!G57:G68)</f>
        <v>0.15</v>
      </c>
      <c r="G42" s="187">
        <f>ROUND(IF(E2="工业",C42*$M$42,C42*$M$41),0)</f>
        <v>816</v>
      </c>
      <c r="H42" s="187">
        <f t="shared" si="5"/>
        <v>16500.21</v>
      </c>
      <c r="I42" s="187">
        <f t="shared" si="6"/>
        <v>1346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0.87680000000000002</v>
      </c>
      <c r="D44" s="171" t="s">
        <v>1999</v>
      </c>
      <c r="E44" s="2153">
        <f>G24</f>
        <v>5.5E-2</v>
      </c>
      <c r="F44" s="171" t="s">
        <v>2008</v>
      </c>
      <c r="G44" s="183">
        <f>项目基本情况!F15+10</f>
        <v>31.67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3468</v>
      </c>
      <c r="D50" s="1065">
        <f t="shared" ref="D50:D58" si="7">SUMIF($J$49:$N$49,C50,J50:N50)</f>
        <v>1.4800000000000001E-2</v>
      </c>
      <c r="E50" s="744">
        <f>ROUND(SUM(D50:D58),4)</f>
        <v>5.28E-2</v>
      </c>
      <c r="F50" s="1814">
        <f>IF(E2="商业",SUMIF(L1:L12,G2,N1:N12),"——")</f>
        <v>9.9000000000000005E-2</v>
      </c>
      <c r="G50" s="1063">
        <f>H50</f>
        <v>1.4800000000000001E-2</v>
      </c>
      <c r="H50" s="1066">
        <f t="shared" ref="H50:H58" si="8">IFERROR(ROUNDDOWN($F$50*I50/2,4),"——")</f>
        <v>1.4800000000000001E-2</v>
      </c>
      <c r="I50" s="3366">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3468</v>
      </c>
      <c r="D51" s="1065">
        <f t="shared" si="7"/>
        <v>1.0800000000000001E-2</v>
      </c>
      <c r="E51" s="745"/>
      <c r="F51" s="1814"/>
      <c r="G51" s="1063">
        <f t="shared" ref="G51:G58" si="12">H51</f>
        <v>1.0800000000000001E-2</v>
      </c>
      <c r="H51" s="1066">
        <f t="shared" si="8"/>
        <v>1.0800000000000001E-2</v>
      </c>
      <c r="I51" s="3366">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8" t="s">
        <v>3276</v>
      </c>
      <c r="B52" s="2134">
        <f>估价对象房地状况!C19</f>
        <v>0</v>
      </c>
      <c r="C52" s="2044" t="s">
        <v>3468</v>
      </c>
      <c r="D52" s="1065">
        <f t="shared" si="7"/>
        <v>5.8999999999999999E-3</v>
      </c>
      <c r="E52" s="745"/>
      <c r="F52" s="1814"/>
      <c r="G52" s="1063">
        <f t="shared" si="12"/>
        <v>5.8999999999999999E-3</v>
      </c>
      <c r="H52" s="1066">
        <f t="shared" si="8"/>
        <v>5.8999999999999999E-3</v>
      </c>
      <c r="I52" s="3366">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3468</v>
      </c>
      <c r="D53" s="1065">
        <f t="shared" si="7"/>
        <v>2.3999999999999998E-3</v>
      </c>
      <c r="E53" s="745"/>
      <c r="F53" s="1814"/>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3468</v>
      </c>
      <c r="D54" s="1065">
        <f t="shared" si="7"/>
        <v>3.8999999999999998E-3</v>
      </c>
      <c r="E54" s="745"/>
      <c r="F54" s="1814"/>
      <c r="G54" s="1063">
        <f t="shared" si="12"/>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3468</v>
      </c>
      <c r="D55" s="1065">
        <f t="shared" si="7"/>
        <v>2.3999999999999998E-3</v>
      </c>
      <c r="E55" s="745"/>
      <c r="F55" s="1814"/>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3468</v>
      </c>
      <c r="D56" s="1065">
        <f t="shared" si="7"/>
        <v>2.3999999999999998E-3</v>
      </c>
      <c r="E56" s="745"/>
      <c r="F56" s="1814"/>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3469</v>
      </c>
      <c r="D57" s="1065">
        <f t="shared" si="7"/>
        <v>7.7999999999999996E-3</v>
      </c>
      <c r="E57" s="745"/>
      <c r="F57" s="1814"/>
      <c r="G57" s="1063">
        <f t="shared" si="12"/>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3468</v>
      </c>
      <c r="D58" s="1065">
        <f t="shared" si="7"/>
        <v>2.3999999999999998E-3</v>
      </c>
      <c r="E58" s="746"/>
      <c r="F58" s="1814"/>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3276</v>
      </c>
      <c r="B63" s="2134">
        <f>估价对象房地状况!C19</f>
        <v>0</v>
      </c>
      <c r="C63" s="2044"/>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3276</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3277</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3280</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3276</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3281</v>
      </c>
      <c r="B96" s="3384" t="s">
        <v>3292</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3282</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3283</v>
      </c>
      <c r="B98" s="3385" t="s">
        <v>3293</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3284</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3285</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3286</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839" t="s">
        <v>3301</v>
      </c>
      <c r="B103" s="3839"/>
      <c r="C103" s="3839"/>
      <c r="D103" s="3839"/>
      <c r="E103" s="3839"/>
      <c r="F103" s="3839"/>
      <c r="G103" s="3839"/>
      <c r="H103" s="3839"/>
      <c r="I103" s="3839"/>
      <c r="J103" s="3839"/>
      <c r="K103" s="3389"/>
      <c r="L103" s="3389"/>
      <c r="M103" s="3389"/>
      <c r="N103" s="3389"/>
    </row>
    <row r="104" spans="1:14">
      <c r="A104" s="3840" t="s">
        <v>3302</v>
      </c>
      <c r="B104" s="3840" t="s">
        <v>3303</v>
      </c>
      <c r="C104" s="3390" t="s">
        <v>3304</v>
      </c>
      <c r="D104" s="3391"/>
      <c r="E104" s="3391"/>
      <c r="F104" s="3391"/>
      <c r="G104" s="3391"/>
      <c r="H104" s="3391"/>
      <c r="I104" s="3391"/>
      <c r="J104" s="3392"/>
      <c r="K104" s="3393"/>
      <c r="L104" s="3393"/>
      <c r="M104" s="3393"/>
      <c r="N104" s="3393"/>
    </row>
    <row r="105" spans="1:14">
      <c r="A105" s="3840"/>
      <c r="B105" s="3840"/>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826"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2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2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2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2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27"/>
      <c r="B111" s="3394" t="s">
        <v>3275</v>
      </c>
      <c r="C111" s="3395">
        <f>$I$3</f>
        <v>6</v>
      </c>
      <c r="D111" s="3395">
        <f t="shared" ref="D111:M111" si="33">$I$3</f>
        <v>6</v>
      </c>
      <c r="E111" s="3395">
        <f t="shared" si="33"/>
        <v>6</v>
      </c>
      <c r="F111" s="3395">
        <f t="shared" si="33"/>
        <v>6</v>
      </c>
      <c r="G111" s="3395">
        <f t="shared" si="33"/>
        <v>6</v>
      </c>
      <c r="H111" s="3395">
        <f t="shared" si="33"/>
        <v>6</v>
      </c>
      <c r="I111" s="3395">
        <f t="shared" si="33"/>
        <v>6</v>
      </c>
      <c r="J111" s="3395">
        <f t="shared" si="33"/>
        <v>6</v>
      </c>
      <c r="K111" s="3395">
        <f t="shared" si="33"/>
        <v>6</v>
      </c>
      <c r="L111" s="3395">
        <f t="shared" si="33"/>
        <v>6</v>
      </c>
      <c r="M111" s="3395">
        <f t="shared" si="33"/>
        <v>6</v>
      </c>
      <c r="N111" s="3395">
        <f>$I$3</f>
        <v>6</v>
      </c>
    </row>
    <row r="112" spans="1:14">
      <c r="A112" s="3828"/>
      <c r="B112" s="3394">
        <v>6</v>
      </c>
      <c r="C112" s="3387">
        <f>(-0.5556*(C111^2)-0.2719*C111+8944)*(10^(-4))</f>
        <v>0.8922367000000001</v>
      </c>
      <c r="D112" s="3387">
        <f>(-0.5556*(D111^2)-0.2719*D111+8944)*(10^(-4))</f>
        <v>0.8922367000000001</v>
      </c>
      <c r="E112" s="3387">
        <f>(-0.7912*(E111^2)-11.3794*E111+8482)*(10^(-4))</f>
        <v>0.83852404000000014</v>
      </c>
      <c r="F112" s="3387">
        <f t="shared" ref="F112:I112" si="34">(-0.7912*(F111^2)-11.3794*F111+8482)*(10^(-4))</f>
        <v>0.83852404000000014</v>
      </c>
      <c r="G112" s="3387">
        <f t="shared" si="34"/>
        <v>0.83852404000000014</v>
      </c>
      <c r="H112" s="3387">
        <f t="shared" si="34"/>
        <v>0.83852404000000014</v>
      </c>
      <c r="I112" s="3387">
        <f t="shared" si="34"/>
        <v>0.83852404000000014</v>
      </c>
      <c r="J112" s="3387">
        <f>(-0.989*(J111^2)-63.78*J111+7771)*(10^(-4))</f>
        <v>0.73527160000000003</v>
      </c>
      <c r="K112" s="3387">
        <f t="shared" ref="K112:N112" si="35">(-0.989*(K111^2)-63.78*K111+7771)*(10^(-4))</f>
        <v>0.73527160000000003</v>
      </c>
      <c r="L112" s="3387">
        <f t="shared" si="35"/>
        <v>0.73527160000000003</v>
      </c>
      <c r="M112" s="3387">
        <f t="shared" si="35"/>
        <v>0.73527160000000003</v>
      </c>
      <c r="N112" s="3387">
        <f t="shared" si="35"/>
        <v>0.73527160000000003</v>
      </c>
    </row>
    <row r="113" spans="1:14">
      <c r="A113" s="3829" t="s">
        <v>3318</v>
      </c>
      <c r="B113" s="3829"/>
      <c r="C113" s="3829"/>
      <c r="D113" s="3829"/>
      <c r="E113" s="3829"/>
      <c r="F113" s="3829"/>
      <c r="G113" s="3829"/>
      <c r="H113" s="3829"/>
      <c r="I113" s="3829"/>
      <c r="J113" s="382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2.85</v>
      </c>
      <c r="C116" s="3399" t="s">
        <v>3320</v>
      </c>
      <c r="D116" s="3400">
        <f>SUMPRODUCT((A118:A122=F116)*(B117:M117=H116)*B118:M122)</f>
        <v>0.90910000000000002</v>
      </c>
      <c r="E116" s="2000" t="s">
        <v>3321</v>
      </c>
      <c r="F116" s="3401" t="str">
        <f>E2</f>
        <v>商业</v>
      </c>
      <c r="G116" s="2000" t="s">
        <v>3322</v>
      </c>
      <c r="H116" s="3401" t="str">
        <f>G2</f>
        <v>三级</v>
      </c>
      <c r="I116" s="2000"/>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0.96550000000000002</v>
      </c>
      <c r="C118" s="3387">
        <f>B118</f>
        <v>0.96550000000000002</v>
      </c>
      <c r="D118" s="3387">
        <f>ROUND(0.949-0.014*B116,4)</f>
        <v>0.90910000000000002</v>
      </c>
      <c r="E118" s="3387">
        <f>D118</f>
        <v>0.90910000000000002</v>
      </c>
      <c r="F118" s="3387">
        <f>E118</f>
        <v>0.90910000000000002</v>
      </c>
      <c r="G118" s="3387">
        <f>F118</f>
        <v>0.90910000000000002</v>
      </c>
      <c r="H118" s="3387">
        <f>G118</f>
        <v>0.90910000000000002</v>
      </c>
      <c r="I118" s="3387">
        <f>ROUND(0.8486-0.018*B116,4)</f>
        <v>0.79730000000000001</v>
      </c>
      <c r="J118" s="3387">
        <f t="shared" ref="J118:M122" si="36">I118</f>
        <v>0.79730000000000001</v>
      </c>
      <c r="K118" s="3387">
        <f t="shared" si="36"/>
        <v>0.79730000000000001</v>
      </c>
      <c r="L118" s="3387">
        <f t="shared" si="36"/>
        <v>0.79730000000000001</v>
      </c>
      <c r="M118" s="3410">
        <f t="shared" si="36"/>
        <v>0.79730000000000001</v>
      </c>
      <c r="N118" s="3397"/>
    </row>
    <row r="119" spans="1:14">
      <c r="A119" s="3409" t="s">
        <v>3336</v>
      </c>
      <c r="B119" s="3387">
        <f>ROUND(0.993-0.0112*B116,4)</f>
        <v>0.96109999999999995</v>
      </c>
      <c r="C119" s="3387">
        <f>B119</f>
        <v>0.96109999999999995</v>
      </c>
      <c r="D119" s="3387">
        <f>ROUND(0.9415-0.0142*B116,4)</f>
        <v>0.90100000000000002</v>
      </c>
      <c r="E119" s="3387">
        <f t="shared" ref="E119:H120" si="37">D119</f>
        <v>0.90100000000000002</v>
      </c>
      <c r="F119" s="3387">
        <f t="shared" si="37"/>
        <v>0.90100000000000002</v>
      </c>
      <c r="G119" s="3387">
        <f t="shared" si="37"/>
        <v>0.90100000000000002</v>
      </c>
      <c r="H119" s="3387">
        <f t="shared" si="37"/>
        <v>0.90100000000000002</v>
      </c>
      <c r="I119" s="3387">
        <f>ROUND(0.838-0.0182*B116,4)</f>
        <v>0.78610000000000002</v>
      </c>
      <c r="J119" s="3387">
        <f t="shared" si="36"/>
        <v>0.78610000000000002</v>
      </c>
      <c r="K119" s="3387">
        <f t="shared" si="36"/>
        <v>0.78610000000000002</v>
      </c>
      <c r="L119" s="3387">
        <f t="shared" si="36"/>
        <v>0.78610000000000002</v>
      </c>
      <c r="M119" s="3410">
        <f t="shared" si="36"/>
        <v>0.78610000000000002</v>
      </c>
      <c r="N119" s="3397"/>
    </row>
    <row r="120" spans="1:14">
      <c r="A120" s="3409" t="s">
        <v>3337</v>
      </c>
      <c r="B120" s="3387">
        <f>ROUND(0.9448-0.0115*B116,4)</f>
        <v>0.91200000000000003</v>
      </c>
      <c r="C120" s="3387">
        <f>B120</f>
        <v>0.91200000000000003</v>
      </c>
      <c r="D120" s="3387">
        <f>ROUND(0.937-0.0145*B116,4)</f>
        <v>0.89570000000000005</v>
      </c>
      <c r="E120" s="3387">
        <f t="shared" si="37"/>
        <v>0.89570000000000005</v>
      </c>
      <c r="F120" s="3387">
        <f t="shared" si="37"/>
        <v>0.89570000000000005</v>
      </c>
      <c r="G120" s="3387">
        <f t="shared" si="37"/>
        <v>0.89570000000000005</v>
      </c>
      <c r="H120" s="3387">
        <f t="shared" si="37"/>
        <v>0.89570000000000005</v>
      </c>
      <c r="I120" s="3387">
        <f>ROUND(0.7965-0.0185*B116,4)</f>
        <v>0.74380000000000002</v>
      </c>
      <c r="J120" s="3387">
        <f t="shared" si="36"/>
        <v>0.74380000000000002</v>
      </c>
      <c r="K120" s="3387">
        <f t="shared" si="36"/>
        <v>0.74380000000000002</v>
      </c>
      <c r="L120" s="3387">
        <f t="shared" si="36"/>
        <v>0.74380000000000002</v>
      </c>
      <c r="M120" s="3410">
        <f t="shared" si="36"/>
        <v>0.74380000000000002</v>
      </c>
      <c r="N120" s="3397"/>
    </row>
    <row r="121" spans="1:14" ht="13.5" thickBot="1">
      <c r="A121" s="3411" t="s">
        <v>3338</v>
      </c>
      <c r="B121" s="3412">
        <f>ROUND(0.7836-0.012*B116,4)</f>
        <v>0.74939999999999996</v>
      </c>
      <c r="C121" s="3412">
        <f>B121</f>
        <v>0.74939999999999996</v>
      </c>
      <c r="D121" s="3412">
        <f>ROUND(0.753-0.015*B116,4)</f>
        <v>0.71030000000000004</v>
      </c>
      <c r="E121" s="3412">
        <f>D121</f>
        <v>0.71030000000000004</v>
      </c>
      <c r="F121" s="3412">
        <f>E121</f>
        <v>0.71030000000000004</v>
      </c>
      <c r="G121" s="3412">
        <f>ROUND(0.6612-0.018*B116,4)</f>
        <v>0.6099</v>
      </c>
      <c r="H121" s="3412">
        <f>G121</f>
        <v>0.6099</v>
      </c>
      <c r="I121" s="3412">
        <f>ROUND(0.5905-0.019*B116,4)</f>
        <v>0.53639999999999999</v>
      </c>
      <c r="J121" s="3412">
        <f t="shared" si="36"/>
        <v>0.53639999999999999</v>
      </c>
      <c r="K121" s="3412">
        <f t="shared" si="36"/>
        <v>0.53639999999999999</v>
      </c>
      <c r="L121" s="3412">
        <f t="shared" si="36"/>
        <v>0.53639999999999999</v>
      </c>
      <c r="M121" s="3413">
        <f t="shared" si="36"/>
        <v>0.53639999999999999</v>
      </c>
      <c r="N121" s="3397"/>
    </row>
    <row r="122" spans="1:14">
      <c r="A122" s="3414" t="s">
        <v>2615</v>
      </c>
      <c r="B122" s="3387">
        <f>ROUND(0.9404-0.0106*B116,4)</f>
        <v>0.91020000000000001</v>
      </c>
      <c r="C122" s="3387">
        <f>B122</f>
        <v>0.91020000000000001</v>
      </c>
      <c r="D122" s="3387">
        <f>ROUND(0.8955-0.0135*B116,4)</f>
        <v>0.85699999999999998</v>
      </c>
      <c r="E122" s="3387">
        <f t="shared" ref="E122:H122" si="38">D122</f>
        <v>0.85699999999999998</v>
      </c>
      <c r="F122" s="3387">
        <f t="shared" si="38"/>
        <v>0.85699999999999998</v>
      </c>
      <c r="G122" s="3387">
        <f t="shared" si="38"/>
        <v>0.85699999999999998</v>
      </c>
      <c r="H122" s="3387">
        <f t="shared" si="38"/>
        <v>0.85699999999999998</v>
      </c>
      <c r="I122" s="3387">
        <f>ROUND(0.7632-0.0166*B116,4)</f>
        <v>0.71589999999999998</v>
      </c>
      <c r="J122" s="3387">
        <f t="shared" si="36"/>
        <v>0.71589999999999998</v>
      </c>
      <c r="K122" s="3387">
        <f t="shared" si="36"/>
        <v>0.71589999999999998</v>
      </c>
      <c r="L122" s="3387">
        <f t="shared" si="36"/>
        <v>0.71589999999999998</v>
      </c>
      <c r="M122" s="3410">
        <f t="shared" si="36"/>
        <v>0.71589999999999998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54" t="s">
        <v>2610</v>
      </c>
      <c r="B20" s="3849" t="s">
        <v>2631</v>
      </c>
      <c r="C20" s="3102" t="s">
        <v>2442</v>
      </c>
      <c r="D20" s="3103"/>
      <c r="E20" s="3104">
        <v>1</v>
      </c>
      <c r="F20" s="3105" t="s">
        <v>2443</v>
      </c>
      <c r="G20" s="3105"/>
    </row>
    <row r="21" spans="1:13" ht="19.5" customHeight="1">
      <c r="A21" s="3855"/>
      <c r="B21" s="3848"/>
      <c r="C21" s="3106" t="s">
        <v>2444</v>
      </c>
      <c r="D21" s="3107"/>
      <c r="E21" s="3108">
        <v>1</v>
      </c>
      <c r="F21" s="3105" t="s">
        <v>2445</v>
      </c>
      <c r="G21" s="3105"/>
    </row>
    <row r="22" spans="1:13" ht="19.5" customHeight="1">
      <c r="A22" s="3855"/>
      <c r="B22" s="3848"/>
      <c r="C22" s="3106" t="s">
        <v>2446</v>
      </c>
      <c r="D22" s="3107"/>
      <c r="E22" s="3108">
        <v>0.9</v>
      </c>
      <c r="F22" s="3105" t="s">
        <v>2447</v>
      </c>
      <c r="G22" s="3105"/>
    </row>
    <row r="23" spans="1:13" ht="19.5" customHeight="1">
      <c r="A23" s="3855"/>
      <c r="B23" s="3848"/>
      <c r="C23" s="3106" t="s">
        <v>2448</v>
      </c>
      <c r="D23" s="3107"/>
      <c r="E23" s="3108">
        <v>0.9</v>
      </c>
      <c r="F23" s="3105" t="s">
        <v>2449</v>
      </c>
      <c r="G23" s="3105"/>
    </row>
    <row r="24" spans="1:13" ht="19.5" customHeight="1">
      <c r="A24" s="3855"/>
      <c r="B24" s="3848"/>
      <c r="C24" s="3106" t="s">
        <v>2450</v>
      </c>
      <c r="D24" s="3107"/>
      <c r="E24" s="3108">
        <v>0.8</v>
      </c>
      <c r="F24" s="3105" t="s">
        <v>2451</v>
      </c>
      <c r="G24" s="3105"/>
    </row>
    <row r="25" spans="1:13" ht="19.5" customHeight="1" thickBot="1">
      <c r="A25" s="3856"/>
      <c r="B25" s="385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51" t="s">
        <v>2634</v>
      </c>
      <c r="B27" s="3849" t="s">
        <v>2615</v>
      </c>
      <c r="C27" s="3102" t="s">
        <v>2455</v>
      </c>
      <c r="D27" s="3103"/>
      <c r="E27" s="3104">
        <v>1</v>
      </c>
      <c r="F27" s="3105" t="s">
        <v>2456</v>
      </c>
      <c r="G27" s="3105"/>
    </row>
    <row r="28" spans="1:13" ht="19.5" customHeight="1">
      <c r="A28" s="3852"/>
      <c r="B28" s="3848"/>
      <c r="C28" s="3106" t="s">
        <v>2457</v>
      </c>
      <c r="D28" s="3107"/>
      <c r="E28" s="3108">
        <v>1</v>
      </c>
      <c r="F28" s="3105" t="s">
        <v>2458</v>
      </c>
      <c r="G28" s="3105"/>
    </row>
    <row r="29" spans="1:13" ht="19.5" customHeight="1">
      <c r="A29" s="3852"/>
      <c r="B29" s="3848"/>
      <c r="C29" s="3106" t="s">
        <v>2459</v>
      </c>
      <c r="D29" s="3107"/>
      <c r="E29" s="3108">
        <v>0.8</v>
      </c>
      <c r="F29" s="3105" t="s">
        <v>2460</v>
      </c>
      <c r="G29" s="3105"/>
    </row>
    <row r="30" spans="1:13" ht="19.5" customHeight="1">
      <c r="A30" s="3852"/>
      <c r="B30" s="3848"/>
      <c r="C30" s="3106" t="s">
        <v>2461</v>
      </c>
      <c r="D30" s="3107"/>
      <c r="E30" s="3108">
        <v>0.8</v>
      </c>
      <c r="F30" s="3105" t="s">
        <v>2462</v>
      </c>
      <c r="G30" s="3105"/>
    </row>
    <row r="31" spans="1:13" ht="19.5" customHeight="1">
      <c r="A31" s="3852"/>
      <c r="B31" s="3848"/>
      <c r="C31" s="3106" t="s">
        <v>2463</v>
      </c>
      <c r="D31" s="3107"/>
      <c r="E31" s="3108">
        <v>0.8</v>
      </c>
      <c r="F31" s="3105" t="s">
        <v>2464</v>
      </c>
      <c r="G31" s="3105"/>
    </row>
    <row r="32" spans="1:13" ht="19.5" customHeight="1">
      <c r="A32" s="3852"/>
      <c r="B32" s="3848"/>
      <c r="C32" s="3106" t="s">
        <v>2465</v>
      </c>
      <c r="D32" s="3107"/>
      <c r="E32" s="3108">
        <v>0.7</v>
      </c>
      <c r="F32" s="3105" t="s">
        <v>2466</v>
      </c>
      <c r="G32" s="3105"/>
    </row>
    <row r="33" spans="1:7" ht="19.5" customHeight="1">
      <c r="A33" s="3852"/>
      <c r="B33" s="3848"/>
      <c r="C33" s="3106" t="s">
        <v>2467</v>
      </c>
      <c r="D33" s="3107"/>
      <c r="E33" s="3108">
        <v>0.8</v>
      </c>
      <c r="F33" s="3105" t="s">
        <v>2468</v>
      </c>
      <c r="G33" s="3105"/>
    </row>
    <row r="34" spans="1:7" ht="19.5" customHeight="1">
      <c r="A34" s="3852"/>
      <c r="B34" s="3848"/>
      <c r="C34" s="3106" t="s">
        <v>2469</v>
      </c>
      <c r="D34" s="3107"/>
      <c r="E34" s="3108">
        <v>0.6</v>
      </c>
      <c r="F34" s="3105" t="s">
        <v>2470</v>
      </c>
      <c r="G34" s="3105"/>
    </row>
    <row r="35" spans="1:7" ht="19.5" customHeight="1">
      <c r="A35" s="3852"/>
      <c r="B35" s="3848"/>
      <c r="C35" s="3106" t="s">
        <v>2471</v>
      </c>
      <c r="D35" s="3107"/>
      <c r="E35" s="3108">
        <v>0.2</v>
      </c>
      <c r="F35" s="3105" t="s">
        <v>2472</v>
      </c>
      <c r="G35" s="3105"/>
    </row>
    <row r="36" spans="1:7" ht="19.5" customHeight="1">
      <c r="A36" s="3852"/>
      <c r="B36" s="3848"/>
      <c r="C36" s="3106" t="s">
        <v>2473</v>
      </c>
      <c r="D36" s="3107"/>
      <c r="E36" s="3108">
        <v>0.2</v>
      </c>
      <c r="F36" s="3105" t="s">
        <v>2474</v>
      </c>
      <c r="G36" s="3105"/>
    </row>
    <row r="37" spans="1:7" ht="19.5" customHeight="1">
      <c r="A37" s="3852"/>
      <c r="B37" s="3846" t="s">
        <v>2635</v>
      </c>
      <c r="C37" s="3106" t="s">
        <v>2475</v>
      </c>
      <c r="D37" s="3107"/>
      <c r="E37" s="3108">
        <v>0.6</v>
      </c>
      <c r="F37" s="3105" t="s">
        <v>2476</v>
      </c>
      <c r="G37" s="3105"/>
    </row>
    <row r="38" spans="1:7" ht="19.5" customHeight="1">
      <c r="A38" s="3852"/>
      <c r="B38" s="3848"/>
      <c r="C38" s="3106" t="s">
        <v>2477</v>
      </c>
      <c r="D38" s="3107"/>
      <c r="E38" s="3108">
        <v>0.6</v>
      </c>
      <c r="F38" s="3105" t="s">
        <v>2478</v>
      </c>
      <c r="G38" s="3105"/>
    </row>
    <row r="39" spans="1:7" ht="19.5" customHeight="1" thickBot="1">
      <c r="A39" s="3853"/>
      <c r="B39" s="385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54" t="s">
        <v>2613</v>
      </c>
      <c r="B41" s="3849" t="s">
        <v>2637</v>
      </c>
      <c r="C41" s="3102" t="s">
        <v>2482</v>
      </c>
      <c r="D41" s="3103"/>
      <c r="E41" s="3104">
        <v>1</v>
      </c>
      <c r="F41" s="3105" t="s">
        <v>2483</v>
      </c>
      <c r="G41" s="3105"/>
    </row>
    <row r="42" spans="1:7" ht="19.5" customHeight="1">
      <c r="A42" s="3855"/>
      <c r="B42" s="3848"/>
      <c r="C42" s="3106" t="s">
        <v>2484</v>
      </c>
      <c r="D42" s="3107"/>
      <c r="E42" s="3108">
        <v>1</v>
      </c>
      <c r="F42" s="3105" t="s">
        <v>2485</v>
      </c>
      <c r="G42" s="3105"/>
    </row>
    <row r="43" spans="1:7" ht="19.5" customHeight="1">
      <c r="A43" s="3855"/>
      <c r="B43" s="3847"/>
      <c r="C43" s="3106" t="s">
        <v>2486</v>
      </c>
      <c r="D43" s="3107"/>
      <c r="E43" s="3108">
        <v>1.5</v>
      </c>
      <c r="F43" s="3105" t="s">
        <v>2487</v>
      </c>
      <c r="G43" s="3105"/>
    </row>
    <row r="44" spans="1:7" ht="19.5" customHeight="1">
      <c r="A44" s="3855"/>
      <c r="B44" s="3117" t="s">
        <v>2638</v>
      </c>
      <c r="C44" s="3106" t="s">
        <v>2639</v>
      </c>
      <c r="D44" s="3107"/>
      <c r="E44" s="3108">
        <v>2</v>
      </c>
      <c r="F44" s="3105" t="s">
        <v>2488</v>
      </c>
      <c r="G44" s="3105"/>
    </row>
    <row r="45" spans="1:7" ht="19.5" customHeight="1">
      <c r="A45" s="3855"/>
      <c r="B45" s="3846" t="s">
        <v>2640</v>
      </c>
      <c r="C45" s="3106" t="s">
        <v>2489</v>
      </c>
      <c r="D45" s="3107"/>
      <c r="E45" s="3108">
        <v>1</v>
      </c>
      <c r="F45" s="3105" t="s">
        <v>2490</v>
      </c>
      <c r="G45" s="3105"/>
    </row>
    <row r="46" spans="1:7" ht="19.5" customHeight="1">
      <c r="A46" s="3855"/>
      <c r="B46" s="3848"/>
      <c r="C46" s="3106" t="s">
        <v>2491</v>
      </c>
      <c r="D46" s="3107"/>
      <c r="E46" s="3108">
        <v>1</v>
      </c>
      <c r="F46" s="3105" t="s">
        <v>2492</v>
      </c>
      <c r="G46" s="3105"/>
    </row>
    <row r="47" spans="1:7" ht="19.5" customHeight="1">
      <c r="A47" s="3855"/>
      <c r="B47" s="3848"/>
      <c r="C47" s="3106" t="s">
        <v>2493</v>
      </c>
      <c r="D47" s="3107"/>
      <c r="E47" s="3108">
        <v>1</v>
      </c>
      <c r="F47" s="3105" t="s">
        <v>2494</v>
      </c>
      <c r="G47" s="3105"/>
    </row>
    <row r="48" spans="1:7" ht="19.5" customHeight="1">
      <c r="A48" s="3855"/>
      <c r="B48" s="3848"/>
      <c r="C48" s="3106" t="s">
        <v>2495</v>
      </c>
      <c r="D48" s="3107"/>
      <c r="E48" s="3108">
        <v>1</v>
      </c>
      <c r="F48" s="3105" t="s">
        <v>2496</v>
      </c>
      <c r="G48" s="3105"/>
    </row>
    <row r="49" spans="1:7" ht="19.5" customHeight="1">
      <c r="A49" s="3855"/>
      <c r="B49" s="3848"/>
      <c r="C49" s="3106" t="s">
        <v>2497</v>
      </c>
      <c r="D49" s="3107"/>
      <c r="E49" s="3108">
        <v>1</v>
      </c>
      <c r="F49" s="3105" t="s">
        <v>2498</v>
      </c>
      <c r="G49" s="3105"/>
    </row>
    <row r="50" spans="1:7" ht="19.5" customHeight="1">
      <c r="A50" s="3855"/>
      <c r="B50" s="3848"/>
      <c r="C50" s="3106" t="s">
        <v>2499</v>
      </c>
      <c r="D50" s="3107"/>
      <c r="E50" s="3108">
        <v>1</v>
      </c>
      <c r="F50" s="3105" t="s">
        <v>2500</v>
      </c>
      <c r="G50" s="3105"/>
    </row>
    <row r="51" spans="1:7" ht="19.5" customHeight="1" thickBot="1">
      <c r="A51" s="3856"/>
      <c r="B51" s="385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46" t="s">
        <v>2654</v>
      </c>
      <c r="C73" s="3091" t="s">
        <v>2655</v>
      </c>
      <c r="D73" s="3091" t="s">
        <v>2656</v>
      </c>
      <c r="E73" s="3117">
        <v>0.2</v>
      </c>
      <c r="F73" s="3117">
        <v>25</v>
      </c>
    </row>
    <row r="74" spans="1:7" ht="24">
      <c r="A74" s="3117">
        <v>2</v>
      </c>
      <c r="B74" s="3848"/>
      <c r="C74" s="3091" t="s">
        <v>2657</v>
      </c>
      <c r="D74" s="3091" t="s">
        <v>2658</v>
      </c>
      <c r="E74" s="3117">
        <v>0.2</v>
      </c>
      <c r="F74" s="3117">
        <v>25</v>
      </c>
    </row>
    <row r="75" spans="1:7" ht="24">
      <c r="A75" s="3117">
        <v>3</v>
      </c>
      <c r="B75" s="3848"/>
      <c r="C75" s="3091" t="s">
        <v>2659</v>
      </c>
      <c r="D75" s="3091" t="s">
        <v>2660</v>
      </c>
      <c r="E75" s="3117">
        <v>0.2</v>
      </c>
      <c r="F75" s="3117">
        <v>25</v>
      </c>
    </row>
    <row r="76" spans="1:7" ht="13.5">
      <c r="A76" s="3117">
        <v>4</v>
      </c>
      <c r="B76" s="3848"/>
      <c r="C76" s="3091" t="s">
        <v>2661</v>
      </c>
      <c r="D76" s="3091" t="s">
        <v>2662</v>
      </c>
      <c r="E76" s="3117">
        <v>0.15</v>
      </c>
      <c r="F76" s="3117">
        <v>20</v>
      </c>
    </row>
    <row r="77" spans="1:7" ht="24">
      <c r="A77" s="3117">
        <v>5</v>
      </c>
      <c r="B77" s="3848"/>
      <c r="C77" s="3091" t="s">
        <v>2663</v>
      </c>
      <c r="D77" s="3091" t="s">
        <v>2664</v>
      </c>
      <c r="E77" s="3117">
        <v>0.15</v>
      </c>
      <c r="F77" s="3117">
        <v>20</v>
      </c>
    </row>
    <row r="78" spans="1:7" ht="24">
      <c r="A78" s="3117">
        <v>6</v>
      </c>
      <c r="B78" s="3848"/>
      <c r="C78" s="3091" t="s">
        <v>2665</v>
      </c>
      <c r="D78" s="3091" t="s">
        <v>2666</v>
      </c>
      <c r="E78" s="3117">
        <v>0.15</v>
      </c>
      <c r="F78" s="3117">
        <v>20</v>
      </c>
    </row>
    <row r="79" spans="1:7" ht="24">
      <c r="A79" s="3117">
        <v>7</v>
      </c>
      <c r="B79" s="3848"/>
      <c r="C79" s="3091" t="s">
        <v>2667</v>
      </c>
      <c r="D79" s="3091" t="s">
        <v>2668</v>
      </c>
      <c r="E79" s="3117">
        <v>0.15</v>
      </c>
      <c r="F79" s="3117">
        <v>20</v>
      </c>
    </row>
    <row r="80" spans="1:7" ht="24">
      <c r="A80" s="3117">
        <v>8</v>
      </c>
      <c r="B80" s="3848"/>
      <c r="C80" s="3091" t="s">
        <v>2669</v>
      </c>
      <c r="D80" s="3091" t="s">
        <v>2670</v>
      </c>
      <c r="E80" s="3117">
        <v>0.1</v>
      </c>
      <c r="F80" s="3117">
        <v>15</v>
      </c>
    </row>
    <row r="81" spans="1:6" ht="24">
      <c r="A81" s="3117">
        <v>9</v>
      </c>
      <c r="B81" s="3848"/>
      <c r="C81" s="3091" t="s">
        <v>2671</v>
      </c>
      <c r="D81" s="3091" t="s">
        <v>2672</v>
      </c>
      <c r="E81" s="3117">
        <v>0.1</v>
      </c>
      <c r="F81" s="3117">
        <v>15</v>
      </c>
    </row>
    <row r="82" spans="1:6" ht="24">
      <c r="A82" s="3117">
        <v>10</v>
      </c>
      <c r="B82" s="3848"/>
      <c r="C82" s="3091" t="s">
        <v>2673</v>
      </c>
      <c r="D82" s="3091" t="s">
        <v>2674</v>
      </c>
      <c r="E82" s="3117">
        <v>0.1</v>
      </c>
      <c r="F82" s="3117">
        <v>15</v>
      </c>
    </row>
    <row r="83" spans="1:6" ht="24">
      <c r="A83" s="3117">
        <v>11</v>
      </c>
      <c r="B83" s="3848"/>
      <c r="C83" s="3091" t="s">
        <v>2675</v>
      </c>
      <c r="D83" s="3091" t="s">
        <v>2676</v>
      </c>
      <c r="E83" s="3117">
        <v>0.1</v>
      </c>
      <c r="F83" s="3117">
        <v>15</v>
      </c>
    </row>
    <row r="84" spans="1:6" ht="24">
      <c r="A84" s="3117">
        <v>12</v>
      </c>
      <c r="B84" s="3848"/>
      <c r="C84" s="3091" t="s">
        <v>2677</v>
      </c>
      <c r="D84" s="3091" t="s">
        <v>2678</v>
      </c>
      <c r="E84" s="3117">
        <v>0.1</v>
      </c>
      <c r="F84" s="3117">
        <v>15</v>
      </c>
    </row>
    <row r="85" spans="1:6" ht="13.5">
      <c r="A85" s="3117">
        <v>13</v>
      </c>
      <c r="B85" s="3848"/>
      <c r="C85" s="3091" t="s">
        <v>2679</v>
      </c>
      <c r="D85" s="3091" t="s">
        <v>2680</v>
      </c>
      <c r="E85" s="3117">
        <v>0.1</v>
      </c>
      <c r="F85" s="3117">
        <v>15</v>
      </c>
    </row>
    <row r="86" spans="1:6" ht="13.5">
      <c r="A86" s="3117">
        <v>14</v>
      </c>
      <c r="B86" s="3848"/>
      <c r="C86" s="3091" t="s">
        <v>2681</v>
      </c>
      <c r="D86" s="3091" t="s">
        <v>2682</v>
      </c>
      <c r="E86" s="3117">
        <v>0.1</v>
      </c>
      <c r="F86" s="3117">
        <v>15</v>
      </c>
    </row>
    <row r="87" spans="1:6" ht="13.5">
      <c r="A87" s="3117">
        <v>15</v>
      </c>
      <c r="B87" s="3848"/>
      <c r="C87" s="3091" t="s">
        <v>2683</v>
      </c>
      <c r="D87" s="3091" t="s">
        <v>2684</v>
      </c>
      <c r="E87" s="3117">
        <v>0.1</v>
      </c>
      <c r="F87" s="3117">
        <v>15</v>
      </c>
    </row>
    <row r="88" spans="1:6" ht="24">
      <c r="A88" s="3117">
        <v>16</v>
      </c>
      <c r="B88" s="3848"/>
      <c r="C88" s="3091" t="s">
        <v>2685</v>
      </c>
      <c r="D88" s="3091" t="s">
        <v>2686</v>
      </c>
      <c r="E88" s="3117">
        <v>0.1</v>
      </c>
      <c r="F88" s="3117">
        <v>15</v>
      </c>
    </row>
    <row r="89" spans="1:6" ht="24">
      <c r="A89" s="3117">
        <v>17</v>
      </c>
      <c r="B89" s="3847"/>
      <c r="C89" s="3091" t="s">
        <v>2687</v>
      </c>
      <c r="D89" s="3091" t="s">
        <v>2688</v>
      </c>
      <c r="E89" s="3117">
        <v>0.1</v>
      </c>
      <c r="F89" s="3117">
        <v>15</v>
      </c>
    </row>
    <row r="90" spans="1:6" ht="13.5">
      <c r="A90" s="3117">
        <v>18</v>
      </c>
      <c r="B90" s="3846" t="s">
        <v>2689</v>
      </c>
      <c r="C90" s="3091" t="s">
        <v>2690</v>
      </c>
      <c r="D90" s="3091" t="s">
        <v>2691</v>
      </c>
      <c r="E90" s="3117">
        <v>0.2</v>
      </c>
      <c r="F90" s="3117">
        <v>25</v>
      </c>
    </row>
    <row r="91" spans="1:6" ht="24">
      <c r="A91" s="3117">
        <v>19</v>
      </c>
      <c r="B91" s="3848"/>
      <c r="C91" s="3091" t="s">
        <v>2692</v>
      </c>
      <c r="D91" s="3091" t="s">
        <v>2693</v>
      </c>
      <c r="E91" s="3117">
        <v>0.2</v>
      </c>
      <c r="F91" s="3117">
        <v>25</v>
      </c>
    </row>
    <row r="92" spans="1:6" ht="13.5">
      <c r="A92" s="3117">
        <v>20</v>
      </c>
      <c r="B92" s="3848"/>
      <c r="C92" s="3091" t="s">
        <v>2694</v>
      </c>
      <c r="D92" s="3091" t="s">
        <v>2695</v>
      </c>
      <c r="E92" s="3117">
        <v>0.15</v>
      </c>
      <c r="F92" s="3117">
        <v>20</v>
      </c>
    </row>
    <row r="93" spans="1:6" ht="13.5">
      <c r="A93" s="3117">
        <v>21</v>
      </c>
      <c r="B93" s="3848"/>
      <c r="C93" s="3091" t="s">
        <v>2696</v>
      </c>
      <c r="D93" s="3091" t="s">
        <v>2697</v>
      </c>
      <c r="E93" s="3117">
        <v>0.15</v>
      </c>
      <c r="F93" s="3117">
        <v>20</v>
      </c>
    </row>
    <row r="94" spans="1:6" ht="13.5">
      <c r="A94" s="3117">
        <v>22</v>
      </c>
      <c r="B94" s="3848"/>
      <c r="C94" s="3091" t="s">
        <v>2698</v>
      </c>
      <c r="D94" s="3091" t="s">
        <v>2699</v>
      </c>
      <c r="E94" s="3117">
        <v>0.15</v>
      </c>
      <c r="F94" s="3117">
        <v>20</v>
      </c>
    </row>
    <row r="95" spans="1:6" ht="36">
      <c r="A95" s="3117">
        <v>23</v>
      </c>
      <c r="B95" s="3848"/>
      <c r="C95" s="3091" t="s">
        <v>2700</v>
      </c>
      <c r="D95" s="3091" t="s">
        <v>2701</v>
      </c>
      <c r="E95" s="3117">
        <v>0.15</v>
      </c>
      <c r="F95" s="3117">
        <v>20</v>
      </c>
    </row>
    <row r="96" spans="1:6" ht="13.5">
      <c r="A96" s="3117">
        <v>24</v>
      </c>
      <c r="B96" s="3848"/>
      <c r="C96" s="3091" t="s">
        <v>2702</v>
      </c>
      <c r="D96" s="3091" t="s">
        <v>2703</v>
      </c>
      <c r="E96" s="3117">
        <v>0.1</v>
      </c>
      <c r="F96" s="3117">
        <v>15</v>
      </c>
    </row>
    <row r="97" spans="1:6" ht="13.5">
      <c r="A97" s="3117">
        <v>25</v>
      </c>
      <c r="B97" s="3848"/>
      <c r="C97" s="3091" t="s">
        <v>2704</v>
      </c>
      <c r="D97" s="3091" t="s">
        <v>2705</v>
      </c>
      <c r="E97" s="3117">
        <v>0.1</v>
      </c>
      <c r="F97" s="3117">
        <v>15</v>
      </c>
    </row>
    <row r="98" spans="1:6" ht="24">
      <c r="A98" s="3117">
        <v>26</v>
      </c>
      <c r="B98" s="3848"/>
      <c r="C98" s="3091" t="s">
        <v>2706</v>
      </c>
      <c r="D98" s="3091" t="s">
        <v>2707</v>
      </c>
      <c r="E98" s="3117">
        <v>0.1</v>
      </c>
      <c r="F98" s="3117">
        <v>15</v>
      </c>
    </row>
    <row r="99" spans="1:6" ht="24">
      <c r="A99" s="3117">
        <v>27</v>
      </c>
      <c r="B99" s="3848"/>
      <c r="C99" s="3091" t="s">
        <v>2708</v>
      </c>
      <c r="D99" s="3091" t="s">
        <v>2709</v>
      </c>
      <c r="E99" s="3117">
        <v>0.1</v>
      </c>
      <c r="F99" s="3117">
        <v>15</v>
      </c>
    </row>
    <row r="100" spans="1:6" ht="13.5">
      <c r="A100" s="3117">
        <v>28</v>
      </c>
      <c r="B100" s="3848"/>
      <c r="C100" s="3091" t="s">
        <v>2710</v>
      </c>
      <c r="D100" s="3091" t="s">
        <v>2711</v>
      </c>
      <c r="E100" s="3117">
        <v>0.1</v>
      </c>
      <c r="F100" s="3117">
        <v>15</v>
      </c>
    </row>
    <row r="101" spans="1:6" ht="13.5">
      <c r="A101" s="3117">
        <v>29</v>
      </c>
      <c r="B101" s="3848"/>
      <c r="C101" s="3091" t="s">
        <v>2712</v>
      </c>
      <c r="D101" s="3091" t="s">
        <v>2713</v>
      </c>
      <c r="E101" s="3117">
        <v>0.1</v>
      </c>
      <c r="F101" s="3117">
        <v>15</v>
      </c>
    </row>
    <row r="102" spans="1:6" ht="13.5">
      <c r="A102" s="3117">
        <v>30</v>
      </c>
      <c r="B102" s="3848"/>
      <c r="C102" s="3091" t="s">
        <v>2714</v>
      </c>
      <c r="D102" s="3091" t="s">
        <v>2715</v>
      </c>
      <c r="E102" s="3117">
        <v>0.1</v>
      </c>
      <c r="F102" s="3117">
        <v>15</v>
      </c>
    </row>
    <row r="103" spans="1:6" ht="24">
      <c r="A103" s="3117">
        <v>31</v>
      </c>
      <c r="B103" s="3848"/>
      <c r="C103" s="3091" t="s">
        <v>2716</v>
      </c>
      <c r="D103" s="3091" t="s">
        <v>2717</v>
      </c>
      <c r="E103" s="3117">
        <v>0.1</v>
      </c>
      <c r="F103" s="3117">
        <v>15</v>
      </c>
    </row>
    <row r="104" spans="1:6" ht="24">
      <c r="A104" s="3117">
        <v>32</v>
      </c>
      <c r="B104" s="3848"/>
      <c r="C104" s="3091" t="s">
        <v>2718</v>
      </c>
      <c r="D104" s="3091" t="s">
        <v>2719</v>
      </c>
      <c r="E104" s="3117">
        <v>0.1</v>
      </c>
      <c r="F104" s="3117">
        <v>15</v>
      </c>
    </row>
    <row r="105" spans="1:6" ht="24">
      <c r="A105" s="3117">
        <v>33</v>
      </c>
      <c r="B105" s="3848"/>
      <c r="C105" s="3091" t="s">
        <v>2720</v>
      </c>
      <c r="D105" s="3091" t="s">
        <v>2721</v>
      </c>
      <c r="E105" s="3117">
        <v>0.1</v>
      </c>
      <c r="F105" s="3117">
        <v>15</v>
      </c>
    </row>
    <row r="106" spans="1:6" ht="24">
      <c r="A106" s="3117">
        <v>34</v>
      </c>
      <c r="B106" s="3847"/>
      <c r="C106" s="3091" t="s">
        <v>2722</v>
      </c>
      <c r="D106" s="3091" t="s">
        <v>2723</v>
      </c>
      <c r="E106" s="3117">
        <v>0.1</v>
      </c>
      <c r="F106" s="3117">
        <v>15</v>
      </c>
    </row>
    <row r="107" spans="1:6" ht="24">
      <c r="A107" s="3117">
        <v>35</v>
      </c>
      <c r="B107" s="3846" t="s">
        <v>2724</v>
      </c>
      <c r="C107" s="3117" t="s">
        <v>2725</v>
      </c>
      <c r="D107" s="3091" t="s">
        <v>2726</v>
      </c>
      <c r="E107" s="3117">
        <v>0.15</v>
      </c>
      <c r="F107" s="3117">
        <v>20</v>
      </c>
    </row>
    <row r="108" spans="1:6" ht="13.5">
      <c r="A108" s="3117">
        <v>36</v>
      </c>
      <c r="B108" s="3848"/>
      <c r="C108" s="3117" t="s">
        <v>2727</v>
      </c>
      <c r="D108" s="3091" t="s">
        <v>2728</v>
      </c>
      <c r="E108" s="3117">
        <v>0.15</v>
      </c>
      <c r="F108" s="3117">
        <v>20</v>
      </c>
    </row>
    <row r="109" spans="1:6" ht="13.5">
      <c r="A109" s="3117">
        <v>37</v>
      </c>
      <c r="B109" s="3848"/>
      <c r="C109" s="3117" t="s">
        <v>2729</v>
      </c>
      <c r="D109" s="3091" t="s">
        <v>2730</v>
      </c>
      <c r="E109" s="3117">
        <v>0.15</v>
      </c>
      <c r="F109" s="3117">
        <v>20</v>
      </c>
    </row>
    <row r="110" spans="1:6" ht="13.5">
      <c r="A110" s="3117">
        <v>38</v>
      </c>
      <c r="B110" s="3848"/>
      <c r="C110" s="3117" t="s">
        <v>2731</v>
      </c>
      <c r="D110" s="3091" t="s">
        <v>2732</v>
      </c>
      <c r="E110" s="3117">
        <v>0.1</v>
      </c>
      <c r="F110" s="3117">
        <v>15</v>
      </c>
    </row>
    <row r="111" spans="1:6" ht="24">
      <c r="A111" s="3117">
        <v>39</v>
      </c>
      <c r="B111" s="3848"/>
      <c r="C111" s="3117" t="s">
        <v>2733</v>
      </c>
      <c r="D111" s="3091" t="s">
        <v>2734</v>
      </c>
      <c r="E111" s="3117">
        <v>0.1</v>
      </c>
      <c r="F111" s="3117">
        <v>15</v>
      </c>
    </row>
    <row r="112" spans="1:6" ht="24">
      <c r="A112" s="3117">
        <v>40</v>
      </c>
      <c r="B112" s="3847"/>
      <c r="C112" s="3117" t="s">
        <v>2735</v>
      </c>
      <c r="D112" s="3091" t="s">
        <v>2736</v>
      </c>
      <c r="E112" s="3117">
        <v>0.1</v>
      </c>
      <c r="F112" s="3117">
        <v>15</v>
      </c>
    </row>
    <row r="113" spans="1:6" ht="13.5">
      <c r="A113" s="3117">
        <v>41</v>
      </c>
      <c r="B113" s="3845" t="s">
        <v>2737</v>
      </c>
      <c r="C113" s="3117" t="s">
        <v>2738</v>
      </c>
      <c r="D113" s="3091" t="s">
        <v>2739</v>
      </c>
      <c r="E113" s="3117">
        <v>0.1</v>
      </c>
      <c r="F113" s="3117">
        <v>15</v>
      </c>
    </row>
    <row r="114" spans="1:6" ht="13.5">
      <c r="A114" s="3117">
        <v>42</v>
      </c>
      <c r="B114" s="3845"/>
      <c r="C114" s="3117" t="s">
        <v>2740</v>
      </c>
      <c r="D114" s="3091" t="s">
        <v>2741</v>
      </c>
      <c r="E114" s="3117">
        <v>0.1</v>
      </c>
      <c r="F114" s="3117">
        <v>15</v>
      </c>
    </row>
    <row r="115" spans="1:6" ht="24">
      <c r="A115" s="3117">
        <v>43</v>
      </c>
      <c r="B115" s="3845"/>
      <c r="C115" s="3117" t="s">
        <v>2742</v>
      </c>
      <c r="D115" s="3091" t="s">
        <v>2743</v>
      </c>
      <c r="E115" s="3117">
        <v>0.1</v>
      </c>
      <c r="F115" s="3117">
        <v>15</v>
      </c>
    </row>
    <row r="116" spans="1:6" ht="13.5">
      <c r="A116" s="3117">
        <v>44</v>
      </c>
      <c r="B116" s="3846" t="s">
        <v>2744</v>
      </c>
      <c r="C116" s="3117" t="s">
        <v>2745</v>
      </c>
      <c r="D116" s="3091" t="s">
        <v>2746</v>
      </c>
      <c r="E116" s="3117">
        <v>0.1</v>
      </c>
      <c r="F116" s="3117">
        <v>15</v>
      </c>
    </row>
    <row r="117" spans="1:6" ht="24">
      <c r="A117" s="3117">
        <v>45</v>
      </c>
      <c r="B117" s="3847"/>
      <c r="C117" s="3091" t="s">
        <v>2747</v>
      </c>
      <c r="D117" s="3091" t="s">
        <v>2748</v>
      </c>
      <c r="E117" s="3117">
        <v>0.1</v>
      </c>
      <c r="F117" s="3117">
        <v>15</v>
      </c>
    </row>
    <row r="118" spans="1:6" ht="24">
      <c r="A118" s="3117">
        <v>46</v>
      </c>
      <c r="B118" s="3846" t="s">
        <v>2749</v>
      </c>
      <c r="C118" s="3117" t="s">
        <v>2750</v>
      </c>
      <c r="D118" s="3091" t="s">
        <v>2751</v>
      </c>
      <c r="E118" s="3117">
        <v>0.1</v>
      </c>
      <c r="F118" s="3117">
        <v>15</v>
      </c>
    </row>
    <row r="119" spans="1:6" ht="24">
      <c r="A119" s="3117">
        <v>47</v>
      </c>
      <c r="B119" s="3847"/>
      <c r="C119" s="3117" t="s">
        <v>2752</v>
      </c>
      <c r="D119" s="3091" t="s">
        <v>2753</v>
      </c>
      <c r="E119" s="3117">
        <v>0.1</v>
      </c>
      <c r="F119" s="3117">
        <v>15</v>
      </c>
    </row>
    <row r="120" spans="1:6" ht="13.5">
      <c r="A120" s="3117">
        <v>48</v>
      </c>
      <c r="B120" s="3846" t="s">
        <v>2754</v>
      </c>
      <c r="C120" s="3117" t="s">
        <v>2755</v>
      </c>
      <c r="D120" s="3091" t="s">
        <v>2756</v>
      </c>
      <c r="E120" s="3117">
        <v>0.1</v>
      </c>
      <c r="F120" s="3117">
        <v>15</v>
      </c>
    </row>
    <row r="121" spans="1:6" ht="13.5">
      <c r="A121" s="3117">
        <v>49</v>
      </c>
      <c r="B121" s="3847"/>
      <c r="C121" s="3117" t="s">
        <v>2757</v>
      </c>
      <c r="D121" s="3091" t="s">
        <v>2758</v>
      </c>
      <c r="E121" s="3117">
        <v>0.1</v>
      </c>
      <c r="F121" s="3117">
        <v>15</v>
      </c>
    </row>
    <row r="122" spans="1:6" ht="24">
      <c r="A122" s="3117">
        <v>50</v>
      </c>
      <c r="B122" s="3845" t="s">
        <v>2759</v>
      </c>
      <c r="C122" s="3117" t="s">
        <v>2760</v>
      </c>
      <c r="D122" s="3091" t="s">
        <v>2761</v>
      </c>
      <c r="E122" s="3117">
        <v>0.1</v>
      </c>
      <c r="F122" s="3117">
        <v>15</v>
      </c>
    </row>
    <row r="123" spans="1:6" ht="24">
      <c r="A123" s="3117">
        <v>51</v>
      </c>
      <c r="B123" s="3845"/>
      <c r="C123" s="3117" t="s">
        <v>2762</v>
      </c>
      <c r="D123" s="3091" t="s">
        <v>2763</v>
      </c>
      <c r="E123" s="3117">
        <v>0.1</v>
      </c>
      <c r="F123" s="3117">
        <v>15</v>
      </c>
    </row>
    <row r="124" spans="1:6" ht="24">
      <c r="A124" s="3117">
        <v>52</v>
      </c>
      <c r="B124" s="3845" t="s">
        <v>2764</v>
      </c>
      <c r="C124" s="3117" t="s">
        <v>2765</v>
      </c>
      <c r="D124" s="3091" t="s">
        <v>2766</v>
      </c>
      <c r="E124" s="3117">
        <v>0.1</v>
      </c>
      <c r="F124" s="3117">
        <v>15</v>
      </c>
    </row>
    <row r="125" spans="1:6" ht="24">
      <c r="A125" s="3117">
        <v>53</v>
      </c>
      <c r="B125" s="384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45" t="s">
        <v>2772</v>
      </c>
      <c r="C127" s="3117" t="s">
        <v>2773</v>
      </c>
      <c r="D127" s="3091" t="s">
        <v>2774</v>
      </c>
      <c r="E127" s="3117">
        <v>0.1</v>
      </c>
      <c r="F127" s="3117">
        <v>15</v>
      </c>
    </row>
    <row r="128" spans="1:6" ht="13.5">
      <c r="A128" s="3117">
        <v>56</v>
      </c>
      <c r="B128" s="3845"/>
      <c r="C128" s="3117" t="s">
        <v>2775</v>
      </c>
      <c r="D128" s="3091" t="s">
        <v>2776</v>
      </c>
      <c r="E128" s="3117">
        <v>0.1</v>
      </c>
      <c r="F128" s="3117">
        <v>15</v>
      </c>
    </row>
    <row r="129" spans="1:6" ht="24">
      <c r="A129" s="3117">
        <v>57</v>
      </c>
      <c r="B129" s="3845"/>
      <c r="C129" s="3117" t="s">
        <v>2777</v>
      </c>
      <c r="D129" s="3091" t="s">
        <v>2778</v>
      </c>
      <c r="E129" s="3117">
        <v>0.1</v>
      </c>
      <c r="F129" s="3117">
        <v>15</v>
      </c>
    </row>
    <row r="130" spans="1:6" ht="24">
      <c r="A130" s="3117">
        <v>58</v>
      </c>
      <c r="B130" s="3845" t="s">
        <v>2779</v>
      </c>
      <c r="C130" s="3117" t="s">
        <v>2780</v>
      </c>
      <c r="D130" s="3091" t="s">
        <v>2781</v>
      </c>
      <c r="E130" s="3117">
        <v>0.1</v>
      </c>
      <c r="F130" s="3117">
        <v>15</v>
      </c>
    </row>
    <row r="131" spans="1:6" ht="13.5">
      <c r="A131" s="3117">
        <v>59</v>
      </c>
      <c r="B131" s="3845"/>
      <c r="C131" s="3117" t="s">
        <v>2782</v>
      </c>
      <c r="D131" s="3091" t="s">
        <v>2783</v>
      </c>
      <c r="E131" s="3117">
        <v>0.1</v>
      </c>
      <c r="F131" s="3117">
        <v>15</v>
      </c>
    </row>
    <row r="132" spans="1:6" ht="13.5">
      <c r="A132" s="3117">
        <v>60</v>
      </c>
      <c r="B132" s="3846" t="s">
        <v>2784</v>
      </c>
      <c r="C132" s="3117" t="s">
        <v>2785</v>
      </c>
      <c r="D132" s="3091" t="s">
        <v>2786</v>
      </c>
      <c r="E132" s="3117">
        <v>0.1</v>
      </c>
      <c r="F132" s="3117">
        <v>15</v>
      </c>
    </row>
    <row r="133" spans="1:6" ht="13.5">
      <c r="A133" s="3117">
        <v>61</v>
      </c>
      <c r="B133" s="384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45" t="s">
        <v>2792</v>
      </c>
      <c r="C135" s="3117" t="s">
        <v>2793</v>
      </c>
      <c r="D135" s="3091" t="s">
        <v>2794</v>
      </c>
      <c r="E135" s="3117">
        <v>0.1</v>
      </c>
      <c r="F135" s="3117">
        <v>15</v>
      </c>
    </row>
    <row r="136" spans="1:6" ht="13.5">
      <c r="A136" s="3117">
        <v>64</v>
      </c>
      <c r="B136" s="384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0.97640000000000005</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0.92879999999999996</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63072</v>
      </c>
      <c r="C2" s="2" t="s">
        <v>106</v>
      </c>
      <c r="D2" s="199"/>
      <c r="E2" s="199"/>
      <c r="F2" s="199"/>
      <c r="G2" s="199"/>
    </row>
    <row r="3" spans="1:7" s="200" customFormat="1" ht="18" customHeight="1" thickBot="1">
      <c r="A3" s="203" t="s">
        <v>58</v>
      </c>
      <c r="B3" s="204">
        <f ca="1">ROUND(B2*10000/'数据-汇总表'!E3,0)</f>
        <v>12884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979</v>
      </c>
      <c r="D10" s="845">
        <f>'数据-汇总表'!E6</f>
        <v>48955.32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979</v>
      </c>
      <c r="D19" s="849">
        <f>'数据-汇总表'!E3</f>
        <v>48955.32</v>
      </c>
      <c r="E19" s="211">
        <f>'数据-取费表'!B31</f>
        <v>200</v>
      </c>
      <c r="F19" s="231"/>
      <c r="G19" s="1" t="s">
        <v>436</v>
      </c>
    </row>
    <row r="20" spans="1:7" s="214" customFormat="1" ht="13.5" customHeight="1">
      <c r="A20" s="777" t="s">
        <v>419</v>
      </c>
      <c r="B20" s="210" t="s">
        <v>77</v>
      </c>
      <c r="C20" s="232">
        <f>ROUND((C5+C19)*F20,0)</f>
        <v>432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1847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83</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3964</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3964</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25299</v>
      </c>
      <c r="D34" s="217"/>
      <c r="E34" s="220"/>
      <c r="F34" s="257">
        <f>IF('数据-取费表'!B24=0,1,'数据-取费表'!N16)</f>
        <v>1</v>
      </c>
      <c r="G34" s="219" t="s">
        <v>89</v>
      </c>
    </row>
    <row r="35" spans="1:7" ht="13.5" customHeight="1">
      <c r="A35" s="780" t="s">
        <v>351</v>
      </c>
      <c r="B35" s="215" t="s">
        <v>33</v>
      </c>
      <c r="C35" s="220">
        <f>ROUND(C34*F35,0)</f>
        <v>1012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979</v>
      </c>
      <c r="D37" s="217">
        <f>'数据-汇总表'!E3</f>
        <v>48955.32</v>
      </c>
      <c r="E37" s="249">
        <f>'数据-取费表'!B35</f>
        <v>200</v>
      </c>
      <c r="F37" s="259"/>
      <c r="G37" s="261" t="s">
        <v>92</v>
      </c>
    </row>
    <row r="38" spans="1:7" ht="13.5" customHeight="1">
      <c r="A38" s="780" t="s">
        <v>354</v>
      </c>
      <c r="B38" s="215" t="s">
        <v>36</v>
      </c>
      <c r="C38" s="220">
        <f>ROUND(C34*F38,0)</f>
        <v>379</v>
      </c>
      <c r="D38" s="220"/>
      <c r="E38" s="220"/>
      <c r="F38" s="259">
        <f>'数据-取费表'!B36</f>
        <v>1.4999999999999999E-2</v>
      </c>
      <c r="G38" s="219" t="s">
        <v>90</v>
      </c>
    </row>
    <row r="39" spans="1:7" s="214" customFormat="1" ht="13.5" customHeight="1">
      <c r="A39" s="777" t="s">
        <v>338</v>
      </c>
      <c r="B39" s="210" t="s">
        <v>77</v>
      </c>
      <c r="C39" s="232">
        <f>ROUND(C33*F20,0)</f>
        <v>553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1171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1148</v>
      </c>
      <c r="D42" s="238"/>
      <c r="E42" s="238"/>
      <c r="F42" s="239"/>
      <c r="G42" s="3718" t="s">
        <v>94</v>
      </c>
    </row>
    <row r="43" spans="1:7" ht="13.5" customHeight="1">
      <c r="A43" s="780" t="s">
        <v>347</v>
      </c>
      <c r="B43" s="215" t="s">
        <v>426</v>
      </c>
      <c r="C43" s="238">
        <f ca="1">ROUND(IF('数据-取费表'!B22&lt;=1,C39*F22*'数据-取费表'!B21/2,C39*(POWER((1+F22),'数据-取费表'!B21/2)-1)),0)</f>
        <v>23</v>
      </c>
      <c r="D43" s="238"/>
      <c r="E43" s="238"/>
      <c r="F43" s="239"/>
      <c r="G43" s="3719"/>
    </row>
    <row r="44" spans="1:7" ht="13.5" customHeight="1">
      <c r="A44" s="780" t="s">
        <v>348</v>
      </c>
      <c r="B44" s="215" t="s">
        <v>428</v>
      </c>
      <c r="C44" s="238">
        <f ca="1">ROUND(IF('数据-取费表'!B22&lt;=1,C40*F22*'数据-取费表'!B21/2,C40*(POWER((1+F22),'数据-取费表'!B21/2)-1)),4)</f>
        <v>8.0000000000000004E-4</v>
      </c>
      <c r="D44" s="238"/>
      <c r="E44" s="238"/>
      <c r="F44" s="239"/>
      <c r="G44" s="3720"/>
    </row>
    <row r="45" spans="1:7" s="214" customFormat="1" ht="13.5" customHeight="1">
      <c r="A45" s="777" t="s">
        <v>341</v>
      </c>
      <c r="B45" s="244" t="s">
        <v>85</v>
      </c>
      <c r="C45" s="245">
        <f>C46</f>
        <v>5080</v>
      </c>
      <c r="D45" s="235">
        <f>C47</f>
        <v>3.5999999999999999E-3</v>
      </c>
      <c r="E45" s="236" t="s">
        <v>102</v>
      </c>
      <c r="F45" s="246"/>
      <c r="G45" s="247" t="s">
        <v>434</v>
      </c>
    </row>
    <row r="46" spans="1:7" s="214" customFormat="1" ht="13.5" customHeight="1">
      <c r="A46" s="780" t="s">
        <v>349</v>
      </c>
      <c r="B46" s="248" t="s">
        <v>427</v>
      </c>
      <c r="C46" s="249">
        <f>ROUND((C33+C39)*F27,0)</f>
        <v>5080</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37379</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32894</v>
      </c>
      <c r="D51" s="232"/>
      <c r="E51" s="232"/>
      <c r="F51" s="264"/>
      <c r="G51" s="234" t="s">
        <v>37</v>
      </c>
    </row>
    <row r="52" spans="1:7" s="208" customFormat="1" ht="16.5" thickBot="1">
      <c r="A52" s="265" t="s">
        <v>38</v>
      </c>
      <c r="B52" s="266"/>
      <c r="C52" s="267">
        <f ca="1">C31+C51</f>
        <v>63072</v>
      </c>
      <c r="D52" s="266"/>
      <c r="E52" s="266"/>
      <c r="F52" s="266"/>
      <c r="G52" s="268"/>
    </row>
    <row r="55" spans="1:7" ht="15">
      <c r="B55" s="270" t="s">
        <v>39</v>
      </c>
      <c r="C55" s="271"/>
    </row>
    <row r="56" spans="1:7">
      <c r="B56" s="273" t="s">
        <v>40</v>
      </c>
      <c r="C56" s="274">
        <f ca="1">ROUND(C51/C52,3)</f>
        <v>0.52200000000000002</v>
      </c>
    </row>
    <row r="57" spans="1:7">
      <c r="B57" s="273" t="s">
        <v>41</v>
      </c>
      <c r="C57" s="275">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5" sqref="F15"/>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9" t="s">
        <v>2846</v>
      </c>
      <c r="B1" s="3859"/>
      <c r="C1" s="3859"/>
      <c r="D1" s="3859"/>
      <c r="E1" s="3859"/>
      <c r="F1" s="3859"/>
      <c r="G1" s="3860"/>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857"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858"/>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61" t="s">
        <v>3188</v>
      </c>
      <c r="B1" s="3861"/>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62" t="s">
        <v>3239</v>
      </c>
      <c r="B1" s="3862"/>
      <c r="C1" s="3862"/>
      <c r="D1" s="3862"/>
      <c r="E1" s="3862"/>
      <c r="F1" s="3863"/>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5" sqref="F15"/>
    </sheetView>
  </sheetViews>
  <sheetFormatPr defaultRowHeight="13.5"/>
  <cols>
    <col min="1" max="1" width="13.875" customWidth="1"/>
    <col min="11" max="17" width="0" hidden="1" customWidth="1"/>
    <col min="25" max="30" width="0" hidden="1" customWidth="1"/>
  </cols>
  <sheetData>
    <row r="1" spans="1:30">
      <c r="A1" s="3220">
        <f>基准地价修正!G23</f>
        <v>44926</v>
      </c>
      <c r="B1" s="3209" t="s">
        <v>2845</v>
      </c>
      <c r="C1" s="3210"/>
      <c r="D1" s="3210"/>
      <c r="E1" s="3210"/>
      <c r="F1" s="3210"/>
      <c r="G1" s="3210"/>
      <c r="H1" s="3210"/>
      <c r="I1" s="3210"/>
      <c r="J1" s="3164"/>
      <c r="K1" s="3210" t="s">
        <v>454</v>
      </c>
      <c r="L1" s="3210"/>
      <c r="M1" s="3210"/>
      <c r="N1" s="3210"/>
      <c r="O1" s="3210"/>
      <c r="P1" s="3210"/>
      <c r="Q1" s="3164"/>
      <c r="R1" s="3864" t="s">
        <v>456</v>
      </c>
      <c r="S1" s="3865"/>
      <c r="T1" s="3865"/>
      <c r="U1" s="3865"/>
      <c r="V1" s="3865"/>
      <c r="W1" s="3865"/>
      <c r="X1" s="3164"/>
      <c r="Y1" s="3864" t="s">
        <v>457</v>
      </c>
      <c r="Z1" s="3865"/>
      <c r="AA1" s="3865"/>
      <c r="AB1" s="3865"/>
      <c r="AC1" s="3865"/>
      <c r="AD1" s="386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v>1.0565</v>
      </c>
      <c r="S9" s="3191">
        <v>1.0250999999999999</v>
      </c>
      <c r="T9" s="3191">
        <v>1.0145</v>
      </c>
      <c r="U9" s="3191">
        <v>1.0618000000000001</v>
      </c>
      <c r="V9" s="3191">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v>1.05</v>
      </c>
      <c r="S10" s="3182">
        <v>1.0229999999999999</v>
      </c>
      <c r="T10" s="3182">
        <v>1.0134000000000001</v>
      </c>
      <c r="U10" s="3182">
        <v>1.0545</v>
      </c>
      <c r="V10" s="3182">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v>1.0430999999999999</v>
      </c>
      <c r="S11" s="3182">
        <v>1.0197000000000001</v>
      </c>
      <c r="T11" s="3182">
        <v>1.0109999999999999</v>
      </c>
      <c r="U11" s="3182">
        <v>1.0468999999999999</v>
      </c>
      <c r="V11" s="3182">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v>1.0335000000000001</v>
      </c>
      <c r="S12" s="3182">
        <v>1.0182</v>
      </c>
      <c r="T12" s="3182">
        <v>1.0108999999999999</v>
      </c>
      <c r="U12" s="3182">
        <v>1.0361</v>
      </c>
      <c r="V12" s="3182">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v>1.0244</v>
      </c>
      <c r="S13" s="3182">
        <v>1.0138</v>
      </c>
      <c r="T13" s="3182">
        <v>1.0072000000000001</v>
      </c>
      <c r="U13" s="3182">
        <v>1.0262</v>
      </c>
      <c r="V13" s="3182">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v>1.0139</v>
      </c>
      <c r="S14" s="3182">
        <v>1.0113000000000001</v>
      </c>
      <c r="T14" s="3182">
        <v>1.0065</v>
      </c>
      <c r="U14" s="3182">
        <v>1.0143</v>
      </c>
      <c r="V14" s="3182">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v>1.0092000000000001</v>
      </c>
      <c r="S15" s="3182">
        <v>1.0072000000000001</v>
      </c>
      <c r="T15" s="3182">
        <v>1.0041</v>
      </c>
      <c r="U15" s="3182">
        <v>1.0095000000000001</v>
      </c>
      <c r="V15" s="3182">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864" t="s">
        <v>2833</v>
      </c>
      <c r="S21" s="3865"/>
      <c r="T21" s="3865"/>
      <c r="U21" s="3865"/>
      <c r="V21" s="3865"/>
      <c r="W21" s="3865"/>
      <c r="X21" s="3164"/>
      <c r="Y21" s="3864" t="s">
        <v>2834</v>
      </c>
      <c r="Z21" s="3865"/>
      <c r="AA21" s="3865"/>
      <c r="AB21" s="3865"/>
      <c r="AC21" s="3865"/>
      <c r="AD21" s="3865"/>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v>1.0286999999999999</v>
      </c>
      <c r="T25" s="3182">
        <v>1.0164</v>
      </c>
      <c r="U25" s="3182">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v>1.0286999999999999</v>
      </c>
      <c r="T26" s="3182">
        <v>1.0164</v>
      </c>
      <c r="U26" s="3182">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v>1.0286999999999999</v>
      </c>
      <c r="T27" s="3182">
        <v>1.0164</v>
      </c>
      <c r="U27" s="3182">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v>1.0286999999999999</v>
      </c>
      <c r="T28" s="3182">
        <v>1.0164</v>
      </c>
      <c r="U28" s="3182">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v>1.0286999999999999</v>
      </c>
      <c r="T29" s="3191">
        <v>1.0164</v>
      </c>
      <c r="U29" s="3191">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v>1.0241</v>
      </c>
      <c r="T30" s="3182">
        <v>1.0144</v>
      </c>
      <c r="U30" s="3182">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v>1.0210999999999999</v>
      </c>
      <c r="T31" s="3182">
        <v>1.0114000000000001</v>
      </c>
      <c r="U31" s="3182">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v>1.0222</v>
      </c>
      <c r="T32" s="3182">
        <v>1.0127999999999999</v>
      </c>
      <c r="U32" s="3182">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v>1.0161</v>
      </c>
      <c r="T33" s="3182">
        <v>1.0082</v>
      </c>
      <c r="U33" s="3182">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v>1.0102</v>
      </c>
      <c r="T34" s="3182">
        <v>1.0074000000000001</v>
      </c>
      <c r="U34" s="3182">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v>1.0055000000000001</v>
      </c>
      <c r="T35" s="3182">
        <v>1.0045999999999999</v>
      </c>
      <c r="U35" s="3182">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1" t="s">
        <v>452</v>
      </c>
      <c r="C1" s="3871"/>
      <c r="D1" s="3871"/>
      <c r="E1" s="3871"/>
      <c r="F1" s="3871"/>
      <c r="G1" s="3870" t="s">
        <v>453</v>
      </c>
      <c r="H1" s="3870"/>
      <c r="I1" s="3870"/>
      <c r="J1" s="3870"/>
      <c r="K1" s="3870"/>
      <c r="L1" s="3870"/>
      <c r="N1" s="3870" t="s">
        <v>454</v>
      </c>
      <c r="O1" s="3870"/>
      <c r="P1" s="3870"/>
      <c r="Q1" s="3870"/>
      <c r="S1" s="3870" t="s">
        <v>455</v>
      </c>
      <c r="T1" s="3870"/>
      <c r="U1" s="3870"/>
      <c r="V1" s="3870"/>
      <c r="X1" s="3869" t="s">
        <v>456</v>
      </c>
      <c r="Y1" s="3870"/>
      <c r="Z1" s="3870"/>
      <c r="AA1" s="3870"/>
      <c r="AB1" s="3870"/>
      <c r="AD1" s="3869" t="s">
        <v>457</v>
      </c>
      <c r="AE1" s="3870"/>
      <c r="AF1" s="3870"/>
      <c r="AG1" s="3870"/>
      <c r="AH1" s="387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7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2" t="str">
        <f>IF(项目基本情况!B9="房地产市场价值","估价结果一览表","结果表-2")</f>
        <v>估价结果一览表</v>
      </c>
      <c r="B1" s="3552"/>
      <c r="C1" s="3552"/>
      <c r="D1" s="3552"/>
      <c r="E1" s="3552"/>
      <c r="F1" s="3552"/>
      <c r="G1" s="3552"/>
      <c r="H1" s="3552"/>
      <c r="I1" s="3552"/>
    </row>
    <row r="2" spans="1:9" ht="30" customHeight="1" thickTop="1">
      <c r="A2" s="3553" t="s">
        <v>928</v>
      </c>
      <c r="B2" s="3553" t="s">
        <v>929</v>
      </c>
      <c r="C2" s="3553" t="s">
        <v>930</v>
      </c>
      <c r="D2" s="3553" t="str">
        <f>结果表!D116</f>
        <v>出让国有建设用地使用权价值</v>
      </c>
      <c r="E2" s="3553"/>
      <c r="F2" s="3553" t="str">
        <f>结果表!F116</f>
        <v>在建建筑物价值</v>
      </c>
      <c r="G2" s="3553"/>
      <c r="H2" s="3553" t="str">
        <f>IF(项目基本情况!B9="房地产市场价值","房地产市场价值","房地产价值")</f>
        <v>房地产市场价值</v>
      </c>
      <c r="I2" s="3553"/>
    </row>
    <row r="3" spans="1:9" ht="15">
      <c r="A3" s="3548"/>
      <c r="B3" s="3548"/>
      <c r="C3" s="3548"/>
      <c r="D3" s="854" t="s">
        <v>925</v>
      </c>
      <c r="E3" s="854" t="s">
        <v>931</v>
      </c>
      <c r="F3" s="854" t="s">
        <v>925</v>
      </c>
      <c r="G3" s="854" t="s">
        <v>926</v>
      </c>
      <c r="H3" s="854" t="s">
        <v>925</v>
      </c>
      <c r="I3" s="854" t="s">
        <v>926</v>
      </c>
    </row>
    <row r="4" spans="1:9" ht="15">
      <c r="A4" s="1505" t="str">
        <f>项目基本情况!S2</f>
        <v>北京市房地产</v>
      </c>
      <c r="B4" s="854">
        <f>项目基本情况!C17</f>
        <v>48955.32</v>
      </c>
      <c r="C4" s="854">
        <f>项目基本情况!C18</f>
        <v>11397.7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8" t="s">
        <v>927</v>
      </c>
      <c r="B5" s="3548"/>
      <c r="C5" s="3548"/>
      <c r="D5" s="3548" t="e">
        <f ca="1">结果表!D119</f>
        <v>#REF!</v>
      </c>
      <c r="E5" s="3548"/>
      <c r="F5" s="3548" t="e">
        <f ca="1">结果表!F119</f>
        <v>#REF!</v>
      </c>
      <c r="G5" s="3548"/>
      <c r="H5" s="3548" t="e">
        <f ca="1">结果表!H119</f>
        <v>#REF!</v>
      </c>
      <c r="I5" s="3548"/>
    </row>
    <row r="6" spans="1:9" ht="15.75">
      <c r="A6" s="3547" t="str">
        <f>结果表!A120</f>
        <v/>
      </c>
      <c r="B6" s="3547"/>
      <c r="C6" s="3547"/>
      <c r="D6" s="3547">
        <f>结果表!D120</f>
        <v>0</v>
      </c>
      <c r="E6" s="3547"/>
      <c r="F6" s="3547"/>
      <c r="G6" s="3547"/>
      <c r="H6" s="3547"/>
      <c r="I6" s="3547"/>
    </row>
    <row r="7" spans="1:9" ht="15">
      <c r="A7" s="3548" t="s">
        <v>927</v>
      </c>
      <c r="B7" s="3548"/>
      <c r="C7" s="3548"/>
      <c r="D7" s="3549" t="str">
        <f>结果表!D121</f>
        <v>零元整</v>
      </c>
      <c r="E7" s="3550"/>
      <c r="F7" s="3550"/>
      <c r="G7" s="3550"/>
      <c r="H7" s="3550"/>
      <c r="I7" s="3551"/>
    </row>
    <row r="8" spans="1:9" ht="15.75">
      <c r="A8" s="3547" t="str">
        <f>结果表!A122</f>
        <v/>
      </c>
      <c r="B8" s="3547"/>
      <c r="C8" s="3547"/>
      <c r="D8" s="3547" t="e">
        <f ca="1">结果表!D122</f>
        <v>#REF!</v>
      </c>
      <c r="E8" s="3547"/>
      <c r="F8" s="3547"/>
      <c r="G8" s="3547"/>
      <c r="H8" s="3547"/>
      <c r="I8" s="3547"/>
    </row>
    <row r="9" spans="1:9" ht="15">
      <c r="A9" s="3548" t="s">
        <v>927</v>
      </c>
      <c r="B9" s="3548"/>
      <c r="C9" s="3548"/>
      <c r="D9" s="3548" t="e">
        <f ca="1">结果表!D123</f>
        <v>#REF!</v>
      </c>
      <c r="E9" s="3548"/>
      <c r="F9" s="3548"/>
      <c r="G9" s="3548"/>
      <c r="H9" s="3548"/>
      <c r="I9" s="3548"/>
    </row>
    <row r="10" spans="1:9" ht="15.75">
      <c r="A10" s="3547" t="str">
        <f>结果表!A124</f>
        <v/>
      </c>
      <c r="B10" s="3547"/>
      <c r="C10" s="3547"/>
      <c r="D10" s="3547" t="str">
        <f>结果表!D124</f>
        <v>——</v>
      </c>
      <c r="E10" s="3547"/>
      <c r="F10" s="3547"/>
      <c r="G10" s="3547"/>
      <c r="H10" s="3547"/>
      <c r="I10" s="3547"/>
    </row>
    <row r="11" spans="1:9" ht="15">
      <c r="A11" s="3548" t="s">
        <v>927</v>
      </c>
      <c r="B11" s="3548"/>
      <c r="C11" s="3548"/>
      <c r="D11" s="3548" t="e">
        <f>结果表!D125</f>
        <v>#VALUE!</v>
      </c>
      <c r="E11" s="3548"/>
      <c r="F11" s="3548"/>
      <c r="G11" s="3548"/>
      <c r="H11" s="3548"/>
      <c r="I11" s="3548"/>
    </row>
    <row r="12" spans="1:9" ht="15.75">
      <c r="A12" s="3547" t="str">
        <f>结果表!A126</f>
        <v/>
      </c>
      <c r="B12" s="3547"/>
      <c r="C12" s="3547"/>
      <c r="D12" s="3547" t="str">
        <f>结果表!D126</f>
        <v>——</v>
      </c>
      <c r="E12" s="3547"/>
      <c r="F12" s="3547"/>
      <c r="G12" s="3547"/>
      <c r="H12" s="3547"/>
      <c r="I12" s="3547"/>
    </row>
    <row r="13" spans="1:9" ht="15.75" thickBot="1">
      <c r="A13" s="3545" t="s">
        <v>927</v>
      </c>
      <c r="B13" s="3545"/>
      <c r="C13" s="3545"/>
      <c r="D13" s="3545" t="e">
        <f>结果表!D127</f>
        <v>#VALUE!</v>
      </c>
      <c r="E13" s="3545"/>
      <c r="F13" s="3545"/>
      <c r="G13" s="3545"/>
      <c r="H13" s="3545"/>
      <c r="I13" s="3545"/>
    </row>
    <row r="14" spans="1:9" ht="15" thickTop="1">
      <c r="A14" s="3546" t="s">
        <v>932</v>
      </c>
      <c r="B14" s="3546"/>
      <c r="C14" s="3546"/>
      <c r="D14" s="3546"/>
      <c r="E14" s="3546"/>
      <c r="F14" s="3546"/>
      <c r="G14" s="3546"/>
      <c r="H14" s="3546"/>
      <c r="I14" s="354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7" workbookViewId="0">
      <selection activeCell="Q18" sqref="Q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0" t="s">
        <v>949</v>
      </c>
      <c r="B1" s="3560"/>
      <c r="C1" s="3560"/>
      <c r="D1" s="3560"/>
    </row>
    <row r="2" spans="1:4" ht="18">
      <c r="A2" s="3561" t="s">
        <v>933</v>
      </c>
      <c r="B2" s="3561"/>
      <c r="C2" s="3561"/>
      <c r="D2" s="356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61" t="s">
        <v>939</v>
      </c>
      <c r="B6" s="3561"/>
      <c r="C6" s="3561"/>
      <c r="D6" s="356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2"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9"/>
      <c r="C12" s="3559"/>
      <c r="D12" s="3559"/>
    </row>
    <row r="13" spans="1:4" ht="30" customHeight="1">
      <c r="A13" s="3554" t="str">
        <f>IF(项目基本情况!B8="抵押","3.抵押双方在办理抵押登记手续时，应使用本公司出具的正式《房地产评估报告》，特提醒报告使用者注意。","——")</f>
        <v>——</v>
      </c>
      <c r="B13" s="3559"/>
      <c r="C13" s="3559"/>
      <c r="D13" s="3559"/>
    </row>
    <row r="14" spans="1:4" ht="15.75" customHeight="1">
      <c r="A14" s="3554" t="str">
        <f>IF(项目基本情况!B8="抵押","4.本次评估估价师所知悉的法定优先受偿款情况说明如下：","——")</f>
        <v>——</v>
      </c>
      <c r="B14" s="3559"/>
      <c r="C14" s="3559"/>
      <c r="D14" s="3559"/>
    </row>
    <row r="15" spans="1:4" ht="42" customHeight="1">
      <c r="A15" s="3554" t="str">
        <f>IF(项目基本情况!B8="抵押","（1）"&amp;CONCATENATE(项目基本情况!L20,项目基本情况!L21,项目基本情况!L22),"——")</f>
        <v>——</v>
      </c>
      <c r="B15" s="3554"/>
      <c r="C15" s="3554"/>
      <c r="D15" s="3554"/>
    </row>
    <row r="16" spans="1:4" ht="30" customHeight="1">
      <c r="A16" s="3556" t="s">
        <v>943</v>
      </c>
      <c r="B16" s="3556"/>
      <c r="C16" s="3556"/>
      <c r="D16" s="3556"/>
    </row>
    <row r="17" spans="1:4" ht="144" customHeight="1">
      <c r="A17" s="3556" t="s">
        <v>944</v>
      </c>
      <c r="B17" s="3556"/>
      <c r="C17" s="3556"/>
      <c r="D17" s="3556"/>
    </row>
    <row r="18" spans="1:4" ht="15.75" customHeight="1">
      <c r="A18" s="3554" t="str">
        <f>IF(项目基本情况!B8="抵押",结果表!K120,"——")</f>
        <v>——</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4"/>
      <c r="C20" s="3554"/>
      <c r="D20" s="3554"/>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7"/>
      <c r="C21" s="3557"/>
      <c r="D21" s="3557"/>
    </row>
    <row r="22" spans="1:4" ht="18.75" customHeight="1">
      <c r="A22" s="3558" t="s">
        <v>945</v>
      </c>
      <c r="B22" s="3558"/>
      <c r="C22" s="3558"/>
      <c r="D22" s="355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5">
        <v>42551</v>
      </c>
      <c r="D31" s="35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8" t="s">
        <v>956</v>
      </c>
      <c r="B15" s="3563" t="s">
        <v>109</v>
      </c>
      <c r="C15" s="3564"/>
    </row>
    <row r="16" spans="1:7" ht="13.5">
      <c r="A16" s="3569"/>
      <c r="B16" s="3563" t="s">
        <v>42</v>
      </c>
      <c r="C16" s="3564"/>
    </row>
    <row r="17" spans="1:3" ht="13.5">
      <c r="A17" s="3569"/>
      <c r="B17" s="3566" t="s">
        <v>957</v>
      </c>
      <c r="C17" s="1532" t="s">
        <v>956</v>
      </c>
    </row>
    <row r="18" spans="1:3" ht="13.5">
      <c r="A18" s="3569"/>
      <c r="B18" s="3566"/>
      <c r="C18" s="1532" t="s">
        <v>958</v>
      </c>
    </row>
    <row r="19" spans="1:3" ht="13.5">
      <c r="A19" s="3569"/>
      <c r="B19" s="3566"/>
      <c r="C19" s="1532" t="s">
        <v>959</v>
      </c>
    </row>
    <row r="20" spans="1:3" ht="13.5">
      <c r="A20" s="3570"/>
      <c r="B20" s="3565" t="s">
        <v>960</v>
      </c>
      <c r="C20" s="3564"/>
    </row>
    <row r="21" spans="1:3" ht="13.5">
      <c r="A21" s="1533" t="s">
        <v>961</v>
      </c>
      <c r="B21" s="1534"/>
      <c r="C21" s="1535"/>
    </row>
    <row r="22" spans="1:3" ht="13.5">
      <c r="A22" s="3567" t="s">
        <v>962</v>
      </c>
      <c r="B22" s="3565" t="s">
        <v>963</v>
      </c>
      <c r="C22" s="3564"/>
    </row>
    <row r="23" spans="1:3" ht="13.5">
      <c r="A23" s="3567"/>
      <c r="B23" s="3565" t="s">
        <v>964</v>
      </c>
      <c r="C23" s="3564"/>
    </row>
    <row r="24" spans="1:3" ht="13.5">
      <c r="A24" s="3567"/>
      <c r="B24" s="3565" t="s">
        <v>965</v>
      </c>
      <c r="C24" s="3564"/>
    </row>
    <row r="25" spans="1:3" ht="13.5">
      <c r="A25" s="3567"/>
      <c r="B25" s="3566" t="s">
        <v>966</v>
      </c>
      <c r="C25" s="1532" t="s">
        <v>967</v>
      </c>
    </row>
    <row r="26" spans="1:3" ht="13.5">
      <c r="A26" s="3567"/>
      <c r="B26" s="3566"/>
      <c r="C26" s="1532" t="s">
        <v>968</v>
      </c>
    </row>
    <row r="27" spans="1:3" ht="13.5">
      <c r="A27" s="3567"/>
      <c r="B27" s="3566"/>
      <c r="C27" s="1532" t="s">
        <v>969</v>
      </c>
    </row>
    <row r="28" spans="1:3" ht="13.5">
      <c r="A28" s="3567"/>
      <c r="B28" s="3566"/>
      <c r="C28" s="1532" t="s">
        <v>970</v>
      </c>
    </row>
    <row r="29" spans="1:3" ht="13.5">
      <c r="A29" s="3567"/>
      <c r="B29" s="3566"/>
      <c r="C29" s="1532" t="s">
        <v>971</v>
      </c>
    </row>
    <row r="30" spans="1:3" ht="13.5">
      <c r="A30" s="3567"/>
      <c r="B30" s="3566"/>
      <c r="C30" s="1532" t="s">
        <v>972</v>
      </c>
    </row>
    <row r="31" spans="1:3" ht="13.5">
      <c r="A31" s="3567"/>
      <c r="B31" s="3566"/>
      <c r="C31" s="1532" t="s">
        <v>973</v>
      </c>
    </row>
    <row r="32" spans="1:3" ht="13.5">
      <c r="A32" s="3567"/>
      <c r="B32" s="3566"/>
      <c r="C32" s="1532" t="s">
        <v>974</v>
      </c>
    </row>
    <row r="33" spans="1:3" ht="13.5">
      <c r="A33" s="3567"/>
      <c r="B33" s="356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1" t="s">
        <v>2160</v>
      </c>
      <c r="B17" s="3571"/>
      <c r="C17" s="3571"/>
      <c r="D17" s="3571"/>
      <c r="E17" s="3571"/>
      <c r="F17" s="3571"/>
      <c r="G17" s="3571"/>
      <c r="H17" s="3571"/>
    </row>
    <row r="18" spans="1:8" ht="24" customHeight="1">
      <c r="A18" s="3572" t="s">
        <v>2161</v>
      </c>
      <c r="B18" s="3572"/>
      <c r="C18" s="3572"/>
      <c r="D18" s="2343"/>
      <c r="E18" s="3573" t="s">
        <v>2162</v>
      </c>
      <c r="F18" s="3572"/>
      <c r="G18" s="357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面积明细</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 (车位)</vt:lpstr>
      <vt:lpstr>收益法（汇总）</vt:lpstr>
      <vt:lpstr>比较法-住宅</vt:lpstr>
      <vt:lpstr>比较法-商业</vt:lpstr>
      <vt:lpstr>比较法-办公</vt:lpstr>
      <vt:lpstr>租金</vt:lpstr>
      <vt:lpstr>售价</vt:lpstr>
      <vt:lpstr>比较法-工业</vt:lpstr>
      <vt:lpstr>大宗</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(车位)'!Print_Area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2023-02-14T05:43:20Z</dcterms:modified>
</cp:coreProperties>
</file>