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552广州第三金碧花园在建工程\最终\"/>
    </mc:Choice>
  </mc:AlternateContent>
  <bookViews>
    <workbookView xWindow="11628" yWindow="168" windowWidth="11388" windowHeight="9468" tabRatio="899" firstSheet="14"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面积明细表" sheetId="77" r:id="rId18"/>
    <sheet name="拆分价值表" sheetId="79" r:id="rId19"/>
    <sheet name="结果表" sheetId="9"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r:id="rId28"/>
    <sheet name="案例" sheetId="78"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7" hidden="1">面积明细表!$A$1:$G$480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K12" i="77" l="1"/>
  <c r="K88" i="9"/>
  <c r="E392" i="79"/>
  <c r="F6" i="15"/>
  <c r="F8" i="15"/>
  <c r="K7" i="1"/>
  <c r="F7" i="15"/>
  <c r="F9" i="15"/>
  <c r="C6" i="15"/>
  <c r="D3" i="4"/>
  <c r="C1" i="73"/>
  <c r="L1" i="73"/>
  <c r="F4" i="73"/>
  <c r="I1" i="73"/>
  <c r="B39" i="1"/>
  <c r="F11" i="15"/>
  <c r="C10" i="15"/>
  <c r="C5" i="15"/>
  <c r="B2" i="1"/>
  <c r="C42" i="1"/>
  <c r="C32" i="15"/>
  <c r="C33" i="15"/>
  <c r="I14" i="3"/>
  <c r="BB14" i="3"/>
  <c r="BA14" i="3"/>
  <c r="AZ14" i="3"/>
  <c r="BB15" i="3"/>
  <c r="BA15" i="3"/>
  <c r="AZ15" i="3"/>
  <c r="AZ5" i="3"/>
  <c r="H14" i="3"/>
  <c r="G14" i="3"/>
  <c r="I15" i="3"/>
  <c r="H15" i="3"/>
  <c r="G15" i="3"/>
  <c r="G5" i="3"/>
  <c r="B3" i="3"/>
  <c r="AY6" i="3"/>
  <c r="D3" i="6"/>
  <c r="E3" i="6"/>
  <c r="D20" i="6"/>
  <c r="F19" i="6"/>
  <c r="E19" i="6"/>
  <c r="BA5" i="3"/>
  <c r="E27" i="6"/>
  <c r="K20" i="6"/>
  <c r="L20" i="6"/>
  <c r="M20" i="6"/>
  <c r="I20" i="6"/>
  <c r="H20" i="6"/>
  <c r="R20" i="6"/>
  <c r="R7" i="1"/>
  <c r="F35" i="15"/>
  <c r="C34" i="15"/>
  <c r="C31" i="15"/>
  <c r="M7" i="1"/>
  <c r="S7" i="1"/>
  <c r="T7" i="1"/>
  <c r="C14" i="15"/>
  <c r="C15" i="15"/>
  <c r="F16" i="15"/>
  <c r="C16" i="15"/>
  <c r="F43" i="15"/>
  <c r="C17" i="15"/>
  <c r="C18" i="15"/>
  <c r="C19" i="15"/>
  <c r="C20" i="15"/>
  <c r="J1" i="73"/>
  <c r="D5" i="73"/>
  <c r="G1" i="73"/>
  <c r="B40" i="1"/>
  <c r="F24" i="15"/>
  <c r="C23" i="15"/>
  <c r="F26" i="15"/>
  <c r="C26" i="15"/>
  <c r="C24" i="15"/>
  <c r="C27" i="15"/>
  <c r="C28" i="15"/>
  <c r="C29" i="15"/>
  <c r="F36" i="15"/>
  <c r="C36" i="15"/>
  <c r="F13" i="15"/>
  <c r="C13" i="15"/>
  <c r="F37" i="15"/>
  <c r="C37" i="15"/>
  <c r="F38" i="15"/>
  <c r="C38" i="15"/>
  <c r="C30" i="15"/>
  <c r="C39" i="15"/>
  <c r="F42" i="15"/>
  <c r="F40" i="15"/>
  <c r="E15" i="4"/>
  <c r="F7" i="1"/>
  <c r="L48" i="15"/>
  <c r="K6" i="1"/>
  <c r="M6" i="1"/>
  <c r="K8" i="1"/>
  <c r="M8" i="1"/>
  <c r="K9" i="1"/>
  <c r="M9" i="1"/>
  <c r="K10" i="1"/>
  <c r="M10" i="1"/>
  <c r="K11" i="1"/>
  <c r="M11" i="1"/>
  <c r="K12" i="1"/>
  <c r="M12" i="1"/>
  <c r="K13" i="1"/>
  <c r="M13" i="1"/>
  <c r="K14" i="1"/>
  <c r="M14" i="1"/>
  <c r="M16" i="1"/>
  <c r="N16" i="1"/>
  <c r="B21" i="1"/>
  <c r="B24" i="1"/>
  <c r="J51" i="15"/>
  <c r="J53" i="15"/>
  <c r="F1" i="15"/>
  <c r="AE7" i="1"/>
  <c r="F41" i="15"/>
  <c r="C40" i="15"/>
  <c r="M6" i="15"/>
  <c r="M8" i="15"/>
  <c r="M7" i="15"/>
  <c r="M9" i="15"/>
  <c r="J6" i="15"/>
  <c r="M11" i="15"/>
  <c r="J10" i="15"/>
  <c r="J5" i="15"/>
  <c r="J26" i="15"/>
  <c r="J29" i="15"/>
  <c r="J60" i="15"/>
  <c r="L46" i="15"/>
  <c r="B2" i="15"/>
  <c r="D8" i="12"/>
  <c r="L11" i="79"/>
  <c r="BB5" i="3"/>
  <c r="E8" i="6"/>
  <c r="F27" i="6"/>
  <c r="F31" i="6"/>
  <c r="D19" i="6"/>
  <c r="D21" i="6"/>
  <c r="D22" i="6"/>
  <c r="D23" i="6"/>
  <c r="D24" i="6"/>
  <c r="D25" i="6"/>
  <c r="D26" i="6"/>
  <c r="D27" i="6"/>
  <c r="D28" i="6"/>
  <c r="D29" i="6"/>
  <c r="D30" i="6"/>
  <c r="D31" i="6"/>
  <c r="I6" i="6"/>
  <c r="C11" i="21"/>
  <c r="F11" i="21"/>
  <c r="AA11" i="21"/>
  <c r="C33" i="21"/>
  <c r="F33" i="21"/>
  <c r="AA33" i="21"/>
  <c r="C7" i="21"/>
  <c r="C58" i="21"/>
  <c r="D58" i="21"/>
  <c r="E58" i="21"/>
  <c r="F58" i="21"/>
  <c r="G58" i="21"/>
  <c r="H58" i="21"/>
  <c r="I58" i="21"/>
  <c r="J58" i="21"/>
  <c r="K58" i="21"/>
  <c r="L58" i="21"/>
  <c r="M58" i="21"/>
  <c r="N58" i="21"/>
  <c r="O58" i="21"/>
  <c r="F7" i="21"/>
  <c r="AA7" i="21"/>
  <c r="R48" i="21"/>
  <c r="H11" i="21"/>
  <c r="AB11" i="21"/>
  <c r="H33" i="21"/>
  <c r="AB33" i="21"/>
  <c r="H7" i="21"/>
  <c r="AB7" i="21"/>
  <c r="T48" i="21"/>
  <c r="J11" i="21"/>
  <c r="AC11" i="21"/>
  <c r="J33" i="21"/>
  <c r="AC33" i="21"/>
  <c r="J7" i="21"/>
  <c r="AC7" i="21"/>
  <c r="V48" i="21"/>
  <c r="R49" i="21"/>
  <c r="C49" i="21"/>
  <c r="D3" i="21"/>
  <c r="B2" i="21"/>
  <c r="C8" i="12"/>
  <c r="C4" i="12"/>
  <c r="K7" i="79"/>
  <c r="F22" i="68"/>
  <c r="C11" i="39"/>
  <c r="F11" i="39"/>
  <c r="AA11"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H11" i="39"/>
  <c r="AB11" i="39"/>
  <c r="H7" i="39"/>
  <c r="AB7" i="39"/>
  <c r="J11" i="39"/>
  <c r="AC11" i="39"/>
  <c r="J7" i="39"/>
  <c r="AC7" i="39"/>
  <c r="E56" i="39"/>
  <c r="E11" i="6"/>
  <c r="E61" i="39"/>
  <c r="E12" i="6"/>
  <c r="E62" i="39"/>
  <c r="E13" i="6"/>
  <c r="E63" i="39"/>
  <c r="E14" i="6"/>
  <c r="E64" i="39"/>
  <c r="E15" i="6"/>
  <c r="E65" i="39"/>
  <c r="K15" i="1"/>
  <c r="K16" i="1"/>
  <c r="B29" i="1"/>
  <c r="C8" i="68"/>
  <c r="B23" i="1"/>
  <c r="C24" i="68"/>
  <c r="Q16" i="1"/>
  <c r="F27" i="68"/>
  <c r="C26" i="68"/>
  <c r="D22" i="68"/>
  <c r="C29" i="68"/>
  <c r="D27" i="68"/>
  <c r="F34" i="68"/>
  <c r="O6" i="1"/>
  <c r="O7" i="1"/>
  <c r="O8" i="1"/>
  <c r="O9" i="1"/>
  <c r="O10" i="1"/>
  <c r="O11" i="1"/>
  <c r="O12" i="1"/>
  <c r="O13" i="1"/>
  <c r="O14" i="1"/>
  <c r="O16" i="1"/>
  <c r="C34" i="68"/>
  <c r="C35" i="68"/>
  <c r="C36" i="68"/>
  <c r="E5" i="6"/>
  <c r="D9" i="68"/>
  <c r="E6" i="6"/>
  <c r="D10" i="68"/>
  <c r="D19" i="68"/>
  <c r="D37" i="68"/>
  <c r="C37" i="68"/>
  <c r="C38" i="68"/>
  <c r="C33" i="68"/>
  <c r="C39" i="68"/>
  <c r="C42" i="68"/>
  <c r="C43" i="68"/>
  <c r="C41" i="68"/>
  <c r="C46" i="68"/>
  <c r="C45" i="68"/>
  <c r="C44" i="68"/>
  <c r="D41" i="68"/>
  <c r="C47" i="68"/>
  <c r="D45" i="68"/>
  <c r="C48" i="68"/>
  <c r="C49" i="68"/>
  <c r="F50" i="68"/>
  <c r="C51" i="68"/>
  <c r="P6" i="1"/>
  <c r="P7" i="1"/>
  <c r="P8" i="1"/>
  <c r="P9" i="1"/>
  <c r="P10" i="1"/>
  <c r="P11" i="1"/>
  <c r="P12" i="1"/>
  <c r="P13" i="1"/>
  <c r="P14" i="1"/>
  <c r="P16" i="1"/>
  <c r="C11" i="12"/>
  <c r="C12" i="12"/>
  <c r="C13" i="12"/>
  <c r="D14" i="12"/>
  <c r="F11" i="12"/>
  <c r="C14" i="12"/>
  <c r="C15" i="12"/>
  <c r="C16" i="12"/>
  <c r="D17" i="12"/>
  <c r="C17" i="12"/>
  <c r="D19" i="12"/>
  <c r="B27" i="1"/>
  <c r="E19" i="12"/>
  <c r="C19" i="12"/>
  <c r="D20" i="12"/>
  <c r="B28" i="1"/>
  <c r="E20" i="12"/>
  <c r="C20" i="12"/>
  <c r="C18" i="12"/>
  <c r="C21" i="12"/>
  <c r="C22" i="12"/>
  <c r="C23" i="12"/>
  <c r="F25" i="12"/>
  <c r="C27" i="12"/>
  <c r="C25" i="12"/>
  <c r="F28" i="12"/>
  <c r="C30" i="12"/>
  <c r="C28" i="12"/>
  <c r="C31" i="12"/>
  <c r="C24" i="12"/>
  <c r="C26" i="12"/>
  <c r="D25" i="12"/>
  <c r="C29" i="12"/>
  <c r="D28" i="12"/>
  <c r="C32" i="12"/>
  <c r="B2" i="12"/>
  <c r="D19" i="9"/>
  <c r="D7" i="12"/>
  <c r="L10" i="79"/>
  <c r="K11" i="79"/>
  <c r="K36" i="79"/>
  <c r="K18" i="77"/>
  <c r="K392" i="79"/>
  <c r="K5" i="77"/>
  <c r="M6" i="77"/>
  <c r="K6" i="77"/>
  <c r="M7" i="77"/>
  <c r="K7" i="77"/>
  <c r="L8" i="77"/>
  <c r="M8" i="77"/>
  <c r="K8" i="77"/>
  <c r="K9" i="77"/>
  <c r="M9" i="77"/>
  <c r="U7" i="1"/>
  <c r="K13" i="3"/>
  <c r="F20" i="6"/>
  <c r="E20" i="6"/>
  <c r="BD15" i="3"/>
  <c r="BM15" i="3"/>
  <c r="BR15" i="3"/>
  <c r="BL15" i="3"/>
  <c r="BC13" i="3"/>
  <c r="BA13" i="3"/>
  <c r="AZ13" i="3"/>
  <c r="M15" i="3"/>
  <c r="AD15" i="3"/>
  <c r="AN15" i="3"/>
  <c r="AC15" i="3"/>
  <c r="AT15" i="3"/>
  <c r="H13" i="3"/>
  <c r="G13" i="3"/>
  <c r="BR5" i="3"/>
  <c r="G28" i="6"/>
  <c r="E28" i="6"/>
  <c r="N15" i="77"/>
  <c r="N16" i="77"/>
  <c r="N17" i="77"/>
  <c r="N18" i="77"/>
  <c r="N6" i="1"/>
  <c r="N7" i="1"/>
  <c r="BC5" i="3"/>
  <c r="BM5" i="3"/>
  <c r="F29" i="6"/>
  <c r="F30" i="6"/>
  <c r="E29" i="6"/>
  <c r="BD5" i="3"/>
  <c r="B3" i="15"/>
  <c r="D6" i="12"/>
  <c r="L9" i="79"/>
  <c r="C7" i="12"/>
  <c r="K10" i="79"/>
  <c r="B3" i="21"/>
  <c r="C6" i="12"/>
  <c r="K9" i="79"/>
  <c r="I37" i="79"/>
  <c r="K37" i="79"/>
  <c r="I38" i="79"/>
  <c r="K38" i="79"/>
  <c r="I39" i="79"/>
  <c r="K39" i="79"/>
  <c r="I40" i="79"/>
  <c r="K40" i="79"/>
  <c r="I41" i="79"/>
  <c r="K41" i="79"/>
  <c r="I42" i="79"/>
  <c r="K42" i="79"/>
  <c r="I43" i="79"/>
  <c r="K43" i="79"/>
  <c r="I44" i="79"/>
  <c r="K44" i="79"/>
  <c r="I45" i="79"/>
  <c r="K45" i="79"/>
  <c r="I46" i="79"/>
  <c r="K46" i="79"/>
  <c r="I47" i="79"/>
  <c r="K47" i="79"/>
  <c r="I48" i="79"/>
  <c r="K48" i="79"/>
  <c r="I49" i="79"/>
  <c r="K49" i="79"/>
  <c r="I50" i="79"/>
  <c r="K50" i="79"/>
  <c r="I51" i="79"/>
  <c r="K51" i="79"/>
  <c r="I52" i="79"/>
  <c r="K52" i="79"/>
  <c r="I53" i="79"/>
  <c r="K53" i="79"/>
  <c r="I54" i="79"/>
  <c r="K54" i="79"/>
  <c r="I55" i="79"/>
  <c r="K55" i="79"/>
  <c r="I56" i="79"/>
  <c r="K56" i="79"/>
  <c r="I57" i="79"/>
  <c r="K57" i="79"/>
  <c r="I58" i="79"/>
  <c r="K58" i="79"/>
  <c r="I59" i="79"/>
  <c r="K59" i="79"/>
  <c r="I60" i="79"/>
  <c r="K60" i="79"/>
  <c r="I61" i="79"/>
  <c r="K61" i="79"/>
  <c r="I62" i="79"/>
  <c r="K62" i="79"/>
  <c r="I63" i="79"/>
  <c r="K63" i="79"/>
  <c r="I64" i="79"/>
  <c r="K64" i="79"/>
  <c r="I65" i="79"/>
  <c r="K65" i="79"/>
  <c r="I66" i="79"/>
  <c r="K66" i="79"/>
  <c r="I67" i="79"/>
  <c r="K67" i="79"/>
  <c r="I68" i="79"/>
  <c r="K68" i="79"/>
  <c r="I69" i="79"/>
  <c r="K69" i="79"/>
  <c r="I70" i="79"/>
  <c r="K70" i="79"/>
  <c r="I71" i="79"/>
  <c r="K71" i="79"/>
  <c r="I72" i="79"/>
  <c r="K72" i="79"/>
  <c r="I73" i="79"/>
  <c r="K73" i="79"/>
  <c r="I74" i="79"/>
  <c r="K74" i="79"/>
  <c r="I75" i="79"/>
  <c r="K75" i="79"/>
  <c r="I76" i="79"/>
  <c r="K76" i="79"/>
  <c r="I77" i="79"/>
  <c r="K77" i="79"/>
  <c r="I78" i="79"/>
  <c r="K78" i="79"/>
  <c r="I79" i="79"/>
  <c r="K79" i="79"/>
  <c r="I80" i="79"/>
  <c r="K80" i="79"/>
  <c r="I81" i="79"/>
  <c r="K81" i="79"/>
  <c r="I82" i="79"/>
  <c r="K82" i="79"/>
  <c r="I83" i="79"/>
  <c r="K83" i="79"/>
  <c r="I84" i="79"/>
  <c r="K84" i="79"/>
  <c r="I85" i="79"/>
  <c r="K85" i="79"/>
  <c r="I86" i="79"/>
  <c r="K86" i="79"/>
  <c r="I87" i="79"/>
  <c r="K87" i="79"/>
  <c r="I88" i="79"/>
  <c r="K88" i="79"/>
  <c r="I89" i="79"/>
  <c r="K89" i="79"/>
  <c r="I90" i="79"/>
  <c r="K90" i="79"/>
  <c r="I91" i="79"/>
  <c r="K91" i="79"/>
  <c r="I92" i="79"/>
  <c r="K92" i="79"/>
  <c r="I93" i="79"/>
  <c r="K93" i="79"/>
  <c r="I94" i="79"/>
  <c r="K94" i="79"/>
  <c r="I95" i="79"/>
  <c r="K95" i="79"/>
  <c r="I96" i="79"/>
  <c r="K96" i="79"/>
  <c r="I97" i="79"/>
  <c r="K97" i="79"/>
  <c r="I98" i="79"/>
  <c r="K98" i="79"/>
  <c r="I99" i="79"/>
  <c r="K99" i="79"/>
  <c r="I100" i="79"/>
  <c r="K100" i="79"/>
  <c r="I101" i="79"/>
  <c r="K101" i="79"/>
  <c r="I102" i="79"/>
  <c r="K102" i="79"/>
  <c r="I103" i="79"/>
  <c r="K103" i="79"/>
  <c r="I104" i="79"/>
  <c r="K104" i="79"/>
  <c r="I105" i="79"/>
  <c r="K105" i="79"/>
  <c r="I106" i="79"/>
  <c r="K106" i="79"/>
  <c r="I107" i="79"/>
  <c r="K107" i="79"/>
  <c r="I108" i="79"/>
  <c r="K108" i="79"/>
  <c r="I109" i="79"/>
  <c r="K109" i="79"/>
  <c r="I110" i="79"/>
  <c r="K110" i="79"/>
  <c r="I111" i="79"/>
  <c r="K111" i="79"/>
  <c r="I112" i="79"/>
  <c r="K112" i="79"/>
  <c r="I113" i="79"/>
  <c r="K113" i="79"/>
  <c r="I114" i="79"/>
  <c r="K114" i="79"/>
  <c r="I115" i="79"/>
  <c r="K115" i="79"/>
  <c r="I116" i="79"/>
  <c r="K116" i="79"/>
  <c r="I117" i="79"/>
  <c r="K117" i="79"/>
  <c r="I118" i="79"/>
  <c r="K118" i="79"/>
  <c r="I119" i="79"/>
  <c r="K119" i="79"/>
  <c r="I120" i="79"/>
  <c r="K120" i="79"/>
  <c r="I121" i="79"/>
  <c r="K121" i="79"/>
  <c r="I122" i="79"/>
  <c r="K122" i="79"/>
  <c r="I123" i="79"/>
  <c r="K123" i="79"/>
  <c r="I124" i="79"/>
  <c r="K124" i="79"/>
  <c r="I125" i="79"/>
  <c r="K125" i="79"/>
  <c r="I126" i="79"/>
  <c r="K126" i="79"/>
  <c r="I127" i="79"/>
  <c r="K127" i="79"/>
  <c r="I128" i="79"/>
  <c r="K128" i="79"/>
  <c r="I129" i="79"/>
  <c r="K129" i="79"/>
  <c r="I130" i="79"/>
  <c r="K130" i="79"/>
  <c r="I131" i="79"/>
  <c r="K131" i="79"/>
  <c r="I132" i="79"/>
  <c r="K132" i="79"/>
  <c r="I133" i="79"/>
  <c r="K133" i="79"/>
  <c r="I134" i="79"/>
  <c r="K134" i="79"/>
  <c r="I135" i="79"/>
  <c r="K135" i="79"/>
  <c r="I136" i="79"/>
  <c r="K136" i="79"/>
  <c r="I137" i="79"/>
  <c r="K137" i="79"/>
  <c r="I138" i="79"/>
  <c r="K138" i="79"/>
  <c r="I139" i="79"/>
  <c r="K139" i="79"/>
  <c r="I140" i="79"/>
  <c r="K140" i="79"/>
  <c r="I141" i="79"/>
  <c r="K141" i="79"/>
  <c r="I142" i="79"/>
  <c r="K142" i="79"/>
  <c r="I143" i="79"/>
  <c r="K143" i="79"/>
  <c r="I144" i="79"/>
  <c r="K144" i="79"/>
  <c r="I145" i="79"/>
  <c r="K145" i="79"/>
  <c r="I146" i="79"/>
  <c r="K146" i="79"/>
  <c r="I147" i="79"/>
  <c r="K147" i="79"/>
  <c r="I148" i="79"/>
  <c r="K148" i="79"/>
  <c r="I149" i="79"/>
  <c r="K149" i="79"/>
  <c r="I150" i="79"/>
  <c r="K150" i="79"/>
  <c r="I151" i="79"/>
  <c r="K151" i="79"/>
  <c r="I152" i="79"/>
  <c r="K152" i="79"/>
  <c r="I153" i="79"/>
  <c r="K153" i="79"/>
  <c r="I154" i="79"/>
  <c r="K154" i="79"/>
  <c r="I155" i="79"/>
  <c r="K155" i="79"/>
  <c r="I156" i="79"/>
  <c r="K156" i="79"/>
  <c r="I157" i="79"/>
  <c r="K157" i="79"/>
  <c r="I158" i="79"/>
  <c r="K158" i="79"/>
  <c r="I159" i="79"/>
  <c r="K159" i="79"/>
  <c r="I160" i="79"/>
  <c r="K160" i="79"/>
  <c r="I161" i="79"/>
  <c r="K161" i="79"/>
  <c r="I162" i="79"/>
  <c r="K162" i="79"/>
  <c r="I163" i="79"/>
  <c r="K163" i="79"/>
  <c r="I164" i="79"/>
  <c r="K164" i="79"/>
  <c r="I165" i="79"/>
  <c r="K165" i="79"/>
  <c r="I166" i="79"/>
  <c r="K166" i="79"/>
  <c r="I167" i="79"/>
  <c r="K167" i="79"/>
  <c r="I168" i="79"/>
  <c r="K168" i="79"/>
  <c r="I169" i="79"/>
  <c r="K169" i="79"/>
  <c r="I170" i="79"/>
  <c r="K170" i="79"/>
  <c r="I171" i="79"/>
  <c r="K171" i="79"/>
  <c r="I172" i="79"/>
  <c r="K172" i="79"/>
  <c r="I173" i="79"/>
  <c r="K173" i="79"/>
  <c r="I174" i="79"/>
  <c r="K174" i="79"/>
  <c r="I175" i="79"/>
  <c r="K175" i="79"/>
  <c r="I176" i="79"/>
  <c r="K176" i="79"/>
  <c r="I177" i="79"/>
  <c r="K177" i="79"/>
  <c r="I178" i="79"/>
  <c r="K178" i="79"/>
  <c r="I179" i="79"/>
  <c r="K179" i="79"/>
  <c r="I180" i="79"/>
  <c r="K180" i="79"/>
  <c r="I181" i="79"/>
  <c r="K181" i="79"/>
  <c r="I182" i="79"/>
  <c r="K182" i="79"/>
  <c r="I183" i="79"/>
  <c r="K183" i="79"/>
  <c r="I184" i="79"/>
  <c r="K184" i="79"/>
  <c r="I185" i="79"/>
  <c r="K185" i="79"/>
  <c r="I186" i="79"/>
  <c r="K186" i="79"/>
  <c r="I187" i="79"/>
  <c r="K187" i="79"/>
  <c r="I188" i="79"/>
  <c r="K188" i="79"/>
  <c r="I189" i="79"/>
  <c r="K189" i="79"/>
  <c r="I190" i="79"/>
  <c r="K190" i="79"/>
  <c r="I191" i="79"/>
  <c r="K191" i="79"/>
  <c r="I192" i="79"/>
  <c r="K192" i="79"/>
  <c r="I193" i="79"/>
  <c r="K193" i="79"/>
  <c r="I194" i="79"/>
  <c r="K194" i="79"/>
  <c r="I195" i="79"/>
  <c r="K195" i="79"/>
  <c r="I196" i="79"/>
  <c r="K196" i="79"/>
  <c r="I197" i="79"/>
  <c r="K197" i="79"/>
  <c r="I198" i="79"/>
  <c r="K198" i="79"/>
  <c r="I199" i="79"/>
  <c r="K199" i="79"/>
  <c r="I200" i="79"/>
  <c r="K200" i="79"/>
  <c r="I201" i="79"/>
  <c r="K201" i="79"/>
  <c r="I202" i="79"/>
  <c r="K202" i="79"/>
  <c r="I203" i="79"/>
  <c r="K203" i="79"/>
  <c r="I204" i="79"/>
  <c r="K204" i="79"/>
  <c r="I205" i="79"/>
  <c r="K205" i="79"/>
  <c r="I206" i="79"/>
  <c r="K206" i="79"/>
  <c r="I207" i="79"/>
  <c r="K207" i="79"/>
  <c r="I208" i="79"/>
  <c r="K208" i="79"/>
  <c r="I209" i="79"/>
  <c r="K209" i="79"/>
  <c r="I210" i="79"/>
  <c r="K210" i="79"/>
  <c r="I211" i="79"/>
  <c r="K211" i="79"/>
  <c r="I212" i="79"/>
  <c r="K212" i="79"/>
  <c r="I213" i="79"/>
  <c r="K213" i="79"/>
  <c r="I214" i="79"/>
  <c r="K214" i="79"/>
  <c r="I215" i="79"/>
  <c r="K215" i="79"/>
  <c r="I216" i="79"/>
  <c r="K216" i="79"/>
  <c r="I217" i="79"/>
  <c r="K217" i="79"/>
  <c r="I218" i="79"/>
  <c r="K218" i="79"/>
  <c r="I219" i="79"/>
  <c r="K219" i="79"/>
  <c r="I220" i="79"/>
  <c r="K220" i="79"/>
  <c r="I221" i="79"/>
  <c r="K221" i="79"/>
  <c r="I222" i="79"/>
  <c r="K222" i="79"/>
  <c r="I223" i="79"/>
  <c r="K223" i="79"/>
  <c r="I224" i="79"/>
  <c r="K224" i="79"/>
  <c r="I225" i="79"/>
  <c r="K225" i="79"/>
  <c r="I226" i="79"/>
  <c r="K226" i="79"/>
  <c r="I227" i="79"/>
  <c r="K227" i="79"/>
  <c r="I228" i="79"/>
  <c r="K228" i="79"/>
  <c r="I229" i="79"/>
  <c r="K229" i="79"/>
  <c r="I230" i="79"/>
  <c r="K230" i="79"/>
  <c r="I231" i="79"/>
  <c r="K231" i="79"/>
  <c r="I232" i="79"/>
  <c r="K232" i="79"/>
  <c r="I233" i="79"/>
  <c r="K233" i="79"/>
  <c r="I234" i="79"/>
  <c r="K234" i="79"/>
  <c r="I235" i="79"/>
  <c r="K235" i="79"/>
  <c r="I236" i="79"/>
  <c r="K236" i="79"/>
  <c r="I237" i="79"/>
  <c r="K237" i="79"/>
  <c r="I238" i="79"/>
  <c r="K238" i="79"/>
  <c r="I239" i="79"/>
  <c r="K239" i="79"/>
  <c r="I240" i="79"/>
  <c r="K240" i="79"/>
  <c r="I241" i="79"/>
  <c r="K241" i="79"/>
  <c r="I242" i="79"/>
  <c r="K242" i="79"/>
  <c r="I243" i="79"/>
  <c r="K243" i="79"/>
  <c r="I244" i="79"/>
  <c r="K244" i="79"/>
  <c r="I245" i="79"/>
  <c r="K245" i="79"/>
  <c r="I246" i="79"/>
  <c r="K246" i="79"/>
  <c r="I247" i="79"/>
  <c r="K247" i="79"/>
  <c r="I248" i="79"/>
  <c r="K248" i="79"/>
  <c r="I249" i="79"/>
  <c r="K249" i="79"/>
  <c r="I250" i="79"/>
  <c r="K250" i="79"/>
  <c r="I251" i="79"/>
  <c r="K251" i="79"/>
  <c r="I252" i="79"/>
  <c r="K252" i="79"/>
  <c r="I253" i="79"/>
  <c r="K253" i="79"/>
  <c r="I254" i="79"/>
  <c r="K254" i="79"/>
  <c r="I255" i="79"/>
  <c r="K255" i="79"/>
  <c r="I256" i="79"/>
  <c r="K256" i="79"/>
  <c r="I257" i="79"/>
  <c r="K257" i="79"/>
  <c r="I258" i="79"/>
  <c r="K258" i="79"/>
  <c r="I259" i="79"/>
  <c r="K259" i="79"/>
  <c r="I260" i="79"/>
  <c r="K260" i="79"/>
  <c r="I261" i="79"/>
  <c r="K261" i="79"/>
  <c r="I262" i="79"/>
  <c r="K262" i="79"/>
  <c r="I263" i="79"/>
  <c r="K263" i="79"/>
  <c r="I264" i="79"/>
  <c r="K264" i="79"/>
  <c r="I265" i="79"/>
  <c r="K265" i="79"/>
  <c r="I266" i="79"/>
  <c r="K266" i="79"/>
  <c r="I267" i="79"/>
  <c r="K267" i="79"/>
  <c r="I268" i="79"/>
  <c r="K268" i="79"/>
  <c r="I269" i="79"/>
  <c r="K269" i="79"/>
  <c r="I270" i="79"/>
  <c r="K270" i="79"/>
  <c r="I271" i="79"/>
  <c r="K271" i="79"/>
  <c r="I272" i="79"/>
  <c r="K272" i="79"/>
  <c r="I273" i="79"/>
  <c r="K273" i="79"/>
  <c r="I274" i="79"/>
  <c r="K274" i="79"/>
  <c r="I275" i="79"/>
  <c r="K275" i="79"/>
  <c r="I276" i="79"/>
  <c r="K276" i="79"/>
  <c r="I277" i="79"/>
  <c r="K277" i="79"/>
  <c r="I278" i="79"/>
  <c r="K278" i="79"/>
  <c r="I279" i="79"/>
  <c r="K279" i="79"/>
  <c r="I280" i="79"/>
  <c r="K280" i="79"/>
  <c r="I281" i="79"/>
  <c r="K281" i="79"/>
  <c r="I282" i="79"/>
  <c r="K282" i="79"/>
  <c r="I283" i="79"/>
  <c r="K283" i="79"/>
  <c r="I284" i="79"/>
  <c r="K284" i="79"/>
  <c r="I285" i="79"/>
  <c r="K285" i="79"/>
  <c r="I286" i="79"/>
  <c r="K286" i="79"/>
  <c r="I287" i="79"/>
  <c r="K287" i="79"/>
  <c r="I288" i="79"/>
  <c r="K288" i="79"/>
  <c r="I289" i="79"/>
  <c r="K289" i="79"/>
  <c r="I290" i="79"/>
  <c r="K290" i="79"/>
  <c r="I291" i="79"/>
  <c r="K291" i="79"/>
  <c r="I292" i="79"/>
  <c r="K292" i="79"/>
  <c r="I293" i="79"/>
  <c r="K293" i="79"/>
  <c r="I294" i="79"/>
  <c r="K294" i="79"/>
  <c r="I295" i="79"/>
  <c r="K295" i="79"/>
  <c r="I296" i="79"/>
  <c r="K296" i="79"/>
  <c r="I297" i="79"/>
  <c r="K297" i="79"/>
  <c r="I298" i="79"/>
  <c r="K298" i="79"/>
  <c r="I299" i="79"/>
  <c r="K299" i="79"/>
  <c r="I300" i="79"/>
  <c r="K300" i="79"/>
  <c r="I301" i="79"/>
  <c r="K301" i="79"/>
  <c r="I302" i="79"/>
  <c r="K302" i="79"/>
  <c r="I303" i="79"/>
  <c r="K303" i="79"/>
  <c r="I304" i="79"/>
  <c r="K304" i="79"/>
  <c r="I305" i="79"/>
  <c r="K305" i="79"/>
  <c r="I306" i="79"/>
  <c r="K306" i="79"/>
  <c r="I307" i="79"/>
  <c r="K307" i="79"/>
  <c r="I308" i="79"/>
  <c r="K308" i="79"/>
  <c r="I309" i="79"/>
  <c r="K309" i="79"/>
  <c r="I310" i="79"/>
  <c r="K310" i="79"/>
  <c r="I311" i="79"/>
  <c r="K311" i="79"/>
  <c r="I312" i="79"/>
  <c r="K312" i="79"/>
  <c r="I313" i="79"/>
  <c r="K313" i="79"/>
  <c r="I314" i="79"/>
  <c r="K314" i="79"/>
  <c r="I315" i="79"/>
  <c r="K315" i="79"/>
  <c r="I316" i="79"/>
  <c r="K316" i="79"/>
  <c r="I317" i="79"/>
  <c r="K317" i="79"/>
  <c r="I318" i="79"/>
  <c r="K318" i="79"/>
  <c r="I319" i="79"/>
  <c r="K319" i="79"/>
  <c r="I320" i="79"/>
  <c r="K320" i="79"/>
  <c r="I321" i="79"/>
  <c r="K321" i="79"/>
  <c r="I322" i="79"/>
  <c r="K322" i="79"/>
  <c r="I323" i="79"/>
  <c r="K323" i="79"/>
  <c r="I324" i="79"/>
  <c r="K324" i="79"/>
  <c r="I325" i="79"/>
  <c r="K325" i="79"/>
  <c r="I326" i="79"/>
  <c r="K326" i="79"/>
  <c r="I327" i="79"/>
  <c r="K327" i="79"/>
  <c r="I328" i="79"/>
  <c r="K328" i="79"/>
  <c r="I329" i="79"/>
  <c r="K329" i="79"/>
  <c r="I330" i="79"/>
  <c r="K330" i="79"/>
  <c r="I331" i="79"/>
  <c r="K331" i="79"/>
  <c r="I332" i="79"/>
  <c r="K332" i="79"/>
  <c r="I333" i="79"/>
  <c r="K333" i="79"/>
  <c r="I334" i="79"/>
  <c r="K334" i="79"/>
  <c r="I335" i="79"/>
  <c r="K335" i="79"/>
  <c r="I336" i="79"/>
  <c r="K336" i="79"/>
  <c r="I337" i="79"/>
  <c r="K337" i="79"/>
  <c r="I338" i="79"/>
  <c r="K338" i="79"/>
  <c r="I339" i="79"/>
  <c r="K339" i="79"/>
  <c r="I340" i="79"/>
  <c r="K340" i="79"/>
  <c r="I341" i="79"/>
  <c r="K341" i="79"/>
  <c r="I342" i="79"/>
  <c r="K342" i="79"/>
  <c r="I343" i="79"/>
  <c r="K343" i="79"/>
  <c r="I344" i="79"/>
  <c r="K344" i="79"/>
  <c r="I345" i="79"/>
  <c r="K345" i="79"/>
  <c r="I346" i="79"/>
  <c r="K346" i="79"/>
  <c r="I347" i="79"/>
  <c r="K347" i="79"/>
  <c r="I348" i="79"/>
  <c r="K348" i="79"/>
  <c r="I349" i="79"/>
  <c r="K349" i="79"/>
  <c r="I350" i="79"/>
  <c r="K350" i="79"/>
  <c r="I351" i="79"/>
  <c r="K351" i="79"/>
  <c r="I352" i="79"/>
  <c r="K352" i="79"/>
  <c r="I353" i="79"/>
  <c r="K353" i="79"/>
  <c r="I354" i="79"/>
  <c r="K354" i="79"/>
  <c r="I355" i="79"/>
  <c r="K355" i="79"/>
  <c r="I356" i="79"/>
  <c r="K356" i="79"/>
  <c r="I357" i="79"/>
  <c r="K357" i="79"/>
  <c r="I358" i="79"/>
  <c r="K358" i="79"/>
  <c r="I359" i="79"/>
  <c r="K359" i="79"/>
  <c r="I360" i="79"/>
  <c r="K360" i="79"/>
  <c r="I361" i="79"/>
  <c r="K361" i="79"/>
  <c r="I362" i="79"/>
  <c r="K362" i="79"/>
  <c r="I363" i="79"/>
  <c r="K363" i="79"/>
  <c r="I364" i="79"/>
  <c r="K364" i="79"/>
  <c r="I365" i="79"/>
  <c r="K365" i="79"/>
  <c r="I366" i="79"/>
  <c r="K366" i="79"/>
  <c r="I367" i="79"/>
  <c r="K367" i="79"/>
  <c r="I368" i="79"/>
  <c r="K368" i="79"/>
  <c r="I369" i="79"/>
  <c r="K369" i="79"/>
  <c r="I370" i="79"/>
  <c r="K370" i="79"/>
  <c r="I371" i="79"/>
  <c r="K371" i="79"/>
  <c r="I372" i="79"/>
  <c r="K372" i="79"/>
  <c r="I373" i="79"/>
  <c r="K373" i="79"/>
  <c r="I374" i="79"/>
  <c r="K374" i="79"/>
  <c r="I375" i="79"/>
  <c r="K375" i="79"/>
  <c r="I376" i="79"/>
  <c r="K376" i="79"/>
  <c r="I377" i="79"/>
  <c r="K377" i="79"/>
  <c r="I378" i="79"/>
  <c r="K378" i="79"/>
  <c r="I379" i="79"/>
  <c r="K379" i="79"/>
  <c r="I380" i="79"/>
  <c r="K380" i="79"/>
  <c r="I381" i="79"/>
  <c r="K381" i="79"/>
  <c r="I382" i="79"/>
  <c r="K382" i="79"/>
  <c r="I383" i="79"/>
  <c r="K383" i="79"/>
  <c r="I384" i="79"/>
  <c r="K384" i="79"/>
  <c r="I385" i="79"/>
  <c r="K385" i="79"/>
  <c r="I386" i="79"/>
  <c r="K386" i="79"/>
  <c r="I387" i="79"/>
  <c r="K387" i="79"/>
  <c r="I388" i="79"/>
  <c r="K388" i="79"/>
  <c r="I389" i="79"/>
  <c r="K389" i="79"/>
  <c r="I390" i="79"/>
  <c r="K390" i="79"/>
  <c r="I391" i="79"/>
  <c r="K391" i="79"/>
  <c r="M86" i="9"/>
  <c r="L86" i="9"/>
  <c r="C90" i="9"/>
  <c r="C88" i="9"/>
  <c r="O9" i="77"/>
  <c r="L9" i="77"/>
  <c r="I38" i="39"/>
  <c r="G38" i="39"/>
  <c r="E38" i="39"/>
  <c r="C38" i="39"/>
  <c r="I46" i="39"/>
  <c r="G46" i="39"/>
  <c r="E46" i="39"/>
  <c r="D118" i="39"/>
  <c r="E118" i="39"/>
  <c r="F118" i="39"/>
  <c r="G118" i="39"/>
  <c r="D117" i="39"/>
  <c r="E117" i="39"/>
  <c r="F117" i="39"/>
  <c r="G117" i="39"/>
  <c r="D71" i="39"/>
  <c r="E71" i="39"/>
  <c r="F71" i="39"/>
  <c r="G71" i="39"/>
  <c r="H71" i="39"/>
  <c r="I71" i="39"/>
  <c r="J71" i="39"/>
  <c r="K71" i="39"/>
  <c r="L71" i="39"/>
  <c r="M71" i="39"/>
  <c r="N71" i="39"/>
  <c r="O71" i="39"/>
  <c r="I7" i="39"/>
  <c r="G7" i="39"/>
  <c r="E7" i="39"/>
  <c r="I5" i="39"/>
  <c r="G5" i="39"/>
  <c r="E5" i="39"/>
  <c r="C5" i="39"/>
  <c r="D69" i="21"/>
  <c r="E69" i="21"/>
  <c r="F69" i="21"/>
  <c r="G69" i="21"/>
  <c r="H69" i="21"/>
  <c r="I69" i="21"/>
  <c r="J69" i="21"/>
  <c r="F34" i="21"/>
  <c r="AA34" i="21"/>
  <c r="H34" i="21"/>
  <c r="AB34" i="21"/>
  <c r="J34" i="21"/>
  <c r="AC34" i="21"/>
  <c r="D104" i="21"/>
  <c r="E104" i="21"/>
  <c r="F104" i="21"/>
  <c r="G104" i="21"/>
  <c r="H104" i="21"/>
  <c r="I104" i="21"/>
  <c r="D103" i="21"/>
  <c r="E103" i="21"/>
  <c r="F103" i="21"/>
  <c r="G103" i="21"/>
  <c r="H103" i="21"/>
  <c r="I103" i="21"/>
  <c r="F8" i="39"/>
  <c r="AA8" i="39"/>
  <c r="F9" i="39"/>
  <c r="AA9" i="39"/>
  <c r="R46" i="39"/>
  <c r="F38" i="39"/>
  <c r="AA38" i="39"/>
  <c r="D120" i="39"/>
  <c r="F39" i="39"/>
  <c r="AA39" i="39"/>
  <c r="F40" i="39"/>
  <c r="AA40" i="39"/>
  <c r="D124" i="39"/>
  <c r="F41" i="39"/>
  <c r="AA41" i="39"/>
  <c r="D126" i="39"/>
  <c r="F42" i="39"/>
  <c r="AA42" i="39"/>
  <c r="F15" i="39"/>
  <c r="AA15" i="39"/>
  <c r="F17" i="39"/>
  <c r="AA17" i="39"/>
  <c r="F21" i="39"/>
  <c r="AA21" i="39"/>
  <c r="F23" i="39"/>
  <c r="AA23" i="39"/>
  <c r="F25" i="39"/>
  <c r="AA25" i="39"/>
  <c r="F27" i="39"/>
  <c r="AA27" i="39"/>
  <c r="F29" i="39"/>
  <c r="AA29" i="39"/>
  <c r="D81" i="39"/>
  <c r="E81" i="39"/>
  <c r="H8" i="39"/>
  <c r="AB8" i="39"/>
  <c r="H9" i="39"/>
  <c r="AB9" i="39"/>
  <c r="T46" i="39"/>
  <c r="H38" i="39"/>
  <c r="AB38" i="39"/>
  <c r="H39" i="39"/>
  <c r="AB39" i="39"/>
  <c r="H40" i="39"/>
  <c r="AB40" i="39"/>
  <c r="H41" i="39"/>
  <c r="AB41" i="39"/>
  <c r="H42" i="39"/>
  <c r="AB42" i="39"/>
  <c r="H15" i="39"/>
  <c r="AB15" i="39"/>
  <c r="H17" i="39"/>
  <c r="AB17" i="39"/>
  <c r="H21" i="39"/>
  <c r="AB21" i="39"/>
  <c r="H23" i="39"/>
  <c r="AB23" i="39"/>
  <c r="H25" i="39"/>
  <c r="AB25" i="39"/>
  <c r="H27" i="39"/>
  <c r="AB27" i="39"/>
  <c r="H29" i="39"/>
  <c r="AB29" i="39"/>
  <c r="F81" i="39"/>
  <c r="G81" i="39"/>
  <c r="J8" i="39"/>
  <c r="AC8" i="39"/>
  <c r="J9" i="39"/>
  <c r="AC9" i="39"/>
  <c r="V46" i="39"/>
  <c r="J38" i="39"/>
  <c r="AC38" i="39"/>
  <c r="J39" i="39"/>
  <c r="AC39" i="39"/>
  <c r="J40" i="39"/>
  <c r="AC40" i="39"/>
  <c r="J41" i="39"/>
  <c r="AC41" i="39"/>
  <c r="J42" i="39"/>
  <c r="AC42" i="39"/>
  <c r="J15" i="39"/>
  <c r="AC15" i="39"/>
  <c r="J17" i="39"/>
  <c r="AC17" i="39"/>
  <c r="J21" i="39"/>
  <c r="AC21" i="39"/>
  <c r="J23" i="39"/>
  <c r="AC23" i="39"/>
  <c r="J25" i="39"/>
  <c r="AC25" i="39"/>
  <c r="J27" i="39"/>
  <c r="AC27" i="39"/>
  <c r="J29" i="39"/>
  <c r="AC29" i="39"/>
  <c r="E480" i="77"/>
  <c r="A6" i="1"/>
  <c r="A7" i="1"/>
  <c r="G1" i="67"/>
  <c r="D15" i="4"/>
  <c r="F6" i="1"/>
  <c r="F8" i="1"/>
  <c r="L48" i="67"/>
  <c r="M47" i="67"/>
  <c r="J50" i="67"/>
  <c r="J51" i="67"/>
  <c r="J53" i="67"/>
  <c r="G1" i="15"/>
  <c r="M47" i="15"/>
  <c r="J50"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E15" i="3"/>
  <c r="BF15" i="3"/>
  <c r="BG15" i="3"/>
  <c r="BH15" i="3"/>
  <c r="BI15" i="3"/>
  <c r="BJ15" i="3"/>
  <c r="BK15" i="3"/>
  <c r="BN15" i="3"/>
  <c r="BO15" i="3"/>
  <c r="BP15" i="3"/>
  <c r="BQ15" i="3"/>
  <c r="BS15" i="3"/>
  <c r="BT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43" i="1"/>
  <c r="D78" i="9"/>
  <c r="E21" i="6"/>
  <c r="F23" i="15"/>
  <c r="D24" i="15"/>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E124"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43" i="21"/>
  <c r="S43" i="21"/>
  <c r="H38" i="21"/>
  <c r="U38" i="21"/>
  <c r="H43" i="21"/>
  <c r="AB43" i="21"/>
  <c r="F38" i="21"/>
  <c r="S38" i="21"/>
  <c r="F36" i="21"/>
  <c r="S36" i="21"/>
  <c r="F39" i="21"/>
  <c r="AA39" i="21"/>
  <c r="J40" i="21"/>
  <c r="W40" i="21"/>
  <c r="H35" i="21"/>
  <c r="AB35" i="21"/>
  <c r="J8" i="21"/>
  <c r="AC8" i="21"/>
  <c r="H8" i="21"/>
  <c r="U8" i="21"/>
  <c r="H10" i="21"/>
  <c r="AB10" i="21"/>
  <c r="H39" i="21"/>
  <c r="U39"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H34" i="39"/>
  <c r="U34" i="39"/>
  <c r="E109" i="39"/>
  <c r="H31" i="39"/>
  <c r="AB31" i="39"/>
  <c r="F31" i="39"/>
  <c r="AA31" i="39"/>
  <c r="E101" i="39"/>
  <c r="H19" i="39"/>
  <c r="AB19" i="39"/>
  <c r="F19" i="39"/>
  <c r="AA19" i="39"/>
  <c r="J23" i="40"/>
  <c r="AC23" i="40"/>
  <c r="F21" i="40"/>
  <c r="AA21" i="40"/>
  <c r="J21" i="40"/>
  <c r="W21" i="40"/>
  <c r="J34" i="39"/>
  <c r="AC34" i="39"/>
  <c r="F109" i="39"/>
  <c r="G109" i="39"/>
  <c r="H109" i="39"/>
  <c r="I109" i="39"/>
  <c r="J109" i="39"/>
  <c r="K109" i="39"/>
  <c r="L109" i="39"/>
  <c r="M109" i="39"/>
  <c r="J31" i="39"/>
  <c r="F101" i="39"/>
  <c r="U27" i="39"/>
  <c r="J19" i="39"/>
  <c r="AC19"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BO5" i="3"/>
  <c r="BJ5" i="3"/>
  <c r="BH5" i="3"/>
  <c r="BF5" i="3"/>
  <c r="BQ5" i="3"/>
  <c r="AC5" i="3"/>
  <c r="BS5" i="3"/>
  <c r="BP5" i="3"/>
  <c r="BN5" i="3"/>
  <c r="BK5" i="3"/>
  <c r="BI5" i="3"/>
  <c r="BG5" i="3"/>
  <c r="BE5" i="3"/>
  <c r="BT5" i="3"/>
  <c r="U36" i="40"/>
  <c r="F36" i="43"/>
  <c r="F81" i="43"/>
  <c r="H83" i="43"/>
  <c r="F48" i="43"/>
  <c r="H52" i="43"/>
  <c r="F70" i="43"/>
  <c r="H73" i="43"/>
  <c r="M11" i="43"/>
  <c r="D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U23" i="39"/>
  <c r="H86" i="43"/>
  <c r="H82" i="43"/>
  <c r="H87" i="43"/>
  <c r="AE9" i="1"/>
  <c r="D93" i="9"/>
  <c r="E60" i="40"/>
  <c r="E58" i="40"/>
  <c r="G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M1" i="43"/>
  <c r="N8" i="43"/>
  <c r="D120" i="9"/>
  <c r="C18" i="9"/>
  <c r="D18" i="9"/>
  <c r="F34" i="67"/>
  <c r="F62" i="67"/>
  <c r="M20" i="67"/>
  <c r="F34" i="15"/>
  <c r="F62" i="15"/>
  <c r="E10" i="6"/>
  <c r="G30" i="6"/>
  <c r="G31" i="6"/>
  <c r="J56" i="9"/>
  <c r="J57" i="9"/>
  <c r="A24" i="51"/>
  <c r="B18" i="72"/>
  <c r="U29" i="34"/>
  <c r="C106" i="43"/>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51" i="40"/>
  <c r="B6" i="1"/>
  <c r="E6" i="1"/>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U11"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F30" i="68"/>
  <c r="F30" i="11"/>
  <c r="C48" i="11"/>
  <c r="F28" i="67"/>
  <c r="F52" i="9"/>
  <c r="M18" i="67"/>
  <c r="F32" i="67"/>
  <c r="F60" i="67"/>
  <c r="F30" i="69"/>
  <c r="C48" i="69"/>
  <c r="F32" i="15"/>
  <c r="F60" i="15"/>
  <c r="M18" i="15"/>
  <c r="F28" i="15"/>
  <c r="T11" i="1"/>
  <c r="D9" i="69"/>
  <c r="C9" i="69"/>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AP7" i="1"/>
  <c r="F27" i="69"/>
  <c r="C47" i="69"/>
  <c r="D45" i="69"/>
  <c r="H16" i="1"/>
  <c r="AB45" i="21"/>
  <c r="W33" i="21"/>
  <c r="S33" i="21"/>
  <c r="W32" i="21"/>
  <c r="AC32" i="21"/>
  <c r="AB9" i="21"/>
  <c r="U9" i="21"/>
  <c r="AA32" i="21"/>
  <c r="S32" i="21"/>
  <c r="W9" i="21"/>
  <c r="AC9" i="21"/>
  <c r="AB32" i="21"/>
  <c r="U32" i="21"/>
  <c r="AA10" i="21"/>
  <c r="S10" i="21"/>
  <c r="C36" i="69"/>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Q52" i="15"/>
  <c r="S20" i="6"/>
  <c r="I19" i="6"/>
  <c r="M27" i="6"/>
  <c r="F27" i="11"/>
  <c r="F1" i="67"/>
  <c r="Q52" i="67"/>
  <c r="AC11" i="37"/>
  <c r="W11" i="37"/>
  <c r="W11" i="34"/>
  <c r="AC11" i="34"/>
  <c r="B2" i="74"/>
  <c r="E6" i="3"/>
  <c r="C10" i="68"/>
  <c r="D10" i="11"/>
  <c r="C10" i="11"/>
  <c r="D15" i="6"/>
  <c r="C18" i="4"/>
  <c r="D8" i="6"/>
  <c r="D14" i="6"/>
  <c r="D5" i="6"/>
  <c r="D6" i="6"/>
  <c r="D12" i="6"/>
  <c r="D9" i="6"/>
  <c r="D11" i="6"/>
  <c r="D10" i="6"/>
  <c r="D13" i="6"/>
  <c r="L19" i="9"/>
  <c r="E61" i="40"/>
  <c r="H25" i="6"/>
  <c r="R25" i="6"/>
  <c r="H22" i="6"/>
  <c r="H23" i="6"/>
  <c r="H21" i="6"/>
  <c r="H26" i="6"/>
  <c r="H24" i="6"/>
  <c r="F34" i="11"/>
  <c r="C37" i="11"/>
  <c r="H19" i="6"/>
  <c r="S19" i="6"/>
  <c r="S27" i="6"/>
  <c r="I27" i="6"/>
  <c r="F50" i="11"/>
  <c r="F50" i="69"/>
  <c r="C47" i="11"/>
  <c r="D45" i="11"/>
  <c r="C29" i="11"/>
  <c r="D27" i="11"/>
  <c r="L16" i="1"/>
  <c r="C34" i="11"/>
  <c r="C38" i="11"/>
  <c r="R26" i="6"/>
  <c r="R23" i="6"/>
  <c r="R24" i="6"/>
  <c r="R21" i="6"/>
  <c r="R8" i="1"/>
  <c r="R22" i="6"/>
  <c r="D16" i="6"/>
  <c r="A7" i="51"/>
  <c r="B7" i="72"/>
  <c r="C4" i="52"/>
  <c r="B45" i="72"/>
  <c r="A10" i="51"/>
  <c r="B9" i="72"/>
  <c r="H27" i="6"/>
  <c r="R19" i="6"/>
  <c r="C35" i="11"/>
  <c r="R27" i="6"/>
  <c r="R6" i="1"/>
  <c r="I5" i="6"/>
  <c r="E2" i="70"/>
  <c r="C34" i="69"/>
  <c r="C38" i="69"/>
  <c r="D10" i="69"/>
  <c r="C10" i="69"/>
  <c r="S16" i="1"/>
  <c r="T16" i="1"/>
  <c r="AE8" i="1"/>
  <c r="AE6" i="1"/>
  <c r="AG6" i="1"/>
  <c r="H109" i="9"/>
  <c r="C19" i="68"/>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J57" i="15"/>
  <c r="J55" i="15"/>
  <c r="J58" i="15"/>
  <c r="J59" i="15"/>
  <c r="C76" i="15"/>
  <c r="L51" i="15"/>
  <c r="L57" i="15"/>
  <c r="L47" i="15"/>
  <c r="L58" i="15"/>
  <c r="M59" i="15"/>
  <c r="L59" i="15"/>
  <c r="L60" i="15"/>
  <c r="AO7" i="1"/>
  <c r="F20" i="31"/>
  <c r="D2" i="35"/>
  <c r="M21" i="15"/>
  <c r="L47" i="67"/>
  <c r="F5" i="73"/>
  <c r="M24" i="15"/>
  <c r="D2" i="21"/>
  <c r="M26" i="15"/>
  <c r="AO6" i="1"/>
  <c r="B12" i="76"/>
  <c r="E11" i="76"/>
  <c r="M29" i="15"/>
  <c r="F7" i="73"/>
  <c r="E10" i="76"/>
  <c r="F16" i="67"/>
  <c r="F36" i="67"/>
  <c r="M22" i="67"/>
  <c r="M6" i="67"/>
  <c r="AO10" i="1"/>
  <c r="AO12" i="1"/>
  <c r="F6" i="73"/>
  <c r="F6" i="67"/>
  <c r="M26" i="67"/>
  <c r="M8" i="67"/>
  <c r="B3" i="12"/>
  <c r="D20" i="9"/>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P22" i="43"/>
  <c r="C29" i="69"/>
  <c r="D27" i="69"/>
  <c r="R16" i="1"/>
  <c r="B4" i="49"/>
  <c r="E22" i="49"/>
  <c r="E16" i="49"/>
  <c r="E11" i="49"/>
  <c r="B10" i="49"/>
  <c r="E6" i="49"/>
  <c r="E8" i="49"/>
  <c r="E5" i="49"/>
  <c r="B8" i="49"/>
  <c r="B5" i="49"/>
  <c r="E21" i="49"/>
  <c r="E4" i="49"/>
  <c r="B11" i="49"/>
  <c r="B14" i="49"/>
  <c r="B16" i="49"/>
  <c r="E13" i="49"/>
  <c r="E15" i="49"/>
  <c r="E9" i="49"/>
  <c r="B22" i="49"/>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4" i="73"/>
  <c r="K1" i="73"/>
  <c r="E20" i="43"/>
  <c r="M28" i="43"/>
  <c r="G20" i="43"/>
  <c r="D65" i="40"/>
  <c r="E63" i="40"/>
  <c r="G17" i="43"/>
  <c r="C16" i="43"/>
  <c r="D5" i="43"/>
  <c r="C5" i="43"/>
  <c r="U7" i="36"/>
  <c r="AB7" i="36"/>
  <c r="T36" i="36"/>
  <c r="G36" i="36"/>
  <c r="AA7" i="35"/>
  <c r="R38" i="35"/>
  <c r="S7" i="35"/>
  <c r="AC7" i="37"/>
  <c r="V42" i="37"/>
  <c r="I42" i="37"/>
  <c r="W7" i="37"/>
  <c r="I52" i="33"/>
  <c r="J52" i="33"/>
  <c r="I53" i="33"/>
  <c r="J53" i="33"/>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C28" i="69"/>
  <c r="C27" i="69"/>
  <c r="D37" i="69"/>
  <c r="C37" i="69"/>
  <c r="C33" i="69"/>
  <c r="C39" i="69"/>
  <c r="C46" i="69"/>
  <c r="C45" i="69"/>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19" i="67"/>
  <c r="C20" i="67"/>
  <c r="C26" i="67"/>
  <c r="J24" i="67"/>
  <c r="J26" i="67"/>
  <c r="J29" i="67"/>
  <c r="C53" i="67"/>
  <c r="C48" i="67"/>
  <c r="C10" i="67"/>
  <c r="C5" i="67"/>
  <c r="J24" i="15"/>
  <c r="C53" i="15"/>
  <c r="C48" i="15"/>
  <c r="F24" i="67"/>
  <c r="C24" i="67"/>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7" i="71"/>
  <c r="C66" i="15"/>
  <c r="C60" i="15"/>
  <c r="C60" i="67"/>
  <c r="C66" i="67"/>
  <c r="C38" i="67"/>
  <c r="C25" i="69"/>
  <c r="C43" i="69"/>
  <c r="C26" i="11"/>
  <c r="D22" i="11"/>
  <c r="C23" i="67"/>
  <c r="C29" i="67"/>
  <c r="J19" i="67"/>
  <c r="C42" i="11"/>
  <c r="C24" i="69"/>
  <c r="C44" i="69"/>
  <c r="D41" i="69"/>
  <c r="C25" i="11"/>
  <c r="C23" i="11"/>
  <c r="J19" i="15"/>
  <c r="J17" i="15"/>
  <c r="C42" i="69"/>
  <c r="C26" i="69"/>
  <c r="D22" i="69"/>
  <c r="C24" i="11"/>
  <c r="C43" i="11"/>
  <c r="G65" i="40"/>
  <c r="H63" i="40"/>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E2" i="76"/>
  <c r="B2" i="76"/>
  <c r="B3" i="43"/>
  <c r="J16" i="67"/>
  <c r="J25" i="67"/>
  <c r="C40" i="67"/>
  <c r="L51" i="67"/>
  <c r="C80" i="67"/>
  <c r="C79" i="67"/>
  <c r="C57" i="69"/>
  <c r="C56" i="69"/>
  <c r="C58" i="15"/>
  <c r="C67" i="15"/>
  <c r="C68" i="15"/>
  <c r="C71" i="15"/>
  <c r="C56" i="11"/>
  <c r="C57" i="11"/>
  <c r="Q68" i="67"/>
  <c r="Q69" i="15"/>
  <c r="Q68" i="15"/>
  <c r="C80" i="15"/>
  <c r="C79" i="15"/>
  <c r="K63" i="40"/>
  <c r="J65" i="40"/>
  <c r="B3" i="76"/>
  <c r="Q67" i="67"/>
  <c r="L57" i="67"/>
  <c r="L60" i="67"/>
  <c r="Q67"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C47" i="39"/>
  <c r="I47" i="39"/>
  <c r="G52" i="39"/>
  <c r="H52" i="39"/>
  <c r="G51" i="39"/>
  <c r="H51" i="39"/>
  <c r="I52" i="39"/>
  <c r="J52" i="39"/>
  <c r="I51" i="39"/>
  <c r="J51" i="39"/>
  <c r="C6" i="68"/>
  <c r="C7" i="68"/>
  <c r="C5" i="68"/>
  <c r="C20" i="68"/>
  <c r="C23" i="68"/>
  <c r="C25" i="68"/>
  <c r="C22" i="68"/>
  <c r="C28" i="68"/>
  <c r="C27" i="68"/>
  <c r="C31" i="68"/>
  <c r="C52" i="68"/>
  <c r="B2" i="68"/>
  <c r="C19" i="9"/>
  <c r="G19" i="9"/>
  <c r="C32" i="9"/>
  <c r="H118" i="9"/>
  <c r="H101" i="9"/>
  <c r="H107" i="9"/>
  <c r="M49" i="9"/>
  <c r="D45" i="9"/>
  <c r="D53" i="9"/>
  <c r="D48" i="9"/>
  <c r="M52"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D8" i="52"/>
  <c r="D123" i="9"/>
  <c r="D9" i="52"/>
  <c r="D13" i="53"/>
  <c r="B30" i="72"/>
  <c r="D14" i="53"/>
  <c r="B32" i="72"/>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C102" i="9"/>
  <c r="D22" i="9"/>
  <c r="C21" i="9"/>
  <c r="C20" i="9"/>
  <c r="C103" i="9"/>
  <c r="G20" i="9"/>
  <c r="C56" i="68"/>
  <c r="D34" i="9"/>
  <c r="L63" i="9"/>
  <c r="M63" i="9"/>
  <c r="L64" i="9"/>
  <c r="M64" i="9"/>
  <c r="L65" i="9"/>
  <c r="M65" i="9"/>
  <c r="L66" i="9"/>
  <c r="M66" i="9"/>
  <c r="L67" i="9"/>
  <c r="M67" i="9"/>
  <c r="L68" i="9"/>
  <c r="M68" i="9"/>
  <c r="M69" i="9"/>
  <c r="N69" i="9"/>
  <c r="J5" i="79"/>
  <c r="L13" i="79"/>
  <c r="G2"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K13" i="79"/>
  <c r="L392" i="79"/>
  <c r="L36" i="79"/>
  <c r="F36" i="79"/>
  <c r="G36" i="79"/>
  <c r="L37" i="79"/>
  <c r="F37" i="79"/>
  <c r="G37" i="79"/>
  <c r="L38" i="79"/>
  <c r="F38" i="79"/>
  <c r="G38" i="79"/>
  <c r="L39" i="79"/>
  <c r="F39" i="79"/>
  <c r="G39" i="79"/>
  <c r="L40" i="79"/>
  <c r="F40" i="79"/>
  <c r="G40" i="79"/>
  <c r="L41" i="79"/>
  <c r="F41" i="79"/>
  <c r="G41" i="79"/>
  <c r="L42" i="79"/>
  <c r="F42" i="79"/>
  <c r="G42" i="79"/>
  <c r="L43" i="79"/>
  <c r="F43" i="79"/>
  <c r="G43" i="79"/>
  <c r="L44" i="79"/>
  <c r="F44" i="79"/>
  <c r="G44" i="79"/>
  <c r="L45" i="79"/>
  <c r="F45" i="79"/>
  <c r="G45" i="79"/>
  <c r="L46" i="79"/>
  <c r="F46" i="79"/>
  <c r="G46" i="79"/>
  <c r="L47" i="79"/>
  <c r="F47" i="79"/>
  <c r="G47" i="79"/>
  <c r="L48" i="79"/>
  <c r="F48" i="79"/>
  <c r="G48" i="79"/>
  <c r="L49" i="79"/>
  <c r="F49" i="79"/>
  <c r="G49" i="79"/>
  <c r="L50" i="79"/>
  <c r="F50" i="79"/>
  <c r="G50" i="79"/>
  <c r="L51" i="79"/>
  <c r="F51" i="79"/>
  <c r="G51" i="79"/>
  <c r="L52" i="79"/>
  <c r="F52" i="79"/>
  <c r="G52" i="79"/>
  <c r="L53" i="79"/>
  <c r="F53" i="79"/>
  <c r="G53" i="79"/>
  <c r="L54" i="79"/>
  <c r="F54" i="79"/>
  <c r="G54" i="79"/>
  <c r="L55" i="79"/>
  <c r="F55" i="79"/>
  <c r="G55" i="79"/>
  <c r="L56" i="79"/>
  <c r="F56" i="79"/>
  <c r="G56" i="79"/>
  <c r="L57" i="79"/>
  <c r="F57" i="79"/>
  <c r="G57" i="79"/>
  <c r="L58" i="79"/>
  <c r="F58" i="79"/>
  <c r="G58" i="79"/>
  <c r="L59" i="79"/>
  <c r="F59" i="79"/>
  <c r="G59" i="79"/>
  <c r="L60" i="79"/>
  <c r="F60" i="79"/>
  <c r="G60" i="79"/>
  <c r="L61" i="79"/>
  <c r="F61" i="79"/>
  <c r="G61" i="79"/>
  <c r="L62" i="79"/>
  <c r="F62" i="79"/>
  <c r="G62" i="79"/>
  <c r="L63" i="79"/>
  <c r="F63" i="79"/>
  <c r="G63" i="79"/>
  <c r="L64" i="79"/>
  <c r="F64" i="79"/>
  <c r="G64" i="79"/>
  <c r="L65" i="79"/>
  <c r="F65" i="79"/>
  <c r="G65" i="79"/>
  <c r="L66" i="79"/>
  <c r="F66" i="79"/>
  <c r="G66" i="79"/>
  <c r="L67" i="79"/>
  <c r="F67" i="79"/>
  <c r="G67" i="79"/>
  <c r="L68" i="79"/>
  <c r="F68" i="79"/>
  <c r="G68" i="79"/>
  <c r="L69" i="79"/>
  <c r="F69" i="79"/>
  <c r="G69" i="79"/>
  <c r="L70" i="79"/>
  <c r="F70" i="79"/>
  <c r="G70" i="79"/>
  <c r="L71" i="79"/>
  <c r="F71" i="79"/>
  <c r="G71" i="79"/>
  <c r="L72" i="79"/>
  <c r="F72" i="79"/>
  <c r="G72" i="79"/>
  <c r="L73" i="79"/>
  <c r="F73" i="79"/>
  <c r="G73" i="79"/>
  <c r="L74" i="79"/>
  <c r="F74" i="79"/>
  <c r="G74" i="79"/>
  <c r="L75" i="79"/>
  <c r="F75" i="79"/>
  <c r="G75" i="79"/>
  <c r="L76" i="79"/>
  <c r="F76" i="79"/>
  <c r="G76" i="79"/>
  <c r="L77" i="79"/>
  <c r="F77" i="79"/>
  <c r="G77" i="79"/>
  <c r="L78" i="79"/>
  <c r="F78" i="79"/>
  <c r="G78" i="79"/>
  <c r="L79" i="79"/>
  <c r="F79" i="79"/>
  <c r="G79" i="79"/>
  <c r="L80" i="79"/>
  <c r="F80" i="79"/>
  <c r="G80" i="79"/>
  <c r="L81" i="79"/>
  <c r="F81" i="79"/>
  <c r="G81" i="79"/>
  <c r="L82" i="79"/>
  <c r="F82" i="79"/>
  <c r="G82" i="79"/>
  <c r="L83" i="79"/>
  <c r="F83" i="79"/>
  <c r="G83" i="79"/>
  <c r="L84" i="79"/>
  <c r="F84" i="79"/>
  <c r="G84" i="79"/>
  <c r="L85" i="79"/>
  <c r="F85" i="79"/>
  <c r="G85" i="79"/>
  <c r="L86" i="79"/>
  <c r="F86" i="79"/>
  <c r="G86" i="79"/>
  <c r="L87" i="79"/>
  <c r="F87" i="79"/>
  <c r="G87" i="79"/>
  <c r="L88" i="79"/>
  <c r="F88" i="79"/>
  <c r="G88" i="79"/>
  <c r="L89" i="79"/>
  <c r="F89" i="79"/>
  <c r="G89" i="79"/>
  <c r="L90" i="79"/>
  <c r="F90" i="79"/>
  <c r="G90" i="79"/>
  <c r="L91" i="79"/>
  <c r="F91" i="79"/>
  <c r="G91" i="79"/>
  <c r="L92" i="79"/>
  <c r="F92" i="79"/>
  <c r="G92" i="79"/>
  <c r="L93" i="79"/>
  <c r="F93" i="79"/>
  <c r="G93" i="79"/>
  <c r="L94" i="79"/>
  <c r="F94" i="79"/>
  <c r="G94" i="79"/>
  <c r="L95" i="79"/>
  <c r="F95" i="79"/>
  <c r="G95" i="79"/>
  <c r="L96" i="79"/>
  <c r="F96" i="79"/>
  <c r="G96" i="79"/>
  <c r="L97" i="79"/>
  <c r="F97" i="79"/>
  <c r="G97" i="79"/>
  <c r="L98" i="79"/>
  <c r="F98" i="79"/>
  <c r="G98" i="79"/>
  <c r="L99" i="79"/>
  <c r="F99" i="79"/>
  <c r="G99" i="79"/>
  <c r="L100" i="79"/>
  <c r="F100" i="79"/>
  <c r="G100" i="79"/>
  <c r="L101" i="79"/>
  <c r="F101" i="79"/>
  <c r="G101" i="79"/>
  <c r="L102" i="79"/>
  <c r="F102" i="79"/>
  <c r="G102" i="79"/>
  <c r="L103" i="79"/>
  <c r="F103" i="79"/>
  <c r="G103" i="79"/>
  <c r="L104" i="79"/>
  <c r="F104" i="79"/>
  <c r="G104" i="79"/>
  <c r="L105" i="79"/>
  <c r="F105" i="79"/>
  <c r="G105" i="79"/>
  <c r="L106" i="79"/>
  <c r="F106" i="79"/>
  <c r="G106" i="79"/>
  <c r="L107" i="79"/>
  <c r="F107" i="79"/>
  <c r="G107" i="79"/>
  <c r="L108" i="79"/>
  <c r="F108" i="79"/>
  <c r="G108" i="79"/>
  <c r="L109" i="79"/>
  <c r="F109" i="79"/>
  <c r="G109" i="79"/>
  <c r="L110" i="79"/>
  <c r="F110" i="79"/>
  <c r="G110" i="79"/>
  <c r="L111" i="79"/>
  <c r="F111" i="79"/>
  <c r="G111" i="79"/>
  <c r="L112" i="79"/>
  <c r="F112" i="79"/>
  <c r="G112" i="79"/>
  <c r="L113" i="79"/>
  <c r="F113" i="79"/>
  <c r="G113" i="79"/>
  <c r="L114" i="79"/>
  <c r="F114" i="79"/>
  <c r="G114" i="79"/>
  <c r="L115" i="79"/>
  <c r="F115" i="79"/>
  <c r="G115" i="79"/>
  <c r="L116" i="79"/>
  <c r="F116" i="79"/>
  <c r="G116" i="79"/>
  <c r="L117" i="79"/>
  <c r="F117" i="79"/>
  <c r="G117" i="79"/>
  <c r="L118" i="79"/>
  <c r="F118" i="79"/>
  <c r="G118" i="79"/>
  <c r="L119" i="79"/>
  <c r="F119" i="79"/>
  <c r="G119" i="79"/>
  <c r="L120" i="79"/>
  <c r="F120" i="79"/>
  <c r="G120" i="79"/>
  <c r="L121" i="79"/>
  <c r="F121" i="79"/>
  <c r="G121" i="79"/>
  <c r="L122" i="79"/>
  <c r="F122" i="79"/>
  <c r="G122" i="79"/>
  <c r="L123" i="79"/>
  <c r="F123" i="79"/>
  <c r="G123" i="79"/>
  <c r="L124" i="79"/>
  <c r="F124" i="79"/>
  <c r="G124" i="79"/>
  <c r="L125" i="79"/>
  <c r="F125" i="79"/>
  <c r="G125" i="79"/>
  <c r="L126" i="79"/>
  <c r="F126" i="79"/>
  <c r="G126" i="79"/>
  <c r="L127" i="79"/>
  <c r="F127" i="79"/>
  <c r="G127" i="79"/>
  <c r="L128" i="79"/>
  <c r="F128" i="79"/>
  <c r="G128" i="79"/>
  <c r="L129" i="79"/>
  <c r="F129" i="79"/>
  <c r="G129" i="79"/>
  <c r="L130" i="79"/>
  <c r="F130" i="79"/>
  <c r="G130" i="79"/>
  <c r="L131" i="79"/>
  <c r="F131" i="79"/>
  <c r="G131" i="79"/>
  <c r="L132" i="79"/>
  <c r="F132" i="79"/>
  <c r="G132" i="79"/>
  <c r="L133" i="79"/>
  <c r="F133" i="79"/>
  <c r="G133" i="79"/>
  <c r="L134" i="79"/>
  <c r="F134" i="79"/>
  <c r="G134" i="79"/>
  <c r="L135" i="79"/>
  <c r="F135" i="79"/>
  <c r="G135" i="79"/>
  <c r="L136" i="79"/>
  <c r="F136" i="79"/>
  <c r="G136" i="79"/>
  <c r="L137" i="79"/>
  <c r="F137" i="79"/>
  <c r="G137" i="79"/>
  <c r="L138" i="79"/>
  <c r="F138" i="79"/>
  <c r="G138" i="79"/>
  <c r="L139" i="79"/>
  <c r="F139" i="79"/>
  <c r="G139" i="79"/>
  <c r="L140" i="79"/>
  <c r="F140" i="79"/>
  <c r="G140" i="79"/>
  <c r="L141" i="79"/>
  <c r="F141" i="79"/>
  <c r="G141" i="79"/>
  <c r="L142" i="79"/>
  <c r="F142" i="79"/>
  <c r="G142" i="79"/>
  <c r="L143" i="79"/>
  <c r="F143" i="79"/>
  <c r="G143" i="79"/>
  <c r="L144" i="79"/>
  <c r="F144" i="79"/>
  <c r="G144" i="79"/>
  <c r="L145" i="79"/>
  <c r="F145" i="79"/>
  <c r="G145" i="79"/>
  <c r="L146" i="79"/>
  <c r="F146" i="79"/>
  <c r="G146" i="79"/>
  <c r="L147" i="79"/>
  <c r="F147" i="79"/>
  <c r="G147" i="79"/>
  <c r="L148" i="79"/>
  <c r="F148" i="79"/>
  <c r="G148" i="79"/>
  <c r="L149" i="79"/>
  <c r="F149" i="79"/>
  <c r="G149" i="79"/>
  <c r="L150" i="79"/>
  <c r="F150" i="79"/>
  <c r="G150" i="79"/>
  <c r="L151" i="79"/>
  <c r="F151" i="79"/>
  <c r="G151" i="79"/>
  <c r="L152" i="79"/>
  <c r="F152" i="79"/>
  <c r="G152" i="79"/>
  <c r="L153" i="79"/>
  <c r="F153" i="79"/>
  <c r="G153" i="79"/>
  <c r="L154" i="79"/>
  <c r="F154" i="79"/>
  <c r="G154" i="79"/>
  <c r="L155" i="79"/>
  <c r="F155" i="79"/>
  <c r="G155" i="79"/>
  <c r="L156" i="79"/>
  <c r="F156" i="79"/>
  <c r="G156" i="79"/>
  <c r="L157" i="79"/>
  <c r="F157" i="79"/>
  <c r="G157" i="79"/>
  <c r="L158" i="79"/>
  <c r="F158" i="79"/>
  <c r="G158" i="79"/>
  <c r="L159" i="79"/>
  <c r="F159" i="79"/>
  <c r="G159" i="79"/>
  <c r="L160" i="79"/>
  <c r="F160" i="79"/>
  <c r="G160" i="79"/>
  <c r="L161" i="79"/>
  <c r="F161" i="79"/>
  <c r="G161" i="79"/>
  <c r="L162" i="79"/>
  <c r="F162" i="79"/>
  <c r="G162" i="79"/>
  <c r="L163" i="79"/>
  <c r="F163" i="79"/>
  <c r="G163" i="79"/>
  <c r="L164" i="79"/>
  <c r="F164" i="79"/>
  <c r="G164" i="79"/>
  <c r="L165" i="79"/>
  <c r="F165" i="79"/>
  <c r="G165" i="79"/>
  <c r="L166" i="79"/>
  <c r="F166" i="79"/>
  <c r="G166" i="79"/>
  <c r="L167" i="79"/>
  <c r="F167" i="79"/>
  <c r="G167" i="79"/>
  <c r="L168" i="79"/>
  <c r="F168" i="79"/>
  <c r="G168" i="79"/>
  <c r="L169" i="79"/>
  <c r="F169" i="79"/>
  <c r="G169" i="79"/>
  <c r="L170" i="79"/>
  <c r="F170" i="79"/>
  <c r="G170" i="79"/>
  <c r="L171" i="79"/>
  <c r="F171" i="79"/>
  <c r="G171" i="79"/>
  <c r="L172" i="79"/>
  <c r="F172" i="79"/>
  <c r="G172" i="79"/>
  <c r="L173" i="79"/>
  <c r="F173" i="79"/>
  <c r="G173" i="79"/>
  <c r="L174" i="79"/>
  <c r="F174" i="79"/>
  <c r="G174" i="79"/>
  <c r="L175" i="79"/>
  <c r="F175" i="79"/>
  <c r="G175" i="79"/>
  <c r="L176" i="79"/>
  <c r="F176" i="79"/>
  <c r="G176" i="79"/>
  <c r="L177" i="79"/>
  <c r="F177" i="79"/>
  <c r="G177" i="79"/>
  <c r="L178" i="79"/>
  <c r="F178" i="79"/>
  <c r="G178" i="79"/>
  <c r="L179" i="79"/>
  <c r="F179" i="79"/>
  <c r="G179" i="79"/>
  <c r="L180" i="79"/>
  <c r="F180" i="79"/>
  <c r="G180" i="79"/>
  <c r="L181" i="79"/>
  <c r="F181" i="79"/>
  <c r="G181" i="79"/>
  <c r="L182" i="79"/>
  <c r="F182" i="79"/>
  <c r="G182" i="79"/>
  <c r="L183" i="79"/>
  <c r="F183" i="79"/>
  <c r="G183" i="79"/>
  <c r="L184" i="79"/>
  <c r="F184" i="79"/>
  <c r="G184" i="79"/>
  <c r="L185" i="79"/>
  <c r="F185" i="79"/>
  <c r="G185" i="79"/>
  <c r="L186" i="79"/>
  <c r="F186" i="79"/>
  <c r="G186" i="79"/>
  <c r="L187" i="79"/>
  <c r="F187" i="79"/>
  <c r="G187" i="79"/>
  <c r="L188" i="79"/>
  <c r="F188" i="79"/>
  <c r="G188" i="79"/>
  <c r="L189" i="79"/>
  <c r="F189" i="79"/>
  <c r="G189" i="79"/>
  <c r="L190" i="79"/>
  <c r="F190" i="79"/>
  <c r="G190" i="79"/>
  <c r="L191" i="79"/>
  <c r="F191" i="79"/>
  <c r="G191" i="79"/>
  <c r="L192" i="79"/>
  <c r="F192" i="79"/>
  <c r="G192" i="79"/>
  <c r="L193" i="79"/>
  <c r="F193" i="79"/>
  <c r="G193" i="79"/>
  <c r="L194" i="79"/>
  <c r="F194" i="79"/>
  <c r="G194" i="79"/>
  <c r="L195" i="79"/>
  <c r="F195" i="79"/>
  <c r="G195" i="79"/>
  <c r="L196" i="79"/>
  <c r="F196" i="79"/>
  <c r="G196" i="79"/>
  <c r="L197" i="79"/>
  <c r="F197" i="79"/>
  <c r="G197" i="79"/>
  <c r="L198" i="79"/>
  <c r="F198" i="79"/>
  <c r="G198" i="79"/>
  <c r="L199" i="79"/>
  <c r="F199" i="79"/>
  <c r="G199" i="79"/>
  <c r="L200" i="79"/>
  <c r="F200" i="79"/>
  <c r="G200" i="79"/>
  <c r="L201" i="79"/>
  <c r="F201" i="79"/>
  <c r="G201" i="79"/>
  <c r="L202" i="79"/>
  <c r="F202" i="79"/>
  <c r="G202" i="79"/>
  <c r="L203" i="79"/>
  <c r="F203" i="79"/>
  <c r="G203" i="79"/>
  <c r="L204" i="79"/>
  <c r="F204" i="79"/>
  <c r="G204" i="79"/>
  <c r="L205" i="79"/>
  <c r="F205" i="79"/>
  <c r="G205" i="79"/>
  <c r="L206" i="79"/>
  <c r="F206" i="79"/>
  <c r="G206" i="79"/>
  <c r="L207" i="79"/>
  <c r="F207" i="79"/>
  <c r="G207" i="79"/>
  <c r="L208" i="79"/>
  <c r="F208" i="79"/>
  <c r="G208" i="79"/>
  <c r="L209" i="79"/>
  <c r="F209" i="79"/>
  <c r="G209" i="79"/>
  <c r="L210" i="79"/>
  <c r="F210" i="79"/>
  <c r="G210" i="79"/>
  <c r="L211" i="79"/>
  <c r="F211" i="79"/>
  <c r="G211" i="79"/>
  <c r="L212" i="79"/>
  <c r="F212" i="79"/>
  <c r="G212" i="79"/>
  <c r="L213" i="79"/>
  <c r="F213" i="79"/>
  <c r="G213" i="79"/>
  <c r="L214" i="79"/>
  <c r="F214" i="79"/>
  <c r="G214" i="79"/>
  <c r="L215" i="79"/>
  <c r="F215" i="79"/>
  <c r="G215" i="79"/>
  <c r="L216" i="79"/>
  <c r="F216" i="79"/>
  <c r="G216" i="79"/>
  <c r="L217" i="79"/>
  <c r="F217" i="79"/>
  <c r="G217" i="79"/>
  <c r="L218" i="79"/>
  <c r="F218" i="79"/>
  <c r="G218" i="79"/>
  <c r="L219" i="79"/>
  <c r="F219" i="79"/>
  <c r="G219" i="79"/>
  <c r="L220" i="79"/>
  <c r="F220" i="79"/>
  <c r="G220" i="79"/>
  <c r="L221" i="79"/>
  <c r="F221" i="79"/>
  <c r="G221" i="79"/>
  <c r="L222" i="79"/>
  <c r="F222" i="79"/>
  <c r="G222" i="79"/>
  <c r="L223" i="79"/>
  <c r="F223" i="79"/>
  <c r="G223" i="79"/>
  <c r="L224" i="79"/>
  <c r="F224" i="79"/>
  <c r="G224" i="79"/>
  <c r="L225" i="79"/>
  <c r="F225" i="79"/>
  <c r="G225" i="79"/>
  <c r="L226" i="79"/>
  <c r="F226" i="79"/>
  <c r="G226" i="79"/>
  <c r="L227" i="79"/>
  <c r="F227" i="79"/>
  <c r="G227" i="79"/>
  <c r="L228" i="79"/>
  <c r="F228" i="79"/>
  <c r="G228" i="79"/>
  <c r="L229" i="79"/>
  <c r="F229" i="79"/>
  <c r="G229" i="79"/>
  <c r="L230" i="79"/>
  <c r="F230" i="79"/>
  <c r="G230" i="79"/>
  <c r="L231" i="79"/>
  <c r="F231" i="79"/>
  <c r="G231" i="79"/>
  <c r="L232" i="79"/>
  <c r="F232" i="79"/>
  <c r="G232" i="79"/>
  <c r="L233" i="79"/>
  <c r="F233" i="79"/>
  <c r="G233" i="79"/>
  <c r="L234" i="79"/>
  <c r="F234" i="79"/>
  <c r="G234" i="79"/>
  <c r="L235" i="79"/>
  <c r="F235" i="79"/>
  <c r="G235" i="79"/>
  <c r="L236" i="79"/>
  <c r="F236" i="79"/>
  <c r="G236" i="79"/>
  <c r="L237" i="79"/>
  <c r="F237" i="79"/>
  <c r="G237" i="79"/>
  <c r="L238" i="79"/>
  <c r="F238" i="79"/>
  <c r="G238" i="79"/>
  <c r="L239" i="79"/>
  <c r="F239" i="79"/>
  <c r="G239" i="79"/>
  <c r="L240" i="79"/>
  <c r="F240" i="79"/>
  <c r="G240" i="79"/>
  <c r="L241" i="79"/>
  <c r="F241" i="79"/>
  <c r="G241" i="79"/>
  <c r="L242" i="79"/>
  <c r="F242" i="79"/>
  <c r="G242" i="79"/>
  <c r="L243" i="79"/>
  <c r="F243" i="79"/>
  <c r="G243" i="79"/>
  <c r="L244" i="79"/>
  <c r="F244" i="79"/>
  <c r="G244" i="79"/>
  <c r="L245" i="79"/>
  <c r="F245" i="79"/>
  <c r="G245" i="79"/>
  <c r="L246" i="79"/>
  <c r="F246" i="79"/>
  <c r="G246" i="79"/>
  <c r="L247" i="79"/>
  <c r="F247" i="79"/>
  <c r="G247" i="79"/>
  <c r="L248" i="79"/>
  <c r="F248" i="79"/>
  <c r="G248" i="79"/>
  <c r="L249" i="79"/>
  <c r="F249" i="79"/>
  <c r="G249" i="79"/>
  <c r="L250" i="79"/>
  <c r="F250" i="79"/>
  <c r="G250" i="79"/>
  <c r="L251" i="79"/>
  <c r="F251" i="79"/>
  <c r="G251" i="79"/>
  <c r="L252" i="79"/>
  <c r="F252" i="79"/>
  <c r="G252" i="79"/>
  <c r="L253" i="79"/>
  <c r="F253" i="79"/>
  <c r="G253" i="79"/>
  <c r="L254" i="79"/>
  <c r="F254" i="79"/>
  <c r="G254" i="79"/>
  <c r="L255" i="79"/>
  <c r="F255" i="79"/>
  <c r="G255" i="79"/>
  <c r="L256" i="79"/>
  <c r="F256" i="79"/>
  <c r="G256" i="79"/>
  <c r="L257" i="79"/>
  <c r="F257" i="79"/>
  <c r="G257" i="79"/>
  <c r="L258" i="79"/>
  <c r="F258" i="79"/>
  <c r="G258" i="79"/>
  <c r="L259" i="79"/>
  <c r="F259" i="79"/>
  <c r="G259" i="79"/>
  <c r="L260" i="79"/>
  <c r="F260" i="79"/>
  <c r="G260" i="79"/>
  <c r="L261" i="79"/>
  <c r="F261" i="79"/>
  <c r="G261" i="79"/>
  <c r="L262" i="79"/>
  <c r="F262" i="79"/>
  <c r="G262" i="79"/>
  <c r="L263" i="79"/>
  <c r="F263" i="79"/>
  <c r="G263" i="79"/>
  <c r="L264" i="79"/>
  <c r="F264" i="79"/>
  <c r="G264" i="79"/>
  <c r="L265" i="79"/>
  <c r="F265" i="79"/>
  <c r="G265" i="79"/>
  <c r="L266" i="79"/>
  <c r="F266" i="79"/>
  <c r="G266" i="79"/>
  <c r="L267" i="79"/>
  <c r="F267" i="79"/>
  <c r="G267" i="79"/>
  <c r="L268" i="79"/>
  <c r="F268" i="79"/>
  <c r="G268" i="79"/>
  <c r="L269" i="79"/>
  <c r="F269" i="79"/>
  <c r="G269" i="79"/>
  <c r="L270" i="79"/>
  <c r="F270" i="79"/>
  <c r="G270" i="79"/>
  <c r="L271" i="79"/>
  <c r="F271" i="79"/>
  <c r="G271" i="79"/>
  <c r="L272" i="79"/>
  <c r="F272" i="79"/>
  <c r="G272" i="79"/>
  <c r="L273" i="79"/>
  <c r="F273" i="79"/>
  <c r="G273" i="79"/>
  <c r="L274" i="79"/>
  <c r="F274" i="79"/>
  <c r="G274" i="79"/>
  <c r="L275" i="79"/>
  <c r="F275" i="79"/>
  <c r="G275" i="79"/>
  <c r="L276" i="79"/>
  <c r="F276" i="79"/>
  <c r="G276" i="79"/>
  <c r="L277" i="79"/>
  <c r="F277" i="79"/>
  <c r="G277" i="79"/>
  <c r="L278" i="79"/>
  <c r="F278" i="79"/>
  <c r="G278" i="79"/>
  <c r="L279" i="79"/>
  <c r="F279" i="79"/>
  <c r="G279" i="79"/>
  <c r="L280" i="79"/>
  <c r="F280" i="79"/>
  <c r="G280" i="79"/>
  <c r="L281" i="79"/>
  <c r="F281" i="79"/>
  <c r="G281" i="79"/>
  <c r="L282" i="79"/>
  <c r="F282" i="79"/>
  <c r="G282" i="79"/>
  <c r="L283" i="79"/>
  <c r="F283" i="79"/>
  <c r="G283" i="79"/>
  <c r="L284" i="79"/>
  <c r="F284" i="79"/>
  <c r="G284" i="79"/>
  <c r="L285" i="79"/>
  <c r="F285" i="79"/>
  <c r="G285" i="79"/>
  <c r="L286" i="79"/>
  <c r="F286" i="79"/>
  <c r="G286" i="79"/>
  <c r="L287" i="79"/>
  <c r="F287" i="79"/>
  <c r="G287" i="79"/>
  <c r="L288" i="79"/>
  <c r="F288" i="79"/>
  <c r="G288" i="79"/>
  <c r="L289" i="79"/>
  <c r="F289" i="79"/>
  <c r="G289" i="79"/>
  <c r="L290" i="79"/>
  <c r="F290" i="79"/>
  <c r="G290" i="79"/>
  <c r="L291" i="79"/>
  <c r="F291" i="79"/>
  <c r="G291" i="79"/>
  <c r="L292" i="79"/>
  <c r="F292" i="79"/>
  <c r="G292" i="79"/>
  <c r="L293" i="79"/>
  <c r="F293" i="79"/>
  <c r="G293" i="79"/>
  <c r="L294" i="79"/>
  <c r="F294" i="79"/>
  <c r="G294" i="79"/>
  <c r="L295" i="79"/>
  <c r="F295" i="79"/>
  <c r="G295" i="79"/>
  <c r="L296" i="79"/>
  <c r="F296" i="79"/>
  <c r="G296" i="79"/>
  <c r="L297" i="79"/>
  <c r="F297" i="79"/>
  <c r="G297" i="79"/>
  <c r="L298" i="79"/>
  <c r="F298" i="79"/>
  <c r="G298" i="79"/>
  <c r="L299" i="79"/>
  <c r="F299" i="79"/>
  <c r="G299" i="79"/>
  <c r="L300" i="79"/>
  <c r="F300" i="79"/>
  <c r="G300" i="79"/>
  <c r="L301" i="79"/>
  <c r="F301" i="79"/>
  <c r="G301" i="79"/>
  <c r="L302" i="79"/>
  <c r="F302" i="79"/>
  <c r="G302" i="79"/>
  <c r="L303" i="79"/>
  <c r="F303" i="79"/>
  <c r="G303" i="79"/>
  <c r="L304" i="79"/>
  <c r="F304" i="79"/>
  <c r="G304" i="79"/>
  <c r="L305" i="79"/>
  <c r="F305" i="79"/>
  <c r="G305" i="79"/>
  <c r="L306" i="79"/>
  <c r="F306" i="79"/>
  <c r="G306" i="79"/>
  <c r="L307" i="79"/>
  <c r="F307" i="79"/>
  <c r="G307" i="79"/>
  <c r="L308" i="79"/>
  <c r="F308" i="79"/>
  <c r="G308" i="79"/>
  <c r="L309" i="79"/>
  <c r="F309" i="79"/>
  <c r="G309" i="79"/>
  <c r="L310" i="79"/>
  <c r="F310" i="79"/>
  <c r="G310" i="79"/>
  <c r="L311" i="79"/>
  <c r="F311" i="79"/>
  <c r="G311" i="79"/>
  <c r="L312" i="79"/>
  <c r="F312" i="79"/>
  <c r="G312" i="79"/>
  <c r="L313" i="79"/>
  <c r="F313" i="79"/>
  <c r="G313" i="79"/>
  <c r="L314" i="79"/>
  <c r="F314" i="79"/>
  <c r="G314" i="79"/>
  <c r="L315" i="79"/>
  <c r="F315" i="79"/>
  <c r="G315" i="79"/>
  <c r="L316" i="79"/>
  <c r="F316" i="79"/>
  <c r="G316" i="79"/>
  <c r="L317" i="79"/>
  <c r="F317" i="79"/>
  <c r="G317" i="79"/>
  <c r="L318" i="79"/>
  <c r="F318" i="79"/>
  <c r="G318" i="79"/>
  <c r="L319" i="79"/>
  <c r="F319" i="79"/>
  <c r="G319" i="79"/>
  <c r="L320" i="79"/>
  <c r="F320" i="79"/>
  <c r="G320" i="79"/>
  <c r="L321" i="79"/>
  <c r="F321" i="79"/>
  <c r="G321" i="79"/>
  <c r="L322" i="79"/>
  <c r="F322" i="79"/>
  <c r="G322" i="79"/>
  <c r="L323" i="79"/>
  <c r="F323" i="79"/>
  <c r="G323" i="79"/>
  <c r="L324" i="79"/>
  <c r="F324" i="79"/>
  <c r="G324" i="79"/>
  <c r="L325" i="79"/>
  <c r="F325" i="79"/>
  <c r="G325" i="79"/>
  <c r="L326" i="79"/>
  <c r="F326" i="79"/>
  <c r="G326" i="79"/>
  <c r="L327" i="79"/>
  <c r="F327" i="79"/>
  <c r="G327" i="79"/>
  <c r="L328" i="79"/>
  <c r="F328" i="79"/>
  <c r="G328" i="79"/>
  <c r="L329" i="79"/>
  <c r="F329" i="79"/>
  <c r="G329" i="79"/>
  <c r="L330" i="79"/>
  <c r="F330" i="79"/>
  <c r="G330" i="79"/>
  <c r="L331" i="79"/>
  <c r="F331" i="79"/>
  <c r="G331" i="79"/>
  <c r="L332" i="79"/>
  <c r="F332" i="79"/>
  <c r="G332" i="79"/>
  <c r="L333" i="79"/>
  <c r="F333" i="79"/>
  <c r="G333" i="79"/>
  <c r="L334" i="79"/>
  <c r="F334" i="79"/>
  <c r="G334" i="79"/>
  <c r="L335" i="79"/>
  <c r="F335" i="79"/>
  <c r="G335" i="79"/>
  <c r="L336" i="79"/>
  <c r="F336" i="79"/>
  <c r="G336" i="79"/>
  <c r="L337" i="79"/>
  <c r="F337" i="79"/>
  <c r="G337" i="79"/>
  <c r="L338" i="79"/>
  <c r="F338" i="79"/>
  <c r="G338" i="79"/>
  <c r="L339" i="79"/>
  <c r="F339" i="79"/>
  <c r="G339" i="79"/>
  <c r="L340" i="79"/>
  <c r="F340" i="79"/>
  <c r="G340" i="79"/>
  <c r="L341" i="79"/>
  <c r="F341" i="79"/>
  <c r="G341" i="79"/>
  <c r="L342" i="79"/>
  <c r="F342" i="79"/>
  <c r="G342" i="79"/>
  <c r="L343" i="79"/>
  <c r="F343" i="79"/>
  <c r="G343" i="79"/>
  <c r="L344" i="79"/>
  <c r="F344" i="79"/>
  <c r="G344" i="79"/>
  <c r="L345" i="79"/>
  <c r="F345" i="79"/>
  <c r="G345" i="79"/>
  <c r="L346" i="79"/>
  <c r="F346" i="79"/>
  <c r="G346" i="79"/>
  <c r="L347" i="79"/>
  <c r="F347" i="79"/>
  <c r="G347" i="79"/>
  <c r="L348" i="79"/>
  <c r="F348" i="79"/>
  <c r="G348" i="79"/>
  <c r="L349" i="79"/>
  <c r="F349" i="79"/>
  <c r="G349" i="79"/>
  <c r="L350" i="79"/>
  <c r="F350" i="79"/>
  <c r="G350" i="79"/>
  <c r="L351" i="79"/>
  <c r="F351" i="79"/>
  <c r="G351" i="79"/>
  <c r="L352" i="79"/>
  <c r="F352" i="79"/>
  <c r="G352" i="79"/>
  <c r="L353" i="79"/>
  <c r="F353" i="79"/>
  <c r="G353" i="79"/>
  <c r="L354" i="79"/>
  <c r="F354" i="79"/>
  <c r="G354" i="79"/>
  <c r="L355" i="79"/>
  <c r="F355" i="79"/>
  <c r="G355" i="79"/>
  <c r="L356" i="79"/>
  <c r="F356" i="79"/>
  <c r="G356" i="79"/>
  <c r="L357" i="79"/>
  <c r="F357" i="79"/>
  <c r="G357" i="79"/>
  <c r="L358" i="79"/>
  <c r="F358" i="79"/>
  <c r="G358" i="79"/>
  <c r="L359" i="79"/>
  <c r="F359" i="79"/>
  <c r="G359" i="79"/>
  <c r="L360" i="79"/>
  <c r="F360" i="79"/>
  <c r="G360" i="79"/>
  <c r="L361" i="79"/>
  <c r="F361" i="79"/>
  <c r="G361" i="79"/>
  <c r="L362" i="79"/>
  <c r="F362" i="79"/>
  <c r="G362" i="79"/>
  <c r="L363" i="79"/>
  <c r="F363" i="79"/>
  <c r="G363" i="79"/>
  <c r="L364" i="79"/>
  <c r="F364" i="79"/>
  <c r="G364" i="79"/>
  <c r="L365" i="79"/>
  <c r="F365" i="79"/>
  <c r="G365" i="79"/>
  <c r="L366" i="79"/>
  <c r="F366" i="79"/>
  <c r="G366" i="79"/>
  <c r="L367" i="79"/>
  <c r="F367" i="79"/>
  <c r="G367" i="79"/>
  <c r="L368" i="79"/>
  <c r="F368" i="79"/>
  <c r="G368" i="79"/>
  <c r="L369" i="79"/>
  <c r="F369" i="79"/>
  <c r="G369" i="79"/>
  <c r="L370" i="79"/>
  <c r="F370" i="79"/>
  <c r="G370" i="79"/>
  <c r="L371" i="79"/>
  <c r="F371" i="79"/>
  <c r="G371" i="79"/>
  <c r="L372" i="79"/>
  <c r="F372" i="79"/>
  <c r="G372" i="79"/>
  <c r="L373" i="79"/>
  <c r="F373" i="79"/>
  <c r="G373" i="79"/>
  <c r="L374" i="79"/>
  <c r="F374" i="79"/>
  <c r="G374" i="79"/>
  <c r="L375" i="79"/>
  <c r="F375" i="79"/>
  <c r="G375" i="79"/>
  <c r="L376" i="79"/>
  <c r="F376" i="79"/>
  <c r="G376" i="79"/>
  <c r="L377" i="79"/>
  <c r="F377" i="79"/>
  <c r="G377" i="79"/>
  <c r="L378" i="79"/>
  <c r="F378" i="79"/>
  <c r="G378" i="79"/>
  <c r="L379" i="79"/>
  <c r="F379" i="79"/>
  <c r="G379" i="79"/>
  <c r="L380" i="79"/>
  <c r="F380" i="79"/>
  <c r="G380" i="79"/>
  <c r="L381" i="79"/>
  <c r="F381" i="79"/>
  <c r="G381" i="79"/>
  <c r="L382" i="79"/>
  <c r="F382" i="79"/>
  <c r="G382" i="79"/>
  <c r="L383" i="79"/>
  <c r="F383" i="79"/>
  <c r="G383" i="79"/>
  <c r="L384" i="79"/>
  <c r="F384" i="79"/>
  <c r="G384" i="79"/>
  <c r="L385" i="79"/>
  <c r="F385" i="79"/>
  <c r="G385" i="79"/>
  <c r="L386" i="79"/>
  <c r="F386" i="79"/>
  <c r="G386" i="79"/>
  <c r="L387" i="79"/>
  <c r="F387" i="79"/>
  <c r="G387" i="79"/>
  <c r="L388" i="79"/>
  <c r="F388" i="79"/>
  <c r="G388" i="79"/>
  <c r="L389" i="79"/>
  <c r="F389" i="79"/>
  <c r="G389" i="79"/>
  <c r="L390" i="79"/>
  <c r="F390" i="79"/>
  <c r="G390" i="79"/>
  <c r="L391" i="79"/>
  <c r="F391" i="79"/>
  <c r="G391" i="79"/>
  <c r="F2" i="79"/>
  <c r="F3" i="79"/>
  <c r="F4" i="79"/>
  <c r="F5" i="79"/>
  <c r="F6" i="79"/>
  <c r="F7" i="79"/>
  <c r="F8" i="79"/>
  <c r="F9" i="79"/>
  <c r="F10" i="79"/>
  <c r="F11" i="79"/>
  <c r="F12" i="79"/>
  <c r="F13" i="79"/>
  <c r="F14" i="79"/>
  <c r="F15" i="79"/>
  <c r="F16" i="79"/>
  <c r="F17" i="79"/>
  <c r="F18" i="79"/>
  <c r="F19" i="79"/>
  <c r="F20" i="79"/>
  <c r="F21" i="79"/>
  <c r="F22" i="79"/>
  <c r="F23" i="79"/>
  <c r="F24" i="79"/>
  <c r="F25" i="79"/>
  <c r="F26" i="79"/>
  <c r="F27" i="79"/>
  <c r="F28" i="79"/>
  <c r="F29" i="79"/>
  <c r="F30" i="79"/>
  <c r="F31" i="79"/>
  <c r="F32" i="79"/>
  <c r="F33" i="79"/>
  <c r="F34" i="79"/>
  <c r="F35" i="79"/>
  <c r="F392" i="7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<sst xmlns="http://schemas.openxmlformats.org/spreadsheetml/2006/main" count="12365" uniqueCount="3681">
  <si>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</si>
  <si>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</si>
  <si>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</si>
  <si>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</si>
  <si>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</si>
  <si>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</si>
  <si>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</si>
  <si>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</si>
  <si>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</si>
  <si>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</si>
  <si>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</si>
  <si>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</si>
  <si>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</si>
  <si>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</si>
  <si>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</si>
  <si>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</si>
  <si>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</si>
  <si>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</si>
  <si>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</si>
  <si>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</si>
  <si>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</si>
  <si>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</si>
  <si>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</si>
  <si>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</si>
  <si>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</si>
  <si>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</si>
  <si>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</si>
  <si>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</si>
  <si>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</si>
  <si>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</si>
  <si>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</si>
  <si>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</si>
  <si>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</si>
  <si>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</si>
  <si>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</si>
  <si>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</si>
  <si>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</si>
  <si>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</si>
  <si>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</si>
  <si>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</si>
  <si>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</si>
  <si>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</si>
  <si>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</si>
  <si>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</si>
  <si>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</si>
  <si>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</si>
  <si>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</si>
  <si>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</si>
  <si>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</si>
  <si>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</si>
  <si>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</si>
  <si>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</si>
  <si>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</si>
  <si>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</si>
  <si>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</si>
  <si>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</si>
  <si>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</si>
  <si>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</si>
  <si>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</si>
  <si>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</si>
  <si>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</si>
  <si>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</si>
  <si>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</si>
  <si>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</si>
  <si>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</si>
  <si>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</si>
  <si>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</si>
  <si>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</si>
  <si>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</si>
  <si>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</si>
  <si>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</si>
  <si>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</si>
  <si>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</si>
  <si>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</si>
  <si>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</si>
  <si>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</si>
  <si>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</si>
  <si>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</si>
  <si>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</si>
  <si>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</si>
  <si>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</si>
  <si>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</si>
  <si>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</si>
  <si>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</si>
  <si>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</si>
  <si>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</si>
  <si>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</si>
  <si>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</si>
  <si>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</si>
  <si>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</si>
  <si>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</si>
  <si>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</si>
  <si>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</si>
  <si>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</si>
  <si>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</si>
  <si>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</si>
  <si>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</si>
  <si>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</si>
  <si>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</si>
  <si>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</si>
  <si>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</si>
  <si>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</si>
  <si>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</si>
  <si>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</si>
  <si>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</si>
  <si>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</si>
  <si>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</si>
  <si>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</si>
  <si>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</si>
  <si>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</si>
  <si>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</si>
  <si>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</si>
  <si>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</si>
  <si>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</si>
  <si>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</si>
  <si>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</si>
  <si>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</si>
  <si>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</si>
  <si>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</si>
  <si>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</si>
  <si>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</si>
  <si>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</si>
  <si>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</si>
  <si>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</si>
  <si>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</si>
  <si>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</si>
  <si>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</si>
  <si>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</si>
  <si>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</si>
  <si>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</si>
  <si>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</si>
  <si>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</si>
  <si>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</si>
  <si>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</si>
  <si>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</si>
  <si>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</si>
  <si>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</si>
  <si>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</si>
  <si>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</si>
  <si>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</si>
  <si>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</si>
  <si>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</si>
  <si>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</si>
  <si>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</si>
  <si>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</si>
  <si>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</si>
  <si>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</si>
  <si>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</si>
  <si>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</si>
  <si>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</si>
  <si>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</si>
  <si>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</si>
  <si>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</si>
  <si>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</si>
  <si>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</si>
  <si>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</si>
  <si>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</si>
  <si>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</si>
  <si>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</si>
  <si>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</si>
  <si>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</si>
  <si>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</si>
  <si>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</si>
  <si>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</si>
  <si>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</si>
  <si>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</si>
  <si>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</si>
  <si>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</si>
  <si>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</si>
  <si>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</si>
  <si>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</si>
  <si>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</si>
  <si>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</si>
  <si>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</si>
  <si>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</si>
  <si>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</si>
  <si>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</si>
  <si>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</si>
  <si>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</si>
  <si>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</si>
  <si>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</si>
  <si>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</si>
  <si>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</si>
  <si>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</si>
  <si>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</si>
  <si>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</si>
  <si>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</si>
  <si>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</si>
  <si>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</si>
  <si>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</si>
  <si>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</si>
  <si>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</si>
  <si>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</si>
  <si>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</si>
  <si>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</si>
  <si>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</si>
  <si>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</si>
  <si>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</si>
  <si>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</si>
  <si>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</si>
  <si>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</si>
  <si>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</si>
  <si>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</si>
  <si>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</si>
  <si>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</si>
  <si>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</si>
  <si>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</si>
  <si>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</si>
  <si>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</si>
  <si>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</si>
  <si>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</si>
  <si>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</si>
  <si>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</si>
  <si>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</si>
  <si>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</si>
  <si>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</si>
  <si>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</si>
  <si>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</si>
  <si>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</si>
  <si>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</si>
  <si>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</si>
  <si>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</si>
  <si>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</si>
  <si>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</si>
  <si>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</si>
  <si>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</si>
  <si>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</si>
  <si>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</si>
  <si>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</si>
  <si>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</si>
  <si>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</si>
  <si>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</si>
  <si>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</si>
  <si>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</si>
  <si>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</si>
  <si>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</si>
  <si>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</si>
  <si>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</si>
  <si>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</si>
  <si>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</si>
  <si>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</si>
  <si>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</si>
  <si>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</si>
  <si>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</si>
  <si>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</si>
  <si>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</si>
  <si>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</si>
  <si>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</si>
  <si>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</si>
  <si>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</si>
  <si>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</si>
  <si>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</si>
  <si>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</si>
  <si>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</si>
  <si>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</si>
  <si>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</si>
  <si>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</si>
  <si>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</si>
  <si>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</si>
  <si>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</si>
  <si>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</si>
  <si>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</si>
  <si>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</si>
  <si>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</si>
  <si>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</si>
  <si>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</si>
  <si>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</si>
  <si>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</si>
  <si>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</si>
  <si>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</si>
  <si>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</si>
  <si>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</si>
  <si>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</si>
  <si>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</si>
  <si>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</si>
  <si>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</si>
  <si>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</si>
  <si>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</si>
  <si>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</si>
  <si>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</si>
  <si>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</si>
  <si>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</si>
  <si>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</si>
  <si>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</si>
  <si>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</si>
  <si>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</si>
  <si>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</si>
  <si>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</si>
  <si>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</si>
  <si>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</si>
  <si>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</si>
  <si>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</si>
  <si>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</si>
  <si>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</si>
  <si>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</si>
  <si>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</si>
  <si>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</si>
  <si>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</si>
  <si>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</si>
  <si>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</si>
  <si>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</si>
  <si>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</si>
  <si>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</si>
  <si>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</si>
  <si>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</si>
  <si>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</si>
  <si>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</si>
  <si>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</si>
  <si>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</si>
  <si>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</si>
  <si>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</si>
  <si>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</si>
  <si>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</si>
  <si>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</si>
  <si>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</si>
  <si>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</si>
  <si>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</si>
  <si>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</si>
  <si>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</si>
  <si>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</si>
  <si>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</si>
  <si>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</si>
  <si>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</si>
  <si>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</si>
  <si>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</si>
  <si>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</si>
  <si>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</si>
  <si>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</si>
  <si>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</si>
  <si>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</si>
  <si>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</si>
  <si>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</si>
  <si>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</si>
  <si>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</si>
  <si>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</si>
  <si>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</si>
  <si>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</si>
  <si>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</si>
  <si>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</si>
  <si>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</si>
  <si>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</si>
  <si>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</si>
  <si>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</si>
  <si>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</si>
  <si>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</si>
  <si>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</si>
  <si>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</si>
  <si>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</si>
  <si>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</si>
  <si>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</si>
  <si>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</si>
  <si>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</si>
  <si>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</si>
  <si>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</si>
  <si>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</si>
  <si>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</si>
  <si>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</si>
  <si>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</si>
  <si>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</si>
  <si>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</si>
  <si>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</si>
  <si>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</si>
  <si>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</si>
  <si>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</si>
  <si>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</si>
  <si>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</si>
  <si>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</si>
  <si>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</si>
  <si>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</si>
  <si>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</si>
  <si>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</si>
  <si>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</si>
  <si>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</si>
  <si>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</si>
  <si>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</si>
  <si>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</si>
  <si>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</si>
  <si>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</si>
  <si>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</si>
  <si>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</si>
  <si>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</si>
  <si>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</si>
  <si>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</si>
  <si>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</si>
  <si>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</si>
  <si>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</si>
  <si>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</si>
  <si>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</si>
  <si>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</si>
  <si>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</si>
  <si>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</si>
  <si>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</si>
  <si>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</si>
  <si>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</si>
  <si>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</si>
  <si>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</si>
  <si>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</si>
  <si>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</si>
  <si>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</si>
  <si>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</si>
  <si>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</si>
  <si>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</si>
  <si>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</si>
  <si>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</si>
  <si>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</si>
  <si>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</si>
  <si>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</si>
  <si>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</si>
  <si>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</si>
  <si>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</si>
  <si>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</si>
  <si>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</si>
  <si>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</si>
  <si>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</si>
  <si>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</si>
  <si>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</si>
  <si>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</si>
  <si>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</si>
  <si>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</si>
  <si>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</si>
  <si>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</si>
  <si>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</si>
  <si>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</si>
  <si>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</si>
  <si>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</si>
  <si>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</si>
  <si>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</si>
  <si>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</si>
  <si>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</si>
  <si>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</si>
  <si>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</si>
  <si>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</si>
  <si>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</si>
  <si>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</si>
  <si>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</si>
  <si>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</si>
  <si>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</si>
  <si>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</si>
  <si>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</si>
  <si>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</si>
  <si>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</si>
  <si>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</si>
  <si>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</si>
  <si>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</si>
  <si>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</si>
  <si>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</si>
  <si>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</si>
  <si>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</si>
  <si>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</si>
  <si>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</si>
  <si>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</si>
  <si>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</si>
  <si>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</si>
  <si>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</si>
  <si>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</si>
  <si>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</si>
  <si>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</si>
  <si>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</si>
  <si>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</si>
  <si>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</si>
  <si>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</si>
  <si>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</si>
  <si>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</si>
  <si>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</si>
  <si>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</si>
  <si>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</si>
  <si>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</si>
  <si>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</si>
  <si>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</si>
  <si>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</si>
  <si>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</si>
  <si>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</si>
  <si>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</si>
  <si>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</si>
  <si>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</si>
  <si>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</si>
  <si>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</si>
  <si>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</si>
  <si>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</si>
  <si>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</si>
  <si>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</si>
  <si>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</si>
  <si>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</si>
  <si>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</si>
  <si>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</si>
  <si>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</si>
  <si>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</si>
  <si>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</si>
  <si>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</si>
  <si>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</si>
  <si>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</si>
  <si>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</si>
  <si>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</si>
  <si>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</si>
  <si>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</si>
  <si>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</si>
  <si>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</si>
  <si>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</si>
  <si>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</si>
  <si>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</si>
  <si>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</si>
  <si>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</si>
  <si>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</si>
  <si>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</si>
  <si>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</si>
  <si>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</si>
  <si>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</si>
  <si>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</si>
  <si>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</si>
  <si>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</si>
  <si>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</si>
  <si>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</si>
  <si>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</si>
  <si>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</si>
  <si>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</si>
  <si>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</si>
  <si>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</si>
  <si>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</si>
  <si>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</si>
  <si>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</si>
  <si>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</si>
  <si>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</si>
  <si>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</si>
  <si>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</si>
  <si>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</si>
  <si>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</si>
  <si>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</si>
  <si>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</si>
  <si>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</si>
  <si>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</si>
  <si>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</si>
  <si>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</si>
  <si>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</si>
  <si>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</si>
  <si>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</si>
  <si>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</si>
  <si>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</si>
  <si>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</si>
  <si>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</si>
  <si>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</si>
  <si>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</si>
  <si>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</si>
  <si>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</si>
  <si>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</si>
  <si>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</si>
  <si>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</si>
  <si>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</si>
  <si>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</si>
  <si>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</si>
  <si>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</si>
  <si>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</si>
  <si>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</si>
  <si>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</si>
  <si>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</si>
  <si>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</si>
  <si>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</si>
  <si>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</si>
  <si>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</si>
  <si>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</si>
  <si>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</si>
  <si>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</si>
  <si>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</si>
  <si>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</si>
  <si>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</si>
  <si>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</si>
  <si>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</si>
  <si>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</si>
  <si>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</si>
  <si>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</si>
  <si>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</si>
  <si>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</si>
  <si>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</si>
  <si>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</si>
  <si>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</si>
  <si>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</si>
  <si>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</si>
  <si>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</si>
  <si>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</si>
  <si>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</si>
  <si>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</si>
  <si>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</si>
  <si>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</si>
  <si>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</si>
  <si>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</si>
  <si>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</si>
  <si>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</si>
  <si>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</si>
  <si>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</si>
  <si>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</si>
  <si>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</si>
  <si>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</si>
  <si>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</si>
  <si>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</si>
  <si>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</si>
  <si>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</si>
  <si>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</si>
  <si>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</si>
  <si>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</si>
  <si>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</si>
  <si>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</si>
  <si>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</si>
  <si>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</si>
  <si>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</si>
  <si>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</si>
  <si>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</si>
  <si>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</si>
  <si>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</si>
  <si>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</si>
  <si>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</si>
  <si>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</si>
  <si>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</si>
  <si>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</si>
  <si>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</si>
  <si>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</si>
  <si>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</si>
  <si>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</si>
  <si>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</si>
  <si>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</si>
  <si>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</si>
  <si>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</si>
  <si>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</si>
  <si>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</si>
  <si>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</si>
  <si>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</si>
  <si>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</si>
  <si>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</si>
  <si>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</si>
  <si>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</si>
  <si>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</si>
  <si>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</si>
  <si>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</si>
  <si>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</si>
  <si>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</si>
  <si>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</si>
  <si>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</si>
  <si>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</si>
  <si>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</si>
  <si>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</si>
  <si>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</si>
  <si>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</si>
  <si>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</si>
  <si>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</si>
  <si>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</si>
  <si>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</si>
  <si>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</si>
  <si>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</si>
  <si>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</si>
  <si>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</si>
  <si>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</si>
  <si>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</si>
  <si>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</si>
  <si>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</si>
  <si>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</si>
  <si>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</si>
  <si>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</si>
  <si>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</si>
  <si>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</si>
  <si>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</si>
  <si>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</si>
  <si>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</si>
  <si>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</si>
  <si>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</si>
  <si>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</si>
  <si>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</si>
  <si>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</si>
  <si>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</si>
  <si>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</si>
  <si>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</si>
  <si>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</si>
  <si>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</si>
  <si>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</si>
  <si>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</si>
  <si>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</si>
  <si>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</si>
  <si>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</si>
  <si>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</si>
  <si>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</si>
  <si>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</si>
  <si>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</si>
  <si>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</si>
  <si>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</si>
  <si>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</si>
  <si>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</si>
  <si>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</si>
  <si>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</si>
  <si>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</si>
  <si>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</si>
  <si>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</si>
  <si>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</si>
  <si>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</si>
  <si>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</si>
  <si>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</si>
  <si>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</si>
  <si>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</si>
  <si>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</si>
  <si>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</si>
  <si>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</si>
  <si>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</si>
  <si>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</si>
  <si>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</si>
  <si>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</si>
  <si>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</si>
  <si>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</si>
  <si>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</si>
  <si>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</si>
  <si>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</si>
  <si>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</si>
  <si>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</si>
  <si>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</si>
  <si>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</si>
  <si>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</si>
  <si>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</si>
  <si>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</si>
  <si>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</si>
  <si>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</si>
  <si>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</si>
  <si>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</si>
  <si>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</si>
  <si>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</si>
  <si>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</si>
  <si>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</si>
  <si>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</si>
  <si>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</si>
  <si>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</si>
  <si>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</si>
  <si>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</si>
  <si>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</si>
  <si>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</si>
  <si>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</si>
  <si>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</si>
  <si>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</si>
  <si>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</si>
  <si>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</si>
  <si>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</si>
  <si>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</si>
  <si>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</si>
  <si>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</si>
  <si>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</si>
  <si>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</si>
  <si>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</si>
  <si>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</si>
  <si>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</si>
  <si>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</si>
  <si>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</si>
  <si>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</si>
  <si>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</si>
  <si>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</si>
  <si>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</si>
  <si>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</si>
  <si>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</si>
  <si>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</si>
  <si>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</si>
  <si>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</si>
  <si>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</si>
  <si>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</si>
  <si>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</si>
  <si>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</si>
  <si>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</si>
  <si>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</si>
  <si>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</si>
  <si>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</si>
  <si>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</si>
  <si>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</si>
  <si>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</si>
  <si>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</si>
  <si>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</si>
  <si>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</si>
  <si>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</si>
  <si>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</si>
  <si>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</si>
  <si>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</si>
  <si>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</si>
  <si>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</si>
  <si>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</si>
  <si>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</si>
  <si>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</si>
  <si>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</si>
  <si>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</si>
  <si>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</si>
  <si>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</si>
  <si>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</si>
  <si>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</si>
  <si>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</si>
  <si>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</si>
  <si>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</si>
  <si>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</si>
  <si>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</si>
  <si>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</si>
  <si>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</si>
  <si>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</si>
  <si>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</si>
  <si>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</si>
  <si>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</si>
  <si>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</si>
  <si>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</si>
  <si>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</si>
  <si>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</si>
  <si>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</si>
  <si>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</si>
  <si>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</si>
  <si>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</si>
  <si>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</si>
  <si>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</si>
  <si>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</si>
  <si>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</si>
  <si>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</si>
  <si>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</si>
  <si>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</si>
  <si>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</si>
  <si>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</si>
  <si>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</si>
  <si>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</si>
  <si>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</si>
  <si>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</si>
  <si>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</si>
  <si>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</si>
  <si>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</si>
  <si>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</si>
  <si>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</si>
  <si>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</si>
  <si>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</si>
  <si>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</si>
  <si>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</si>
  <si>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</si>
  <si>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</si>
  <si>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</si>
  <si>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</si>
  <si>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</si>
  <si>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</si>
  <si>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</si>
  <si>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</si>
  <si>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</si>
  <si>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</si>
  <si>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</si>
  <si>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</si>
  <si>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</si>
  <si>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</si>
  <si>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</si>
  <si>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</si>
  <si>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</si>
  <si>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</si>
  <si>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</si>
  <si>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</si>
  <si>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</si>
  <si>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</si>
  <si>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</si>
  <si>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</si>
  <si>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</si>
  <si>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</si>
  <si>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</si>
  <si>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</si>
  <si>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</si>
  <si>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</si>
  <si>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</si>
  <si>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</si>
  <si>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</si>
  <si>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</si>
  <si>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</si>
  <si>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</si>
  <si>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</si>
  <si>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</si>
  <si>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</si>
  <si>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</si>
  <si>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</si>
  <si>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</si>
  <si>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</si>
  <si>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</si>
  <si>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</si>
  <si>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</si>
  <si>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</si>
  <si>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</si>
  <si>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</si>
  <si>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</si>
  <si>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</si>
  <si>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</si>
  <si>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</si>
  <si>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</si>
  <si>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</si>
  <si>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</si>
  <si>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</si>
  <si>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</si>
  <si>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</si>
  <si>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</si>
  <si>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</si>
  <si>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</si>
  <si>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</si>
  <si>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</si>
  <si>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</si>
  <si>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</si>
  <si>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</si>
  <si>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</si>
  <si>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</si>
  <si>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</si>
  <si>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</si>
  <si>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</si>
  <si>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</si>
  <si>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</si>
  <si>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</si>
  <si>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</si>
  <si>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</si>
  <si>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</si>
  <si>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</si>
  <si>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</si>
  <si>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</si>
  <si>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</si>
  <si>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</si>
  <si>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</si>
  <si>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</si>
  <si>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</si>
  <si>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</si>
  <si>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</si>
  <si>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</si>
  <si>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</si>
  <si>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</si>
  <si>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</si>
  <si>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</si>
  <si>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</si>
  <si>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</si>
  <si>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</si>
  <si>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</si>
  <si>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</si>
  <si>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</si>
  <si>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</si>
  <si>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</si>
  <si>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</si>
  <si>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</si>
  <si>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</si>
  <si>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</si>
  <si>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</si>
  <si>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</si>
  <si>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</si>
  <si>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</si>
  <si>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</si>
  <si>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</si>
  <si>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</si>
  <si>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</si>
  <si>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</si>
  <si>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</si>
  <si>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</si>
  <si>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</si>
  <si>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</si>
  <si>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</si>
  <si>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</si>
  <si>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</si>
  <si>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</si>
  <si>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</si>
  <si>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</si>
  <si>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</si>
  <si>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</si>
  <si>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</si>
  <si>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</si>
  <si>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</si>
  <si>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</si>
  <si>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</si>
  <si>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</si>
  <si>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</si>
  <si>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</si>
  <si>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</si>
  <si>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</si>
  <si>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</si>
  <si>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</si>
  <si>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</si>
  <si>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</si>
  <si>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</si>
  <si>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</si>
  <si>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</si>
  <si>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</si>
  <si>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</si>
  <si>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</si>
  <si>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</si>
  <si>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</si>
  <si>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</si>
  <si>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</si>
  <si>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</si>
  <si>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</si>
  <si>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</si>
  <si>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</si>
  <si>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</si>
  <si>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</si>
  <si>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</si>
  <si>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</si>
  <si>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</si>
  <si>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</si>
  <si>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</si>
  <si>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</si>
  <si>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</si>
  <si>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</si>
  <si>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</si>
  <si>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</si>
  <si>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</si>
  <si>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</si>
  <si>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</si>
  <si>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</si>
  <si>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</si>
  <si>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</si>
  <si>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</si>
  <si>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</si>
  <si>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</si>
  <si>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</si>
  <si>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</si>
  <si>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</si>
  <si>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</si>
  <si>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</si>
  <si>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</si>
  <si>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</si>
  <si>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</si>
  <si>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</si>
  <si>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</si>
  <si>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</si>
  <si>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</si>
  <si>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</si>
  <si>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</si>
  <si>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</si>
  <si>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</si>
  <si>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</si>
  <si>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</si>
  <si>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</si>
  <si>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</si>
  <si>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</si>
  <si>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</si>
  <si>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</si>
  <si>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</si>
  <si>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</si>
  <si>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</si>
  <si>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</si>
  <si>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</si>
  <si>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</si>
  <si>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</si>
  <si>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</si>
  <si>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</si>
  <si>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</si>
  <si>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</si>
  <si>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</si>
  <si>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</si>
  <si>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</si>
  <si>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</si>
  <si>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</si>
  <si>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</si>
  <si>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</si>
  <si>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</si>
  <si>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</si>
  <si>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</si>
  <si>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</si>
  <si>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</si>
  <si>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</si>
  <si>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</si>
  <si>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</si>
  <si>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</si>
  <si>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</si>
  <si>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</si>
  <si>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</si>
  <si>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</si>
  <si>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</si>
  <si>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</si>
  <si>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</si>
  <si>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</si>
  <si>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</si>
  <si>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</si>
  <si>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</si>
  <si>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</si>
  <si>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</si>
  <si>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</si>
  <si>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</si>
  <si>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</si>
  <si>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</si>
  <si>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</si>
  <si>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</si>
  <si>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</si>
  <si>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</si>
  <si>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</si>
  <si>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</si>
  <si>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</si>
  <si>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</si>
  <si>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</si>
  <si>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</si>
  <si>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</si>
  <si>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</si>
  <si>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</si>
  <si>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</si>
  <si>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</si>
  <si>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</si>
  <si>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</si>
  <si>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</si>
  <si>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</si>
  <si>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</si>
  <si>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</si>
  <si>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</si>
  <si>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</si>
  <si>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</si>
  <si>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</si>
  <si>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</si>
  <si>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</si>
  <si>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</si>
  <si>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</si>
  <si>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</si>
  <si>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</si>
  <si>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</si>
  <si>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</si>
  <si>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</si>
  <si>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</si>
  <si>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</si>
  <si>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</si>
  <si>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</si>
  <si>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</si>
  <si>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</si>
  <si>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</si>
  <si>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</si>
  <si>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</si>
  <si>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</si>
  <si>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</si>
  <si>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</si>
  <si>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</si>
  <si>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</si>
  <si>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</si>
  <si>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</si>
  <si>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</si>
  <si>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</si>
  <si>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</si>
  <si>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</si>
  <si>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</si>
  <si>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</si>
  <si>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</si>
  <si>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</si>
  <si>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</si>
  <si>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</si>
  <si>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</si>
  <si>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</si>
  <si>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</si>
  <si>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</si>
  <si>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</si>
  <si>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</si>
  <si>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</si>
  <si>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</si>
  <si>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</si>
  <si>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</si>
  <si>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</si>
  <si>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</si>
  <si>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</si>
  <si>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</si>
  <si>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</si>
  <si>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</si>
  <si>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</si>
  <si>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</si>
  <si>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</si>
  <si>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</si>
  <si>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</si>
  <si>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</si>
  <si>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</si>
  <si>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</si>
  <si>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</si>
  <si>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</si>
  <si>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</si>
  <si>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</si>
  <si>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</si>
  <si>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</si>
  <si>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</si>
  <si>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</si>
  <si>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</si>
  <si>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</si>
  <si>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</si>
  <si>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</si>
  <si>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</si>
  <si>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</si>
  <si>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</si>
  <si>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</si>
  <si>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</si>
  <si>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</si>
  <si>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</si>
  <si>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</si>
  <si>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</si>
  <si>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</si>
  <si>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</si>
  <si>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</si>
  <si>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</si>
  <si>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</si>
  <si>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</si>
  <si>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</si>
  <si>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</si>
  <si>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</si>
  <si>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</si>
  <si>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</si>
  <si>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</si>
  <si>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</si>
  <si>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</si>
  <si>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</si>
  <si>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</si>
  <si>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</si>
  <si>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</si>
  <si>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</si>
  <si>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</si>
  <si>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</si>
  <si>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</si>
  <si>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</si>
  <si>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</si>
  <si>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</si>
  <si>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</si>
  <si>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</si>
  <si>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</si>
  <si>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</si>
  <si>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</si>
  <si>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</si>
  <si>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</si>
  <si>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</si>
  <si>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</si>
  <si>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</si>
  <si>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</si>
  <si>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</si>
  <si>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</si>
  <si>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</si>
  <si>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</si>
  <si>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</si>
  <si>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</si>
  <si>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</si>
  <si>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</si>
  <si>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</si>
  <si>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</si>
  <si>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</si>
  <si>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</si>
  <si>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</si>
  <si>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</si>
  <si>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</si>
  <si>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</si>
  <si>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</si>
  <si>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</si>
  <si>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</si>
  <si>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</si>
  <si>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</si>
  <si>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</si>
  <si>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</si>
  <si>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</si>
  <si>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</si>
  <si>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</si>
  <si>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</si>
  <si>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</si>
  <si>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</si>
  <si>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</si>
  <si>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</si>
  <si>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</si>
  <si>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</si>
  <si>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</si>
  <si>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</si>
  <si>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</si>
  <si>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</si>
  <si>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</si>
  <si>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</si>
  <si>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</si>
  <si>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</si>
  <si>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</si>
  <si>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</si>
  <si>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</si>
  <si>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</si>
  <si>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</si>
  <si>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</si>
  <si>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</si>
  <si>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</si>
  <si>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</si>
  <si>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</si>
  <si>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</si>
  <si>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</si>
  <si>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</si>
  <si>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</si>
  <si>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</si>
  <si>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</si>
  <si>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</si>
  <si>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</si>
  <si>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</si>
  <si>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</si>
  <si>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</si>
  <si>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</si>
  <si>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</si>
  <si>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</si>
  <si>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</si>
  <si>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</si>
  <si>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</si>
  <si>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</si>
  <si>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</si>
  <si>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</si>
  <si>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</si>
  <si>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</si>
  <si>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</si>
  <si>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</si>
  <si>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</si>
  <si>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</si>
  <si>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</si>
  <si>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</si>
  <si>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</si>
  <si>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</si>
  <si>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</si>
  <si>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</si>
  <si>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</si>
  <si>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</si>
  <si>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</si>
  <si>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</si>
  <si>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</si>
  <si>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</si>
  <si>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</si>
  <si>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</si>
  <si>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</si>
  <si>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</si>
  <si>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</si>
  <si>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</si>
  <si>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</si>
  <si>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</si>
  <si>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</si>
  <si>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</si>
  <si>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</si>
  <si>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</si>
  <si>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</si>
  <si>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</si>
  <si>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</si>
  <si>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</si>
  <si>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</si>
  <si>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</si>
  <si>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</si>
  <si>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</si>
  <si>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</si>
  <si>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</si>
  <si>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</si>
  <si>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</si>
  <si>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</si>
  <si>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</si>
  <si>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</si>
  <si>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</si>
  <si>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</si>
  <si>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</si>
  <si>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</si>
  <si>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</si>
  <si>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</si>
  <si>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</si>
  <si>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</si>
  <si>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</si>
  <si>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</si>
  <si>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</si>
  <si>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</si>
  <si>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</si>
  <si>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</si>
  <si>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</si>
  <si>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</si>
  <si>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</si>
  <si>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</si>
  <si>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</si>
  <si>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</si>
  <si>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</si>
  <si>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</si>
  <si>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</si>
  <si>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</si>
  <si>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</si>
  <si>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</si>
  <si>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</si>
  <si>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</si>
  <si>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</si>
  <si>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</si>
  <si>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</si>
  <si>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</si>
  <si>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</si>
  <si>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</si>
  <si>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</si>
  <si>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</si>
  <si>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</si>
  <si>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</si>
  <si>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</si>
  <si>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</si>
  <si>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</si>
  <si>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</si>
  <si>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</si>
  <si>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</si>
  <si>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</si>
  <si>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</si>
  <si>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</si>
  <si>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</si>
  <si>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</si>
  <si>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</si>
  <si>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</si>
  <si>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</si>
  <si>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</si>
  <si>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</si>
  <si>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</si>
  <si>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</si>
  <si>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</si>
  <si>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</si>
  <si>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</si>
  <si>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</si>
  <si>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</si>
  <si>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</si>
  <si>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</si>
  <si>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</si>
  <si>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</si>
  <si>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</si>
  <si>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</si>
  <si>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</si>
  <si>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</si>
  <si>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</si>
  <si>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</si>
  <si>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</si>
  <si>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</si>
  <si>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</si>
  <si>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</si>
  <si>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</si>
  <si>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</si>
  <si>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</si>
  <si>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</si>
  <si>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</si>
  <si>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</si>
  <si>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</si>
  <si>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</si>
  <si>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</si>
  <si>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</si>
  <si>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</si>
  <si>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</si>
  <si>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</si>
  <si>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</si>
  <si>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</si>
  <si>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</si>
  <si>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</si>
  <si>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</si>
  <si>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</si>
  <si>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</si>
  <si>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</si>
  <si>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</si>
  <si>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</si>
  <si>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</si>
  <si>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</si>
  <si>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</si>
  <si>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</si>
  <si>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</si>
  <si>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</si>
  <si>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</si>
  <si>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</si>
  <si>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</si>
  <si>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</si>
  <si>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</si>
  <si>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</si>
  <si>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</si>
  <si>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</si>
  <si>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</si>
  <si>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</si>
  <si>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</si>
  <si>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</si>
  <si>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</si>
  <si>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</si>
  <si>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</si>
  <si>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</si>
  <si>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</si>
  <si>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</si>
  <si>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</si>
  <si>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</si>
  <si>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</si>
  <si>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</si>
  <si>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</si>
  <si>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</si>
  <si>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</si>
  <si>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</si>
  <si>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</si>
  <si>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</si>
  <si>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</si>
  <si>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</si>
  <si>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</si>
  <si>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</si>
  <si>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</si>
  <si>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</si>
  <si>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</si>
  <si>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</si>
  <si>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</si>
  <si>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</si>
  <si>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</si>
  <si>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</si>
  <si>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</si>
  <si>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</si>
  <si>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</si>
  <si>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</si>
  <si>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</si>
  <si>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</si>
  <si>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</si>
  <si>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</si>
  <si>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</si>
  <si>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</si>
  <si>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</si>
  <si>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</si>
  <si>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</si>
  <si>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</si>
  <si>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</si>
  <si>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</si>
  <si>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</si>
  <si>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</si>
  <si>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</si>
  <si>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</si>
  <si>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</si>
  <si>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</si>
  <si>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</si>
  <si>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</si>
  <si>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</si>
  <si>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</si>
  <si>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</si>
  <si>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</si>
  <si>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</si>
  <si>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</si>
  <si>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</si>
  <si>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</si>
  <si>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</si>
  <si>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</si>
  <si>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</si>
  <si>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</si>
  <si>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</si>
  <si>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</si>
  <si>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</si>
  <si>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</si>
  <si>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</si>
  <si>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</si>
  <si>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</si>
  <si>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</si>
  <si>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</si>
  <si>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</si>
  <si>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</si>
  <si>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</si>
  <si>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</si>
  <si>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</si>
  <si>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</si>
  <si>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</si>
  <si>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</si>
  <si>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</si>
  <si>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</si>
  <si>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</si>
  <si>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</si>
  <si>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</si>
  <si>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</si>
  <si>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</si>
  <si>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</si>
  <si>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</si>
  <si>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</si>
  <si>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</si>
  <si>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</si>
  <si>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</si>
  <si>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</si>
  <si>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</si>
  <si>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</si>
  <si>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</si>
  <si>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</si>
  <si>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</si>
  <si>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</si>
  <si>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</si>
  <si>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</si>
  <si>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</si>
  <si>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</si>
  <si>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</si>
  <si>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</si>
  <si>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</si>
  <si>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</si>
  <si>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</si>
  <si>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</si>
  <si>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</si>
  <si>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</si>
  <si>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</si>
  <si>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</si>
  <si>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</si>
  <si>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</si>
  <si>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</si>
  <si>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</si>
  <si>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</si>
  <si>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</si>
  <si>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</si>
  <si>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</si>
  <si>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</si>
  <si>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</si>
  <si>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</si>
  <si>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</si>
  <si>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</si>
  <si>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</si>
  <si>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</si>
  <si>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</si>
  <si>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</si>
  <si>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</si>
  <si>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</si>
  <si>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</si>
  <si>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</si>
  <si>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</si>
  <si>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</si>
  <si>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</si>
  <si>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</si>
  <si>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</si>
  <si>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</si>
  <si>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</si>
  <si>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</si>
  <si>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</si>
  <si>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</si>
  <si>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</si>
  <si>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</si>
  <si>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</si>
  <si>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</si>
  <si>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</si>
  <si>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</si>
  <si>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</si>
  <si>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</si>
  <si>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</si>
  <si>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</si>
  <si>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</si>
  <si>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</si>
  <si>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</si>
  <si>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</si>
  <si>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</si>
  <si>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</si>
  <si>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</si>
  <si>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</si>
  <si>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</si>
  <si>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</si>
  <si>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</si>
  <si>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</si>
  <si>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</si>
  <si>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</si>
  <si>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</si>
  <si>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</si>
  <si>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</si>
  <si>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</si>
  <si>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</si>
  <si>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</si>
  <si>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</si>
  <si>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</si>
  <si>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</si>
  <si>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</si>
  <si>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</si>
  <si>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</si>
  <si>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</si>
  <si>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</si>
  <si>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</si>
  <si>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</si>
  <si>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</si>
  <si>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</si>
  <si>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</si>
  <si>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</si>
  <si>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</si>
  <si>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</si>
  <si>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</si>
  <si>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</si>
  <si>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</si>
  <si>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</si>
  <si>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</si>
  <si>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</si>
  <si>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</si>
  <si>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</si>
  <si>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</si>
  <si>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</si>
  <si>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</si>
  <si>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</si>
  <si>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</si>
  <si>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</si>
  <si>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</si>
  <si>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</si>
  <si>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</si>
  <si>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</si>
  <si>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</si>
  <si>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</si>
  <si>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</si>
  <si>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</si>
  <si>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</si>
  <si>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</si>
  <si>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</si>
  <si>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</si>
  <si>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</si>
  <si>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</si>
  <si>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</si>
  <si>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</si>
  <si>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</si>
  <si>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</si>
  <si>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</si>
  <si>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</si>
  <si>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</si>
  <si>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</si>
  <si>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</si>
  <si>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</si>
  <si>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</si>
  <si>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</si>
  <si>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</si>
  <si>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</si>
  <si>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</si>
  <si>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</si>
  <si>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</si>
  <si>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</si>
  <si>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</si>
  <si>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</si>
  <si>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</si>
  <si>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</si>
  <si>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</si>
  <si>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</si>
  <si>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</si>
  <si>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</si>
  <si>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</si>
  <si>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</si>
  <si>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</si>
  <si>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</si>
  <si>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</si>
  <si>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</si>
  <si>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</si>
  <si>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</si>
  <si>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</si>
  <si>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</si>
  <si>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</si>
  <si>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</si>
  <si>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</si>
  <si>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</si>
  <si>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</si>
  <si>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</si>
  <si>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</si>
  <si>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</si>
  <si>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</si>
  <si>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</si>
  <si>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</si>
  <si>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</si>
  <si>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</si>
  <si>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</si>
  <si>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</si>
  <si>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</si>
  <si>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</si>
  <si>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</si>
  <si>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</si>
  <si>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</si>
  <si>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</si>
  <si>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</si>
  <si>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</si>
  <si>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</si>
  <si>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</si>
  <si>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</si>
  <si>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</si>
  <si>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</si>
  <si>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</si>
  <si>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</si>
  <si>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</si>
  <si>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</si>
  <si>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</si>
  <si>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</si>
  <si>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</si>
  <si>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</si>
  <si>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</si>
  <si>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</si>
  <si>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</si>
  <si>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</si>
  <si>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</si>
  <si>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</si>
  <si>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</si>
  <si>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</si>
  <si>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</si>
  <si>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</si>
  <si>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</si>
  <si>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</si>
  <si>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</si>
  <si>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</si>
  <si>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</si>
  <si>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</si>
  <si>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</si>
  <si>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</si>
  <si>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</si>
  <si>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</si>
  <si>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</si>
  <si>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</si>
  <si>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</si>
  <si>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</si>
  <si>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</si>
  <si>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</si>
  <si>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</si>
  <si>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</si>
  <si>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</si>
  <si>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</si>
  <si>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</si>
  <si>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</si>
  <si>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</si>
  <si>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</si>
  <si>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</si>
  <si>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</si>
  <si>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</si>
  <si>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</si>
  <si>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</si>
  <si>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</si>
  <si>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</si>
  <si>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</si>
  <si>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</si>
  <si>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</si>
  <si>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</si>
  <si>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</si>
  <si>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</si>
  <si>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</si>
  <si>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</si>
  <si>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</si>
  <si>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</si>
  <si>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</si>
  <si>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</si>
  <si>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</si>
  <si>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</si>
  <si>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</si>
  <si>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</si>
  <si>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</si>
  <si>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</si>
  <si>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</si>
  <si>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</si>
  <si>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</si>
  <si>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</si>
  <si>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</si>
  <si>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</si>
  <si>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</si>
  <si>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</si>
  <si>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</si>
  <si>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</si>
  <si>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</si>
  <si>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</si>
  <si>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</si>
  <si>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</si>
  <si>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</si>
  <si>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</si>
  <si>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</si>
  <si>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</si>
  <si>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</si>
  <si>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</si>
  <si>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</si>
  <si>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</si>
  <si>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</si>
  <si>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</si>
  <si>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</si>
  <si>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</si>
  <si>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</si>
  <si>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</si>
  <si>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</si>
  <si>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</si>
  <si>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</si>
  <si>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</si>
  <si>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</si>
  <si>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</si>
  <si>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</si>
  <si>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</si>
  <si>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</si>
  <si>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</si>
  <si>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</si>
  <si>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</si>
  <si>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</si>
  <si>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</si>
  <si>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</si>
  <si>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</si>
  <si>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</si>
  <si>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</si>
  <si>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</si>
  <si>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</si>
  <si>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</si>
  <si>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</si>
  <si>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</si>
  <si>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</si>
  <si>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</si>
  <si>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</si>
  <si>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</si>
  <si>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</si>
  <si>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</si>
  <si>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</si>
  <si>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</si>
  <si>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</si>
  <si>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</si>
  <si>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</si>
  <si>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</si>
  <si>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</si>
  <si>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</si>
  <si>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</si>
  <si>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</si>
  <si>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</si>
  <si>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</si>
  <si>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</si>
  <si>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</si>
  <si>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</si>
  <si>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</si>
  <si>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</si>
  <si>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</si>
  <si>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</si>
  <si>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</si>
  <si>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</si>
  <si>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</si>
  <si>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</si>
  <si>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</si>
  <si>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</si>
  <si>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</si>
  <si>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</si>
  <si>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</si>
  <si>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</si>
  <si>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</si>
  <si>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</si>
  <si>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</si>
  <si>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</si>
  <si>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</si>
  <si>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</si>
  <si>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</si>
  <si>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</si>
  <si>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</si>
  <si>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</si>
  <si>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</si>
  <si>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</si>
  <si>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</si>
  <si>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</si>
  <si>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</si>
  <si>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</si>
  <si>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</si>
  <si>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</si>
  <si>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</si>
  <si>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</si>
  <si>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</si>
  <si>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</si>
  <si>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</si>
  <si>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</si>
  <si>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</si>
  <si>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</si>
  <si>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</si>
  <si>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</si>
  <si>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</si>
  <si>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</si>
  <si>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</si>
  <si>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</si>
  <si>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</si>
  <si>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</si>
  <si>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</si>
  <si>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</si>
  <si>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</si>
  <si>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</si>
  <si>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</si>
  <si>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</si>
  <si>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</si>
  <si>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</si>
  <si>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</si>
  <si>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</si>
  <si>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</si>
  <si>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</si>
  <si>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</si>
  <si>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</si>
  <si>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</si>
  <si>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</si>
  <si>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</si>
  <si>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</si>
  <si>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</si>
  <si>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</si>
  <si>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</si>
  <si>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</si>
  <si>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</si>
  <si>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</si>
  <si>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</si>
  <si>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</si>
  <si>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</si>
  <si>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</si>
  <si>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</si>
  <si>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</si>
  <si>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</si>
  <si>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</si>
  <si>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</si>
  <si>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</si>
  <si>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</si>
  <si>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</si>
  <si>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</si>
  <si>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</si>
  <si>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</si>
  <si>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</si>
  <si>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</si>
  <si>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</si>
  <si>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</si>
  <si>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</si>
  <si>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</si>
  <si>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</si>
  <si>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</si>
  <si>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</si>
  <si>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</si>
  <si>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</si>
  <si>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</si>
  <si>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</si>
  <si>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</si>
  <si>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</si>
  <si>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</si>
  <si>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</si>
  <si>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</si>
  <si>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</si>
  <si>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</si>
  <si>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</si>
  <si>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</si>
  <si>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</si>
  <si>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</si>
  <si>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</si>
  <si>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</si>
  <si>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</si>
  <si>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</si>
  <si>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</si>
  <si>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</si>
  <si>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</si>
  <si>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</si>
  <si>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</si>
  <si>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</si>
  <si>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</si>
  <si>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</si>
  <si>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</si>
  <si>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</si>
  <si>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</si>
  <si>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</si>
  <si>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</si>
  <si>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</si>
  <si>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</si>
  <si>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</si>
  <si>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</si>
  <si>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</si>
  <si>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</si>
  <si>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</si>
  <si>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</si>
  <si>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</si>
  <si>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</si>
  <si>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</si>
  <si>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</si>
  <si>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</si>
  <si>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</si>
  <si>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</si>
  <si>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</si>
  <si>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</si>
  <si>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</si>
  <si>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</si>
  <si>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</si>
  <si>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</si>
  <si>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</si>
  <si>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</si>
  <si>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</si>
  <si>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</si>
  <si>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</si>
  <si>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</si>
  <si>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</si>
  <si>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</si>
  <si>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</si>
  <si>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</si>
  <si>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</si>
  <si>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</si>
  <si>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</si>
  <si>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</si>
  <si>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</si>
  <si>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</si>
  <si>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</si>
  <si>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</si>
  <si>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</si>
  <si>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</si>
  <si>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</si>
  <si>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</si>
  <si>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</si>
  <si>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</si>
  <si>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</si>
  <si>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</si>
  <si>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</si>
  <si>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</si>
  <si>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</si>
  <si>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</si>
  <si>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</si>
  <si>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</si>
  <si>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</si>
  <si>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</si>
  <si>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</si>
  <si>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</si>
  <si>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</si>
  <si>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</si>
  <si>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</si>
  <si>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</si>
  <si>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</si>
  <si>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</si>
  <si>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</si>
  <si>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</si>
  <si>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</si>
  <si>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</si>
  <si>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</si>
  <si>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</si>
  <si>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</si>
  <si>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</si>
  <si>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</si>
  <si>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</si>
  <si>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</si>
  <si>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</si>
  <si>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</si>
  <si>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</si>
  <si>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</si>
  <si>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</si>
  <si>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</si>
  <si>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</si>
  <si>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</si>
  <si>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</si>
  <si>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</si>
  <si>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</si>
  <si>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</si>
  <si>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</si>
  <si>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</si>
  <si>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</si>
  <si>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</si>
  <si>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</si>
  <si>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</si>
  <si>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</si>
  <si>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</si>
  <si>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</si>
  <si>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</si>
  <si>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</si>
  <si>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</si>
  <si>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</si>
  <si>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</si>
  <si>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</si>
  <si>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</si>
  <si>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</si>
  <si>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</si>
  <si>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</si>
  <si>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</si>
  <si>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</si>
  <si>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</si>
  <si>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</si>
  <si>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</si>
  <si>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</si>
  <si>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</si>
  <si>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</si>
  <si>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</si>
  <si>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</si>
  <si>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</si>
  <si>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</si>
  <si>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</si>
  <si>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</si>
  <si>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</si>
  <si>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</si>
  <si>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</si>
  <si>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</si>
  <si>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</si>
  <si>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</si>
  <si>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</si>
  <si>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</si>
  <si>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</si>
  <si>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</si>
  <si>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</si>
  <si>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</si>
  <si>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</si>
  <si>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</si>
  <si>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</si>
  <si>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</si>
  <si>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</si>
  <si>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</si>
  <si>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</si>
  <si>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</si>
  <si>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</si>
  <si>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</si>
  <si>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</si>
  <si>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</si>
  <si>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</si>
  <si>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</si>
  <si>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</si>
  <si>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</si>
  <si>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</si>
  <si>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</si>
  <si>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</si>
  <si>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</si>
  <si>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</si>
  <si>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</si>
  <si>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</si>
  <si>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</si>
  <si>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</si>
  <si>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</si>
  <si>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</si>
  <si>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</si>
  <si>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</si>
  <si>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</si>
  <si>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</si>
  <si>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</si>
  <si>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</si>
  <si>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</si>
  <si>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</si>
  <si>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</si>
  <si>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</si>
  <si>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</si>
  <si>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</si>
  <si>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</si>
  <si>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</si>
  <si>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</si>
  <si>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</si>
  <si>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</si>
  <si>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</si>
  <si>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</si>
  <si>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</si>
  <si>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</si>
  <si>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</si>
  <si>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</si>
  <si>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</si>
  <si>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</si>
  <si>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</si>
  <si>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</si>
  <si>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</si>
  <si>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</si>
  <si>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</si>
  <si>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</si>
  <si>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</si>
  <si>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</si>
  <si>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</si>
  <si>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</si>
  <si>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</si>
  <si>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</si>
  <si>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</si>
  <si>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</si>
  <si>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</si>
  <si>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</si>
  <si>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</si>
  <si>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</si>
  <si>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</si>
  <si>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</si>
  <si>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</si>
  <si>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</si>
  <si>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</si>
  <si>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</si>
  <si>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</si>
  <si>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</si>
  <si>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</si>
  <si>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</si>
  <si>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</si>
  <si>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</si>
  <si>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</si>
  <si>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</si>
  <si>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</si>
  <si>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</si>
  <si>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</si>
  <si>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</si>
  <si>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</si>
  <si>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</si>
  <si>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</si>
  <si>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</si>
  <si>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</si>
  <si>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</si>
  <si>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</si>
  <si>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</si>
  <si>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</si>
  <si>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</si>
  <si>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</si>
  <si>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</si>
  <si>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</si>
  <si>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</si>
  <si>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</si>
  <si>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</si>
  <si>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</si>
  <si>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</si>
  <si>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</si>
  <si>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</si>
  <si>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</si>
  <si>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</si>
  <si>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</si>
  <si>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</si>
  <si>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</si>
  <si>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</si>
  <si>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</si>
  <si>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</si>
  <si>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</si>
  <si>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</si>
  <si>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</si>
  <si>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</si>
  <si>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</si>
  <si>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</si>
  <si>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</si>
  <si>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</si>
  <si>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</si>
  <si>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</si>
  <si>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</si>
  <si>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</si>
  <si>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</si>
  <si>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</si>
  <si>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</si>
  <si>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</si>
  <si>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</si>
  <si>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</si>
  <si>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</si>
  <si>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</si>
  <si>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</si>
  <si>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</si>
  <si>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</si>
  <si>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</si>
  <si>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</si>
  <si>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</si>
  <si>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</si>
  <si>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</si>
  <si>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</si>
  <si>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</si>
  <si>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</si>
  <si>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</si>
  <si>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</si>
  <si>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</si>
  <si>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</si>
  <si>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</si>
  <si>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</si>
  <si>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</si>
  <si>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</si>
  <si>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</si>
  <si>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</si>
  <si>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</si>
  <si>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</si>
  <si>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</si>
  <si>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</si>
  <si>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</si>
  <si>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</si>
  <si>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</si>
  <si>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</si>
  <si>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</si>
  <si>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</si>
  <si>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</si>
  <si>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</si>
  <si>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</si>
  <si>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</si>
  <si>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</si>
  <si>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</si>
  <si>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</si>
  <si>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</si>
  <si>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</si>
  <si>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</si>
  <si>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</si>
  <si>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</si>
  <si>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</si>
  <si>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</si>
  <si>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</si>
  <si>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</si>
  <si>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</si>
  <si>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</si>
  <si>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</si>
  <si>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</si>
  <si>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</si>
  <si>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</si>
  <si>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</si>
  <si>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</si>
  <si>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</si>
  <si>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</si>
  <si>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</si>
  <si>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</si>
  <si>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</si>
  <si>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</si>
  <si>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</si>
  <si>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</si>
  <si>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</si>
  <si>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</si>
  <si>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</si>
  <si>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</si>
  <si>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</si>
  <si>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</si>
  <si>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</si>
  <si>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</si>
  <si>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</si>
  <si>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</si>
  <si>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</si>
  <si>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</si>
  <si>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</si>
  <si>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</si>
  <si>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</si>
  <si>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</si>
  <si>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</si>
  <si>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</si>
  <si>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</si>
  <si>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</si>
  <si>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</si>
  <si>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</si>
  <si>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</si>
  <si>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</si>
  <si>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</si>
  <si>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</si>
  <si>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</si>
  <si>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</si>
  <si>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</si>
  <si>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</si>
  <si>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</si>
  <si>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</si>
  <si>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</si>
  <si>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</si>
  <si>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</si>
  <si>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</si>
  <si>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</si>
  <si>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</si>
  <si>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</si>
  <si>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</si>
  <si>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</si>
  <si>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</si>
  <si>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</si>
  <si>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</si>
  <si>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</si>
  <si>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</si>
  <si>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</si>
  <si>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</si>
  <si>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</si>
  <si>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</si>
  <si>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</si>
  <si>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</si>
  <si>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</si>
  <si>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</si>
  <si>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</si>
  <si>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</si>
  <si>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</si>
  <si>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</si>
  <si>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</si>
  <si>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</si>
  <si>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</si>
  <si>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</si>
  <si>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</si>
  <si>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</si>
  <si>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</si>
  <si>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</si>
  <si>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</si>
  <si>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</si>
  <si>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</si>
  <si>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</si>
  <si>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</si>
  <si>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</si>
  <si>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</si>
  <si>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</si>
  <si>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</si>
  <si>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</si>
  <si>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</si>
  <si>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</si>
  <si>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</si>
  <si>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</si>
  <si>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</si>
  <si>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</si>
  <si>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</si>
  <si>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</si>
  <si>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</si>
  <si>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</si>
  <si>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</si>
  <si>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</si>
  <si>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</si>
  <si>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</si>
  <si>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</si>
  <si>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</si>
  <si>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</si>
  <si>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</si>
  <si>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</si>
  <si>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</si>
  <si>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</si>
  <si>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</si>
  <si>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</si>
  <si>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</si>
  <si>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</si>
  <si>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</si>
  <si>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</si>
  <si>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</si>
  <si>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</si>
  <si>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</si>
  <si>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</si>
  <si>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</si>
  <si>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</si>
  <si>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</si>
  <si>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</si>
  <si>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</si>
  <si>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</si>
  <si>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</si>
  <si>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</si>
  <si>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</si>
  <si>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</si>
  <si>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</si>
  <si>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</si>
  <si>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</si>
  <si>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</si>
  <si>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</si>
  <si>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</si>
  <si>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</si>
  <si>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</si>
  <si>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</si>
  <si>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</si>
  <si>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</si>
  <si>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</si>
  <si>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</si>
  <si>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</si>
  <si>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</si>
  <si>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</si>
  <si>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</si>
  <si>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</si>
  <si>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</si>
  <si>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</si>
  <si>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</si>
  <si>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</si>
  <si>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</si>
  <si>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</si>
  <si>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</si>
  <si>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</si>
  <si>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</si>
  <si>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</si>
  <si>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</si>
  <si>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</si>
  <si>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</si>
  <si>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</si>
  <si>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</si>
  <si>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</si>
  <si>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</si>
  <si>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</si>
  <si>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</si>
  <si>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</si>
  <si>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</si>
  <si>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</si>
  <si>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</si>
  <si>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</si>
  <si>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</si>
  <si>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</si>
  <si>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</si>
  <si>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</si>
  <si>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</si>
  <si>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</si>
  <si>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</si>
  <si>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</si>
  <si>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</si>
  <si>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</si>
  <si>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</si>
  <si>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</si>
  <si>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</si>
  <si>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</si>
  <si>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</si>
  <si>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</si>
  <si>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</si>
  <si>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</si>
  <si>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</si>
  <si>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</si>
  <si>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</si>
  <si>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</si>
  <si>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</si>
  <si>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</si>
  <si>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</si>
  <si>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</si>
  <si>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</si>
  <si>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</si>
  <si>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</si>
  <si>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</si>
  <si>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</si>
  <si>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</si>
  <si>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</si>
  <si>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</si>
  <si>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</si>
  <si>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</si>
  <si>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</si>
  <si>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</si>
  <si>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</si>
  <si>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</si>
  <si>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</si>
  <si>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</si>
  <si>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</si>
  <si>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</si>
  <si>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</si>
  <si>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</si>
  <si>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</si>
  <si>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</si>
  <si>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</si>
  <si>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</si>
  <si>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</si>
  <si>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</si>
  <si>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</si>
  <si>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</si>
  <si>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</si>
  <si>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</si>
  <si>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</si>
  <si>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</si>
  <si>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</si>
  <si>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</si>
  <si>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</si>
  <si>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</si>
  <si>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</si>
  <si>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</si>
  <si>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</si>
  <si>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</si>
  <si>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</si>
  <si>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</si>
  <si>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</si>
  <si>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</si>
  <si>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</si>
  <si>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</si>
  <si>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</si>
  <si>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</si>
  <si>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</si>
  <si>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</si>
  <si>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</si>
  <si>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</si>
  <si>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</si>
  <si>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</si>
  <si>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</si>
  <si>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</si>
  <si>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</si>
  <si>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</si>
  <si>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</si>
  <si>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</si>
  <si>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</si>
  <si>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</si>
  <si>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</si>
  <si>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</si>
  <si>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</si>
  <si>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</si>
  <si>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</si>
  <si>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</si>
  <si>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</si>
  <si>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</si>
  <si>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</si>
  <si>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</si>
  <si>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</si>
  <si>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</si>
  <si>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</si>
  <si>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</si>
  <si>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</si>
  <si>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</si>
  <si>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</si>
  <si>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</si>
  <si>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</si>
  <si>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</si>
  <si>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</si>
  <si>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</si>
  <si>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</si>
  <si>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</si>
  <si>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</si>
  <si>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</si>
  <si>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</si>
  <si>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</si>
  <si>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</si>
  <si>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</si>
  <si>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</si>
  <si>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</si>
  <si>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</si>
  <si>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</si>
  <si>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</si>
  <si>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</si>
  <si>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</si>
  <si>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</si>
  <si>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</si>
  <si>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</si>
  <si>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</si>
  <si>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</si>
  <si>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</si>
  <si>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</si>
  <si>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</si>
  <si>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</si>
  <si>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</si>
  <si>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</si>
  <si>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</si>
  <si>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</si>
  <si>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</si>
  <si>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</si>
  <si>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</si>
  <si>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</si>
  <si>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</si>
  <si>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</si>
  <si>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</si>
  <si>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</si>
  <si>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</si>
  <si>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</si>
  <si>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</si>
  <si>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</si>
  <si>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</si>
  <si>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</si>
  <si>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</si>
  <si>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</si>
  <si>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</si>
  <si>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</si>
  <si>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</si>
  <si>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</si>
  <si>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</si>
  <si>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</si>
  <si>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</si>
  <si>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</si>
  <si>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</si>
  <si>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</si>
  <si>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</si>
  <si>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</si>
  <si>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</si>
  <si>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</si>
  <si>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</si>
  <si>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</si>
  <si>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</si>
  <si>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</si>
  <si>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</si>
  <si>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</si>
  <si>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</si>
  <si>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</si>
  <si>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</si>
  <si>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</si>
  <si>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</si>
  <si>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</si>
  <si>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</si>
  <si>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</si>
  <si>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</si>
  <si>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</si>
  <si>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</si>
  <si>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</si>
  <si>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</si>
  <si>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</si>
  <si>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</si>
  <si>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</si>
  <si>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</si>
  <si>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</si>
  <si>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</si>
  <si>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</si>
  <si>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</si>
  <si>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</si>
  <si>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</si>
  <si>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</si>
  <si>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</si>
  <si>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</si>
  <si>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</si>
  <si>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</si>
  <si>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</si>
  <si>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</si>
  <si>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</si>
  <si>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</si>
  <si>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</si>
  <si>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</si>
  <si>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</si>
  <si>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</si>
  <si>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</si>
  <si>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</si>
  <si>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</si>
  <si>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</si>
  <si>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</si>
  <si>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</si>
  <si>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</si>
  <si>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</si>
  <si>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</si>
  <si>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</si>
  <si>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</si>
  <si>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</si>
  <si>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</si>
  <si>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</si>
  <si>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</si>
  <si>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</si>
  <si>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</si>
  <si>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</si>
  <si>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</si>
  <si>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</si>
  <si>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</si>
  <si>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</si>
  <si>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</si>
  <si>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</si>
  <si>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</si>
  <si>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</si>
  <si>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</si>
  <si>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</si>
  <si>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</si>
  <si>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</si>
  <si>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</si>
  <si>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</si>
  <si>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</si>
  <si>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</si>
  <si>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</si>
  <si>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</si>
  <si>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</si>
  <si>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</si>
  <si>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</si>
  <si>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</si>
  <si>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</si>
  <si>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</si>
  <si>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</si>
  <si>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</si>
  <si>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</si>
  <si>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</si>
  <si>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</si>
  <si>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</si>
  <si>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</si>
  <si>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</si>
  <si>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</si>
  <si>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</si>
  <si>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</si>
  <si>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</si>
  <si>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</si>
  <si>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</si>
  <si>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</si>
  <si>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</si>
  <si>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</si>
  <si>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</si>
  <si>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</si>
  <si>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</si>
  <si>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</si>
  <si>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</si>
  <si>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</si>
  <si>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</si>
  <si>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</si>
  <si>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</si>
  <si>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</si>
  <si>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</si>
  <si>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</si>
  <si>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</si>
  <si>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</si>
  <si>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</si>
  <si>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</si>
  <si>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</si>
  <si>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</si>
  <si>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</si>
  <si>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</si>
  <si>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</si>
  <si>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</si>
  <si>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</si>
  <si>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</si>
  <si>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</si>
  <si>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</si>
  <si>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</si>
  <si>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</si>
  <si>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</si>
  <si>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</si>
  <si>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</si>
  <si>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</si>
  <si>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</si>
  <si>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</si>
  <si>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</si>
  <si>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</si>
  <si>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</si>
  <si>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</si>
  <si>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</si>
  <si>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</si>
  <si>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</si>
  <si>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</si>
  <si>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</si>
  <si>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</si>
  <si>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</si>
  <si>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</si>
  <si>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</si>
  <si>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</si>
  <si>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</si>
  <si>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</si>
  <si>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</si>
  <si>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</si>
  <si>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</si>
  <si>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</si>
  <si>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</si>
  <si>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</si>
  <si>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</si>
  <si>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</si>
  <si>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</si>
  <si>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</si>
  <si>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</si>
  <si>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</si>
  <si>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</si>
  <si>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</si>
  <si>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</si>
  <si>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</si>
  <si>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</si>
  <si>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</si>
  <si>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</si>
  <si>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</si>
  <si>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</si>
  <si>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</si>
  <si>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</si>
  <si>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</si>
  <si>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</si>
  <si>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</si>
  <si>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</si>
  <si>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</si>
  <si>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</si>
  <si>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</si>
  <si>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</si>
  <si>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</si>
  <si>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</si>
  <si>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</si>
  <si>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</si>
  <si>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</si>
  <si>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</si>
  <si>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</si>
  <si>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</si>
  <si>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</si>
  <si>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</si>
  <si>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</si>
  <si>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</si>
  <si>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</si>
  <si>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</si>
  <si>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</si>
  <si>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</si>
  <si>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</si>
  <si>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</si>
  <si>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</si>
  <si>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</si>
  <si>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</si>
  <si>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</si>
  <si>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</si>
  <si>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</si>
  <si>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</si>
  <si>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</si>
  <si>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</si>
  <si>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</si>
  <si>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</si>
  <si>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</si>
  <si>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</si>
  <si>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</si>
  <si>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</si>
  <si>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</si>
  <si>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</si>
  <si>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</si>
  <si>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</si>
  <si>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</si>
  <si>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</si>
  <si>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</si>
  <si>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</si>
  <si>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</si>
  <si>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</si>
  <si>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</si>
  <si>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</si>
  <si>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</si>
  <si>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</si>
  <si>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</si>
  <si>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</si>
  <si>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</si>
  <si>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</si>
  <si>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</si>
  <si>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</si>
  <si>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</si>
  <si>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</si>
  <si>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</si>
  <si>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</si>
  <si>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</si>
  <si>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</si>
  <si>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</si>
  <si>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</si>
  <si>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</si>
  <si>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</si>
  <si>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</si>
  <si>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</si>
  <si>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</si>
  <si>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</si>
  <si>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</si>
  <si>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</si>
  <si>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</si>
  <si>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</si>
  <si>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</si>
  <si>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</si>
  <si>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</si>
  <si>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</si>
  <si>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</si>
  <si>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</si>
  <si>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</si>
  <si>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</si>
  <si>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</si>
  <si>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</si>
  <si>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</si>
  <si>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</si>
  <si>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</si>
  <si>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</si>
  <si>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</si>
  <si>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</si>
  <si>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</si>
  <si>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</si>
  <si>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</si>
  <si>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</si>
  <si>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</si>
  <si>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</si>
  <si>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</si>
  <si>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</si>
  <si>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</si>
  <si>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</si>
  <si>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</si>
  <si>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</si>
  <si>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</si>
  <si>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</si>
  <si>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</si>
  <si>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</si>
  <si>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</si>
  <si>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</si>
  <si>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</si>
  <si>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</si>
  <si>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</si>
  <si>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</si>
  <si>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</si>
  <si>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</si>
  <si>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</si>
  <si>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</si>
  <si>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</si>
  <si>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</si>
  <si>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</si>
  <si>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</si>
  <si>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</si>
  <si>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</si>
  <si>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</si>
  <si>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</si>
  <si>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</si>
  <si>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</si>
  <si>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</si>
  <si>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</si>
  <si>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</si>
  <si>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</si>
  <si>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</si>
  <si>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</si>
  <si>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</si>
  <si>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</si>
  <si>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</si>
  <si>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</si>
  <si>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</si>
  <si>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</si>
  <si>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</si>
  <si>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</si>
  <si>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</si>
  <si>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</si>
  <si>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</si>
  <si>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</si>
  <si>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</si>
  <si>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</si>
  <si>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</si>
  <si>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</si>
  <si>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</si>
  <si>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</si>
  <si>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</si>
  <si>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</si>
  <si>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</si>
  <si>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</si>
  <si>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</si>
  <si>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</si>
  <si>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</si>
  <si>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</si>
  <si>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</si>
  <si>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</si>
  <si>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</si>
  <si>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</si>
  <si>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</si>
  <si>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</si>
  <si>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</si>
  <si>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</si>
  <si>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</si>
  <si>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</si>
  <si>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</si>
  <si>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</si>
  <si>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</si>
  <si>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</si>
  <si>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</si>
  <si>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</si>
  <si>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</si>
  <si>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</si>
  <si>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</si>
  <si>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</si>
  <si>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</si>
  <si>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</si>
  <si>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</si>
  <si>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</si>
  <si>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</si>
  <si>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</si>
  <si>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</si>
  <si>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</si>
  <si>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</si>
  <si>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</si>
  <si>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</si>
  <si>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</si>
  <si>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</si>
  <si>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</si>
  <si>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</si>
  <si>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</si>
  <si>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</si>
  <si>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</si>
  <si>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</si>
  <si>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</si>
  <si>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</si>
  <si>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</si>
  <si>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</si>
  <si>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</si>
  <si>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</si>
  <si>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</si>
  <si>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</si>
  <si>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</si>
  <si>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</si>
  <si>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</si>
  <si>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</si>
  <si>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</si>
  <si>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</si>
  <si>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</si>
  <si>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</si>
  <si>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</si>
  <si>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</si>
  <si>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</si>
  <si>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</si>
  <si>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</si>
  <si>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</si>
  <si>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</si>
  <si>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</si>
  <si>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</si>
  <si>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</si>
  <si>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</si>
  <si>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</si>
  <si>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抵押</t>
  </si>
  <si>
    <t>房地产抵押价值</t>
  </si>
  <si>
    <t>其他：</t>
  </si>
  <si>
    <t>企业</t>
  </si>
  <si>
    <t>出让</t>
  </si>
  <si>
    <t>广东省广州市</t>
    <phoneticPr fontId="6" type="noConversion"/>
  </si>
  <si>
    <r>
      <rPr>
        <sz val="12"/>
        <color theme="9" tint="-0.249977111117893"/>
        <rFont val="宋体"/>
        <family val="3"/>
        <charset val="134"/>
      </rPr>
      <t>海珠区工业大道南北侧石溪村地段第三金碧花园自编</t>
    </r>
    <r>
      <rPr>
        <sz val="12"/>
        <color theme="9" tint="-0.249977111117893"/>
        <rFont val="Arial"/>
        <family val="2"/>
      </rPr>
      <t>68-70</t>
    </r>
    <r>
      <rPr>
        <sz val="12"/>
        <color theme="9" tint="-0.249977111117893"/>
        <rFont val="宋体"/>
        <family val="3"/>
        <charset val="134"/>
      </rPr>
      <t>栋住宅楼项目</t>
    </r>
    <phoneticPr fontId="6" type="noConversion"/>
  </si>
  <si>
    <t>居住项目</t>
  </si>
  <si>
    <t>在建</t>
  </si>
  <si>
    <t>通路</t>
  </si>
  <si>
    <t>通电</t>
  </si>
  <si>
    <t>通讯</t>
  </si>
  <si>
    <t>通上水</t>
  </si>
  <si>
    <t>通下水</t>
  </si>
  <si>
    <t>街名</t>
  </si>
  <si>
    <t>号</t>
  </si>
  <si>
    <t>层</t>
  </si>
  <si>
    <t>室</t>
  </si>
  <si>
    <t>建造面积</t>
  </si>
  <si>
    <t>金恒北三街</t>
  </si>
  <si>
    <t>#1</t>
  </si>
  <si>
    <t>01</t>
  </si>
  <si>
    <t>#11</t>
  </si>
  <si>
    <t>#13</t>
  </si>
  <si>
    <t>#17</t>
  </si>
  <si>
    <t>#19</t>
  </si>
  <si>
    <t>#3</t>
  </si>
  <si>
    <t>#5</t>
  </si>
  <si>
    <t>工业大道南</t>
  </si>
  <si>
    <t>#810</t>
  </si>
  <si>
    <t>#812</t>
  </si>
  <si>
    <t>#814</t>
  </si>
  <si>
    <t>#816</t>
  </si>
  <si>
    <t>#818</t>
  </si>
  <si>
    <t>#820</t>
  </si>
  <si>
    <t>#822</t>
  </si>
  <si>
    <t>#824</t>
  </si>
  <si>
    <t>#826</t>
  </si>
  <si>
    <t>#828</t>
  </si>
  <si>
    <t>#830</t>
  </si>
  <si>
    <t>#832</t>
  </si>
  <si>
    <t>#834</t>
  </si>
  <si>
    <t>#836</t>
  </si>
  <si>
    <t>#838</t>
  </si>
  <si>
    <t>#840</t>
  </si>
  <si>
    <t>#842</t>
  </si>
  <si>
    <t>#844</t>
  </si>
  <si>
    <t>#846</t>
  </si>
  <si>
    <t>#848</t>
  </si>
  <si>
    <t>#850</t>
  </si>
  <si>
    <t>#852</t>
  </si>
  <si>
    <t>#854</t>
  </si>
  <si>
    <t>#856</t>
  </si>
  <si>
    <t>#858</t>
  </si>
  <si>
    <t>#862</t>
  </si>
  <si>
    <t>#9</t>
  </si>
  <si>
    <t>#15</t>
  </si>
  <si>
    <t>02</t>
  </si>
  <si>
    <t>03</t>
  </si>
  <si>
    <t>04</t>
  </si>
  <si>
    <t>#23</t>
  </si>
  <si>
    <t>05</t>
  </si>
  <si>
    <t>06</t>
  </si>
  <si>
    <t>07</t>
  </si>
  <si>
    <t>08</t>
  </si>
  <si>
    <t>#7</t>
  </si>
  <si>
    <t>用途</t>
    <phoneticPr fontId="143" type="noConversion"/>
  </si>
  <si>
    <t>住宅</t>
  </si>
  <si>
    <t>住宅</t>
    <phoneticPr fontId="143" type="noConversion"/>
  </si>
  <si>
    <t>商业</t>
    <phoneticPr fontId="143" type="noConversion"/>
  </si>
  <si>
    <t>工业大道</t>
    <phoneticPr fontId="143" type="noConversion"/>
  </si>
  <si>
    <t>地下非机动车库</t>
    <phoneticPr fontId="143" type="noConversion"/>
  </si>
  <si>
    <t>地下机动车库</t>
    <phoneticPr fontId="143" type="noConversion"/>
  </si>
  <si>
    <t>发电机配电间</t>
    <phoneticPr fontId="143" type="noConversion"/>
  </si>
  <si>
    <t>变配电房、专变综合房</t>
    <phoneticPr fontId="143" type="noConversion"/>
  </si>
  <si>
    <t>水泵房、生活水池、消防水池</t>
    <phoneticPr fontId="143" type="noConversion"/>
  </si>
  <si>
    <t>#21</t>
    <phoneticPr fontId="143" type="noConversion"/>
  </si>
  <si>
    <t>#25</t>
    <phoneticPr fontId="143" type="noConversion"/>
  </si>
  <si>
    <t>社区居委会</t>
    <phoneticPr fontId="143" type="noConversion"/>
  </si>
  <si>
    <t>#810</t>
    <phoneticPr fontId="143" type="noConversion"/>
  </si>
  <si>
    <t>首层架空层</t>
    <phoneticPr fontId="143" type="noConversion"/>
  </si>
  <si>
    <t>#15</t>
    <phoneticPr fontId="143" type="noConversion"/>
  </si>
  <si>
    <t>#23</t>
    <phoneticPr fontId="143" type="noConversion"/>
  </si>
  <si>
    <t>避难区</t>
    <phoneticPr fontId="143" type="noConversion"/>
  </si>
  <si>
    <t>临街</t>
    <phoneticPr fontId="143" type="noConversion"/>
  </si>
  <si>
    <t>是否临街</t>
    <phoneticPr fontId="143" type="noConversion"/>
  </si>
  <si>
    <r>
      <t>1</t>
    </r>
    <r>
      <rPr>
        <sz val="11"/>
        <color theme="1"/>
        <rFont val="宋体"/>
        <family val="3"/>
        <charset val="134"/>
        <scheme val="minor"/>
      </rPr>
      <t>-2层</t>
    </r>
    <phoneticPr fontId="143" type="noConversion"/>
  </si>
  <si>
    <t>内铺</t>
    <phoneticPr fontId="143" type="noConversion"/>
  </si>
  <si>
    <t>1层临街商业</t>
    <phoneticPr fontId="143" type="noConversion"/>
  </si>
  <si>
    <t>建筑面积</t>
    <phoneticPr fontId="143" type="noConversion"/>
  </si>
  <si>
    <t>系数</t>
    <phoneticPr fontId="143" type="noConversion"/>
  </si>
  <si>
    <r>
      <t>1</t>
    </r>
    <r>
      <rPr>
        <sz val="11"/>
        <color theme="1"/>
        <rFont val="宋体"/>
        <family val="3"/>
        <charset val="134"/>
        <scheme val="minor"/>
      </rPr>
      <t>-2层临街商业</t>
    </r>
    <phoneticPr fontId="143" type="noConversion"/>
  </si>
  <si>
    <t>1层内铺</t>
    <phoneticPr fontId="143" type="noConversion"/>
  </si>
  <si>
    <t>1-2层内铺</t>
    <phoneticPr fontId="143" type="noConversion"/>
  </si>
  <si>
    <t>#860</t>
    <phoneticPr fontId="143" type="noConversion"/>
  </si>
  <si>
    <t>B1</t>
    <phoneticPr fontId="143" type="noConversion"/>
  </si>
  <si>
    <t>可抵押商业</t>
    <phoneticPr fontId="3" type="noConversion"/>
  </si>
  <si>
    <t>可抵押住宅</t>
    <phoneticPr fontId="3" type="noConversion"/>
  </si>
  <si>
    <t>不可抵押部分</t>
    <phoneticPr fontId="3" type="noConversion"/>
  </si>
  <si>
    <t>是</t>
  </si>
  <si>
    <t>否</t>
  </si>
  <si>
    <t>地上</t>
  </si>
  <si>
    <t>平层住宅</t>
  </si>
  <si>
    <t>底商</t>
  </si>
  <si>
    <t>抵押住宅</t>
    <phoneticPr fontId="143" type="noConversion"/>
  </si>
  <si>
    <r>
      <t>7</t>
    </r>
    <r>
      <rPr>
        <sz val="11"/>
        <color theme="1"/>
        <rFont val="宋体"/>
        <family val="3"/>
        <charset val="134"/>
        <scheme val="minor"/>
      </rPr>
      <t>#住宅</t>
    </r>
    <phoneticPr fontId="143" type="noConversion"/>
  </si>
  <si>
    <r>
      <t>1</t>
    </r>
    <r>
      <rPr>
        <sz val="11"/>
        <color theme="1"/>
        <rFont val="宋体"/>
        <family val="3"/>
        <charset val="134"/>
        <scheme val="minor"/>
      </rPr>
      <t>5#住宅</t>
    </r>
    <phoneticPr fontId="143" type="noConversion"/>
  </si>
  <si>
    <t>23#住宅</t>
    <phoneticPr fontId="143" type="noConversion"/>
  </si>
  <si>
    <t>总层</t>
    <phoneticPr fontId="143" type="noConversion"/>
  </si>
  <si>
    <t>已完工</t>
  </si>
  <si>
    <t>已完工</t>
    <phoneticPr fontId="143" type="noConversion"/>
  </si>
  <si>
    <t>地下</t>
  </si>
  <si>
    <t>地下</t>
    <phoneticPr fontId="143" type="noConversion"/>
  </si>
  <si>
    <t>主体封顶</t>
    <phoneticPr fontId="143" type="noConversion"/>
  </si>
  <si>
    <t>工程进度</t>
    <phoneticPr fontId="143" type="noConversion"/>
  </si>
  <si>
    <t>车库</t>
  </si>
  <si>
    <t>住宅</t>
    <phoneticPr fontId="7" type="noConversion"/>
  </si>
  <si>
    <t>商业</t>
    <phoneticPr fontId="7" type="noConversion"/>
  </si>
  <si>
    <t>收益法</t>
  </si>
  <si>
    <t>请录依据文件名称：http://www.gz.gov.cn/gzswjk/2.2.22/201902/f8387bd71b934cb7bad10118987b6b12.shtml</t>
    <phoneticPr fontId="3" type="noConversion"/>
  </si>
  <si>
    <t>成本法</t>
  </si>
  <si>
    <t>假设开发法</t>
  </si>
  <si>
    <t>未包含在土地购买价格中</t>
  </si>
  <si>
    <t>全部缴纳</t>
  </si>
  <si>
    <t>已包含在土地取得成本中</t>
  </si>
  <si>
    <t>在建（套用方法）</t>
  </si>
  <si>
    <t>押一</t>
  </si>
  <si>
    <t>按租金收入计税</t>
  </si>
  <si>
    <t>钢混</t>
  </si>
  <si>
    <t>非生产用房</t>
  </si>
  <si>
    <t>第三金碧花园</t>
    <phoneticPr fontId="3" type="noConversion"/>
  </si>
  <si>
    <t>绿地越秀·海玥</t>
    <phoneticPr fontId="3" type="noConversion"/>
  </si>
  <si>
    <t>海珠区</t>
    <phoneticPr fontId="3" type="noConversion"/>
  </si>
  <si>
    <t>50-60（含）</t>
  </si>
  <si>
    <t>60-70（含）</t>
  </si>
  <si>
    <t>住宅</t>
    <phoneticPr fontId="25" type="noConversion"/>
  </si>
  <si>
    <t>正常</t>
  </si>
  <si>
    <t>超高层</t>
  </si>
  <si>
    <t>超高层</t>
    <phoneticPr fontId="25" type="noConversion"/>
  </si>
  <si>
    <t>高层</t>
  </si>
  <si>
    <t>高层</t>
    <phoneticPr fontId="25" type="noConversion"/>
  </si>
  <si>
    <t>精装</t>
    <phoneticPr fontId="3" type="noConversion"/>
  </si>
  <si>
    <t>普装</t>
    <phoneticPr fontId="3" type="noConversion"/>
  </si>
  <si>
    <t>简装</t>
    <phoneticPr fontId="3" type="noConversion"/>
  </si>
  <si>
    <t>毛坯</t>
    <phoneticPr fontId="3" type="noConversion"/>
  </si>
  <si>
    <t>否</t>
    <phoneticPr fontId="3" type="noConversion"/>
  </si>
  <si>
    <t>是</t>
    <phoneticPr fontId="3" type="noConversion"/>
  </si>
  <si>
    <t>六通</t>
  </si>
  <si>
    <t>六通</t>
    <phoneticPr fontId="25" type="noConversion"/>
  </si>
  <si>
    <t>五通</t>
  </si>
  <si>
    <t>五通</t>
    <phoneticPr fontId="25" type="noConversion"/>
  </si>
  <si>
    <t>四通</t>
    <phoneticPr fontId="25" type="noConversion"/>
  </si>
  <si>
    <t>三通</t>
    <phoneticPr fontId="25" type="noConversion"/>
  </si>
  <si>
    <t>平层</t>
  </si>
  <si>
    <t>平层</t>
    <phoneticPr fontId="25" type="noConversion"/>
  </si>
  <si>
    <t>好</t>
  </si>
  <si>
    <t>好</t>
    <phoneticPr fontId="25" type="noConversion"/>
  </si>
  <si>
    <t>较好</t>
  </si>
  <si>
    <t>较好</t>
    <phoneticPr fontId="25" type="noConversion"/>
  </si>
  <si>
    <t>一般</t>
  </si>
  <si>
    <t>一般</t>
    <phoneticPr fontId="25" type="noConversion"/>
  </si>
  <si>
    <t>较差</t>
    <phoneticPr fontId="25" type="noConversion"/>
  </si>
  <si>
    <t>差</t>
    <phoneticPr fontId="25" type="noConversion"/>
  </si>
  <si>
    <t>估价对象周边居住用地比例、居住小区规模和社区发展完善程度，综合评价居住社区成熟度较好</t>
    <phoneticPr fontId="4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</si>
  <si>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商圈，周边商业氛围成熟，人流量大，商业繁华度较好</t>
    </r>
    <phoneticPr fontId="25" type="noConversion"/>
  </si>
  <si>
    <t>估价对象所在区域公共配套设施齐备情况较好</t>
    <phoneticPr fontId="41" type="noConversion"/>
  </si>
  <si>
    <t>六通</t>
    <phoneticPr fontId="25" type="noConversion"/>
  </si>
  <si>
    <t>较好</t>
    <phoneticPr fontId="41" type="noConversion"/>
  </si>
  <si>
    <t>金融街御融</t>
    <phoneticPr fontId="3" type="noConversion"/>
  </si>
  <si>
    <t>精装</t>
  </si>
  <si>
    <t>是否看江景</t>
    <phoneticPr fontId="25" type="noConversion"/>
  </si>
  <si>
    <t>否</t>
    <phoneticPr fontId="25" type="noConversion"/>
  </si>
  <si>
    <t>是</t>
    <phoneticPr fontId="25" type="noConversion"/>
  </si>
  <si>
    <t>钢混</t>
    <phoneticPr fontId="25" type="noConversion"/>
  </si>
  <si>
    <t>已全部缴纳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</si>
  <si>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</si>
  <si>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</si>
  <si>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</si>
  <si>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</si>
  <si>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</si>
  <si>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</si>
  <si>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</si>
  <si>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</si>
  <si>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</si>
  <si>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</si>
  <si>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</si>
  <si>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</si>
  <si>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</si>
  <si>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</si>
  <si>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</si>
  <si>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</si>
  <si>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</si>
  <si>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</si>
  <si>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</si>
  <si>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</si>
  <si>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</si>
  <si>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</si>
  <si>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</si>
  <si>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</si>
  <si>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</si>
  <si>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</si>
  <si>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</si>
  <si>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</si>
  <si>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</si>
  <si>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</si>
  <si>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</si>
  <si>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</si>
  <si>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</si>
  <si>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</si>
  <si>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</si>
  <si>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</si>
  <si>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</si>
  <si>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</si>
  <si>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</si>
  <si>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</si>
  <si>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</si>
  <si>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</si>
  <si>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</si>
  <si>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</si>
  <si>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</si>
  <si>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白云区钟落潭镇五龙岗村健康城融资地块</t>
  </si>
  <si>
    <t>广州市</t>
  </si>
  <si>
    <t>住宅用地</t>
  </si>
  <si>
    <t>白云区</t>
  </si>
  <si>
    <t>挂牌</t>
  </si>
  <si>
    <t>AB0808011地块、AB0808022地块:二类居住用地(R2)</t>
  </si>
  <si>
    <t>ab0808011地块≤3.0、ab0808022地块≤2.5</t>
  </si>
  <si>
    <t>≤25%</t>
  </si>
  <si>
    <t>限地价,竞自持,竞配建,摇号/摇珠/抽签,含保障房用地</t>
  </si>
  <si>
    <t>限地价,含保障房用地</t>
  </si>
  <si>
    <t>未开工</t>
  </si>
  <si>
    <t>2019-05-28</t>
  </si>
  <si>
    <t>2019-06-18</t>
  </si>
  <si>
    <t>2019-06-27</t>
  </si>
  <si>
    <t>穗规划资源挂出告字〔2019〕15号</t>
  </si>
  <si>
    <t>已成交</t>
  </si>
  <si>
    <t>广东保利房地产开发有限公司</t>
  </si>
  <si>
    <t>4星</t>
  </si>
  <si>
    <t>白云空港AB0611048、AB0611049、AB0611050、AB0611051地块</t>
  </si>
  <si>
    <t>白云区人和镇方石村江人三路以南</t>
  </si>
  <si>
    <t>AB0611048、AB0611049、AB0611050、AB0611051</t>
  </si>
  <si>
    <t>二类居住用地(R2)</t>
  </si>
  <si>
    <t>ab0611048、ab0611049、ab0611050地块≤4.0;ab0611051地块≤3.5</t>
  </si>
  <si>
    <t>≤30%</t>
  </si>
  <si>
    <t>限地价,竞自持,摇号/摇珠/抽签</t>
  </si>
  <si>
    <t>限地价,竞自持</t>
  </si>
  <si>
    <t>2019-05-15</t>
  </si>
  <si>
    <t>2019-06-04</t>
  </si>
  <si>
    <t>2019-06-14</t>
  </si>
  <si>
    <t>穗空港国土出告字〔2019〕3号</t>
  </si>
  <si>
    <t>广州市瑞业房地产开发有限公司</t>
  </si>
  <si>
    <t>白云空港AB0611052、AB0611053、AB0611054、AB0611055、AB0611056地块</t>
  </si>
  <si>
    <t>AB0611052、AB0611053、AB0611054、AB0611055、AB0611056</t>
  </si>
  <si>
    <t>≤2.0</t>
  </si>
  <si>
    <t>穗空港国土出告字〔2019〕4号</t>
  </si>
  <si>
    <t>广州市嘉恒房地产有限公司</t>
  </si>
  <si>
    <t>3星</t>
  </si>
  <si>
    <t>白云区黄石西路第三煤矿有限公司地块</t>
  </si>
  <si>
    <t>≤4.3</t>
  </si>
  <si>
    <t>≤28%</t>
  </si>
  <si>
    <t>≤80</t>
  </si>
  <si>
    <t>限地价</t>
  </si>
  <si>
    <t>2019-04-12</t>
  </si>
  <si>
    <t>2019-05-07</t>
  </si>
  <si>
    <t>2019-05-16</t>
  </si>
  <si>
    <t>穗规划资源挂出告字〔2019〕6号</t>
  </si>
  <si>
    <t>广州市君堂房地产有限公司</t>
  </si>
  <si>
    <t>5星</t>
  </si>
  <si>
    <t>荔湾区AF040225-B地块</t>
  </si>
  <si>
    <t>荔湾区</t>
  </si>
  <si>
    <t>芳村大道南以西,鹤洞路以南</t>
  </si>
  <si>
    <t>AF040225-B</t>
  </si>
  <si>
    <t>≤4.551</t>
  </si>
  <si>
    <t>≤100</t>
  </si>
  <si>
    <t>2019-02-28</t>
  </si>
  <si>
    <t>2019-03-20</t>
  </si>
  <si>
    <t>2019-04-01</t>
  </si>
  <si>
    <t>穗规划资源挂出告字〔2019〕1号</t>
  </si>
  <si>
    <t>广州广奥房地产发展有限公司</t>
  </si>
  <si>
    <t>白云区棠景街三元里大道地块</t>
  </si>
  <si>
    <t>综合用地(含住宅)</t>
  </si>
  <si>
    <t>二类居住用(R2)、商住混合用地(R2/B1/B2)</t>
  </si>
  <si>
    <t>ab2809063地块:≤6.041ab2809064地块:≤7.127ab2809067地块:≤5ab2809069地块:≤5.7ab2809070地块:≤5.8</t>
  </si>
  <si>
    <t>AB2809063地块:≤28%AB2809064地块:≤50%AB2809067地块:≤28%AB2809069地块:≤50%AB2809070地块:≤50%</t>
  </si>
  <si>
    <t>限地价,竞自持,摇号/摇珠/抽签,含保障房用地</t>
  </si>
  <si>
    <t>2018-11-13</t>
  </si>
  <si>
    <t>2018-12-04</t>
  </si>
  <si>
    <t>2018-12-13</t>
  </si>
  <si>
    <t>穗国土规划挂出告字〔2018〕47号</t>
  </si>
  <si>
    <t>居住用地70年;商业用地40年;综合或者其他用地50年</t>
  </si>
  <si>
    <t>白云区江高镇江府路以北、广花路以西AB0405037、AB0405038、AB0405039、AB0405040地块</t>
  </si>
  <si>
    <t>江高镇江府路以北、广花路以西</t>
  </si>
  <si>
    <t>AB0405037、AB0405038、AB0405039、AB0405040</t>
  </si>
  <si>
    <t>≤2.8</t>
  </si>
  <si>
    <t>2018-11-09</t>
  </si>
  <si>
    <t>2018-11-29</t>
  </si>
  <si>
    <t>2018-12-10</t>
  </si>
  <si>
    <t>穗国土规划挂出告字〔2018〕46号</t>
  </si>
  <si>
    <t>中铁置业集团有限公司</t>
  </si>
  <si>
    <t>白云区白云湖车辆段地块</t>
  </si>
  <si>
    <t>华南快速路以南、广清高速路以东</t>
  </si>
  <si>
    <t>AB2404013</t>
  </si>
  <si>
    <t>交通站场用地兼容居住、商业、商务、教育用地(S4/R2/B1/B2/A3)</t>
  </si>
  <si>
    <t>≤2.34</t>
  </si>
  <si>
    <t>住宅≤28%;商业、商务≤40%</t>
  </si>
  <si>
    <t>限地价,竞自持,摇号/摇珠/抽签,含租赁用地</t>
  </si>
  <si>
    <t>限地价,含租赁用地</t>
  </si>
  <si>
    <t>2018-11-07</t>
  </si>
  <si>
    <t>2018-11-27</t>
  </si>
  <si>
    <t>2018-12-06</t>
  </si>
  <si>
    <t>穗国土规划挂出告字〔2018〕35号</t>
  </si>
  <si>
    <t>广州地铁集团有限公司</t>
  </si>
  <si>
    <t>居住用地70年;综合或者其他用地50年;商业、旅游、娱乐用地40年</t>
  </si>
  <si>
    <t>荔湾区西湾路156号地块</t>
  </si>
  <si>
    <t>≤5.5</t>
  </si>
  <si>
    <t>≤35.9%</t>
  </si>
  <si>
    <t>≤79</t>
  </si>
  <si>
    <t>定向安置房,</t>
  </si>
  <si>
    <t>穗国土规划挂出告字〔2018〕45号</t>
  </si>
  <si>
    <t>广州市住宅建设发展有限公司</t>
  </si>
  <si>
    <t>白云区钟落潭镇良田村AB0809019地块</t>
  </si>
  <si>
    <t>白云区钟落潭镇良田村</t>
  </si>
  <si>
    <t>AB0809019</t>
  </si>
  <si>
    <t>≤2.5</t>
  </si>
  <si>
    <t>开工中</t>
  </si>
  <si>
    <t>2018-09-07</t>
  </si>
  <si>
    <t>2018-09-27</t>
  </si>
  <si>
    <t>2018-10-10</t>
  </si>
  <si>
    <t>穗空港国土出告字〔2018〕5号</t>
  </si>
  <si>
    <t>广州空港综保区投资运营有限公司</t>
  </si>
  <si>
    <t>白云区嘉禾街新科村琴星小学地块</t>
  </si>
  <si>
    <t>嘉禾街新科村琴星小学地块</t>
  </si>
  <si>
    <t>2018-07-24</t>
  </si>
  <si>
    <t>2018-08-14</t>
  </si>
  <si>
    <t>2018-08-24</t>
  </si>
  <si>
    <t>穗国土规划挂出告字〔2018〕20号</t>
  </si>
  <si>
    <t>深圳市润投咨询有限公司(华润)</t>
  </si>
  <si>
    <t>白云区石井镇石潭路444号地块</t>
  </si>
  <si>
    <t>≤3.66</t>
  </si>
  <si>
    <t>≤40%</t>
  </si>
  <si>
    <t>2017-11-28</t>
  </si>
  <si>
    <t>2017-12-19</t>
  </si>
  <si>
    <t>2017-12-28</t>
  </si>
  <si>
    <t>穗国土规划挂出告字〔2017〕98号</t>
  </si>
  <si>
    <t>厦门益悦置业有限公司</t>
  </si>
  <si>
    <t>白云区蔬菜研究所地块</t>
  </si>
  <si>
    <t>白云区广花一路以东</t>
  </si>
  <si>
    <t>≤3.0</t>
  </si>
  <si>
    <t>2017-11-03</t>
  </si>
  <si>
    <t>2017-11-23</t>
  </si>
  <si>
    <t>2017-12-04</t>
  </si>
  <si>
    <t>穗国土规划挂出告字〔2017〕95号</t>
  </si>
  <si>
    <t>桐乡市安豪投资管理有限公司</t>
  </si>
  <si>
    <t>海珠区昌岗中路100号橡胶新村东部地块</t>
  </si>
  <si>
    <t>海珠区</t>
  </si>
  <si>
    <t>二类居住用地兼容商业金融业用地(R2/C2)</t>
  </si>
  <si>
    <t>≤8.38</t>
  </si>
  <si>
    <t>≤37.2%</t>
  </si>
  <si>
    <t>2017-06-27</t>
  </si>
  <si>
    <t>2017-07-18</t>
  </si>
  <si>
    <t>2017-07-28</t>
  </si>
  <si>
    <t>穗国土规划挂出告字〔2017〕58号</t>
  </si>
  <si>
    <t>广州天晨房地产开发有限公司(珠江实业)</t>
  </si>
  <si>
    <t>居住份额用地70年,商业、旅游、娱乐份额用地40年,其他份额用地50年。</t>
  </si>
  <si>
    <t>白云区黄石西路鱼苗场AB2510019地块</t>
  </si>
  <si>
    <t>AB2510019</t>
  </si>
  <si>
    <t>限地价,竞自持,竞配建,含保障房用地</t>
  </si>
  <si>
    <t>2017-03-24</t>
  </si>
  <si>
    <t>2017-04-14</t>
  </si>
  <si>
    <t>2017-04-28</t>
  </si>
  <si>
    <t>穗国土规划挂出告字〔2017〕11号</t>
  </si>
  <si>
    <t>万科</t>
  </si>
  <si>
    <t>70年</t>
  </si>
  <si>
    <t>海珠区石岗路AH051028地块</t>
  </si>
  <si>
    <t>≤4.0</t>
  </si>
  <si>
    <t>整体控制100米,其中滨江一线控制60米</t>
  </si>
  <si>
    <t>限地价,竞配建,含保障房用地</t>
  </si>
  <si>
    <t>2017-02-21</t>
  </si>
  <si>
    <t>2017-03-14</t>
  </si>
  <si>
    <t>2017-03-29</t>
  </si>
  <si>
    <t>穗国土规划挂出告字〔2017〕7*号</t>
  </si>
  <si>
    <t>时代地产</t>
  </si>
  <si>
    <t>白云区新市街棠涌南路AB2805038地块</t>
  </si>
  <si>
    <t>≤3.5</t>
  </si>
  <si>
    <t>100米</t>
  </si>
  <si>
    <t>穗国土规划挂出告字〔2017〕10*号</t>
  </si>
  <si>
    <t>金地</t>
  </si>
  <si>
    <t>荔湾区芳村大道南以西,鹤洞路以南AF040218地块</t>
  </si>
  <si>
    <t>≤4.8</t>
  </si>
  <si>
    <t>120米</t>
  </si>
  <si>
    <t>2016-11-25</t>
  </si>
  <si>
    <t>2016-12-15</t>
  </si>
  <si>
    <t>2017-01-13</t>
  </si>
  <si>
    <t>穗国土规划挂出告字〔2016〕32号</t>
  </si>
  <si>
    <t>杭州臻毅投资有限公司</t>
  </si>
  <si>
    <t>居住用地70年</t>
  </si>
  <si>
    <t>白云区太和镇北太路与草塘路交界处西北方向AB1207032地块</t>
  </si>
  <si>
    <t>AB1207032</t>
  </si>
  <si>
    <t>≤28</t>
  </si>
  <si>
    <t>2016-10-26</t>
  </si>
  <si>
    <t>2016-11-15</t>
  </si>
  <si>
    <t>穗国土规划挂出告字〔2016〕19号</t>
  </si>
  <si>
    <t>广州市南瑞置业有限公司</t>
  </si>
  <si>
    <t>荔湾区芳村大道南以西,鹤洞路以南AF040224地块</t>
  </si>
  <si>
    <t>AF040224</t>
  </si>
  <si>
    <t>≤3.9</t>
  </si>
  <si>
    <t>≤40</t>
  </si>
  <si>
    <t>穗国土规划挂出告字〔2016〕17号</t>
  </si>
  <si>
    <t>广州市保越房地产开发有限公司</t>
  </si>
  <si>
    <t>海珠区江燕路AH050406、AH050408地块</t>
  </si>
  <si>
    <t>AH050406、AH050408</t>
  </si>
  <si>
    <t>AH050406地块:二类居住用地(R2)、AH050408地块:商业用地(B1)兼容商务用地(B2)</t>
  </si>
  <si>
    <t>居住≤2.5、商业兼容商务≤5</t>
  </si>
  <si>
    <t>2016-10-20</t>
  </si>
  <si>
    <t>2016-11-11</t>
  </si>
  <si>
    <t>2016-11-22</t>
  </si>
  <si>
    <t>穗国土规划挂出告字〔2016〕9号</t>
  </si>
  <si>
    <t>中冶置业集团有限公司</t>
  </si>
  <si>
    <t>居住用地70年;商业、旅游、娱乐用地40年;综合或者其他用地50年</t>
  </si>
  <si>
    <t>荔湾区芳村大道南以西,鹤洞路以南AF040219地块</t>
  </si>
  <si>
    <t>AF040219</t>
  </si>
  <si>
    <t>穗国土规划挂出告字〔2016〕11号</t>
  </si>
  <si>
    <t>荔湾区芳村大道南以西、鹤洞路以南AF040206地块</t>
  </si>
  <si>
    <t>AF040206</t>
  </si>
  <si>
    <t>商住用地(R2/B1/B2)</t>
  </si>
  <si>
    <t>≤6.0</t>
  </si>
  <si>
    <t>穗国土规划挂出告字〔2016〕10号</t>
  </si>
  <si>
    <t>白云区白云新城AB2804012地块</t>
  </si>
  <si>
    <t>AB2804012</t>
  </si>
  <si>
    <t>穗国土规划挂出告字〔2016〕8号</t>
  </si>
  <si>
    <t>广州市龙梁房地产有限公司,北京首都开发股份有限公司</t>
  </si>
  <si>
    <t>荔湾区岭海街12号AF010734地块</t>
  </si>
  <si>
    <t>AF010734</t>
  </si>
  <si>
    <t>≤4.07</t>
  </si>
  <si>
    <t>2016-07-15</t>
  </si>
  <si>
    <t>2016-07-16</t>
  </si>
  <si>
    <t>2016-08-16</t>
  </si>
  <si>
    <t>穗国房挂出告字〔2016〕12号</t>
  </si>
  <si>
    <t>广州番禺雅居乐房地产开发有限公司</t>
  </si>
  <si>
    <t>荔湾区百花路111号百花香料厂地块</t>
  </si>
  <si>
    <t>AF020427、AF020426</t>
  </si>
  <si>
    <t>小于或等于4.5</t>
  </si>
  <si>
    <t>小于或等于26</t>
  </si>
  <si>
    <t>小于等于100</t>
  </si>
  <si>
    <t>2015-10-28</t>
  </si>
  <si>
    <t>2015-11-19</t>
  </si>
  <si>
    <t>2015-11-30</t>
  </si>
  <si>
    <t>穗国房挂出告字[2015]48号</t>
  </si>
  <si>
    <t>广州市埔域房地产开发有限公司(广东保利)</t>
  </si>
  <si>
    <t>荔湾区芳村大道南以西、鹤洞路以南AF040408、AF040409地块</t>
  </si>
  <si>
    <t>AF040408、AF040409</t>
  </si>
  <si>
    <t>二类居住用地(R2)、商业用地(B1)</t>
  </si>
  <si>
    <t>af040408地块为≤4.8,af040409地块为≤2.5</t>
  </si>
  <si>
    <t>AF040408地块为≤28,AF040409地块为≤40</t>
  </si>
  <si>
    <t>AF040408地块为≤120,AF040409地块为≤40</t>
  </si>
  <si>
    <t>穗国房挂出告字[2015]50号</t>
  </si>
  <si>
    <t>荔湾区芳村大道南以西、鹤洞路以南AF040233地块</t>
  </si>
  <si>
    <t>AF040233</t>
  </si>
  <si>
    <t>小于或等于3.9</t>
  </si>
  <si>
    <t>小于或等于40</t>
  </si>
  <si>
    <t>小于等于80</t>
  </si>
  <si>
    <t>穗国房挂出告字[2015]49号</t>
  </si>
  <si>
    <t>广东葛洲坝地产开发有限公司</t>
  </si>
  <si>
    <t>白云区棠槎路穗花水泥厂AB2805033地块</t>
  </si>
  <si>
    <t>AB2805033</t>
  </si>
  <si>
    <t>小于或等于4.1(含地下)</t>
  </si>
  <si>
    <t>小于或等于28</t>
  </si>
  <si>
    <t>小于或等于100</t>
  </si>
  <si>
    <t>2015-09-03</t>
  </si>
  <si>
    <t>2015-09-23</t>
  </si>
  <si>
    <t>2015-10-09</t>
  </si>
  <si>
    <t>穗国房挂出告字[2015]37号</t>
  </si>
  <si>
    <t>广州宏景房地产开发有限公司、广州市广剑实业投资合伙企业(有限合伙)(越秀地产)</t>
  </si>
  <si>
    <t>白云区棠槎路穗花水泥厂AB2805024地块</t>
  </si>
  <si>
    <t>AB2805024</t>
  </si>
  <si>
    <t>穗国房挂出告字[2015]35号</t>
  </si>
  <si>
    <t>广州宏景房地产开发有限公司、广州市百正实业投资合伙企业(有限合伙)(越秀地产)</t>
  </si>
  <si>
    <t>白云区棠槎路穗花水泥厂AB2805029地块</t>
  </si>
  <si>
    <t>AB2805029</t>
  </si>
  <si>
    <t>穗国房挂出告字[2015]36号</t>
  </si>
  <si>
    <t>华润置地一二三四(深圳)商业运营管理有限公司</t>
  </si>
  <si>
    <t>海珠区石岗路分地块二AH051025地块</t>
  </si>
  <si>
    <t>AH051025</t>
  </si>
  <si>
    <t>小于或等于5.5(含地下)</t>
  </si>
  <si>
    <t>2015-08-21</t>
  </si>
  <si>
    <t>2015-09-12</t>
  </si>
  <si>
    <t>穗国房挂出告字[2015]34号</t>
  </si>
  <si>
    <t>金融街广州置业有限公司</t>
  </si>
  <si>
    <t>海珠区石岗路分地块一AH050906地块</t>
  </si>
  <si>
    <t>AH050906</t>
  </si>
  <si>
    <t>二类居住用地兼容公共交通站场用地(R2/S41)</t>
  </si>
  <si>
    <t>穗国房挂出告字[2015]33号</t>
  </si>
  <si>
    <t>海珠区广纸片区地块一AH050107地块</t>
  </si>
  <si>
    <t>AH050107</t>
  </si>
  <si>
    <t>商住混合用地(R2/B1)</t>
  </si>
  <si>
    <t>大于1并且小于或等于7.4</t>
  </si>
  <si>
    <t>2015-05-27</t>
  </si>
  <si>
    <t>2015-06-17</t>
  </si>
  <si>
    <t>2015-06-26</t>
  </si>
  <si>
    <t>穗国房挂出告字[2015]16号</t>
  </si>
  <si>
    <t>广州市晖邦置业有限公司(绿地集团)</t>
  </si>
  <si>
    <t>住宅70年、商业40年</t>
  </si>
  <si>
    <t>海珠区广纸片区地块二AH050108、AH050114、AH050201、AH050203、AH050204、AH050316、AH050323地块</t>
  </si>
  <si>
    <t>商住混合用地(R2/B1)、商业商务用地(B1/B2)</t>
  </si>
  <si>
    <t>大于或等于1并且小于或等于7.5</t>
  </si>
  <si>
    <t>穗国房挂出告字[2015]17号</t>
  </si>
  <si>
    <t>广州盈胜投资有限公司,广州越秀仁达六号实业投资合伙公司(越秀地产)</t>
  </si>
  <si>
    <t>住宅70年、商服40年</t>
  </si>
  <si>
    <t>白云区华南快速路红云涂料化工厂AB3103004、AB3103067、AB3103083、AB3103085地块</t>
  </si>
  <si>
    <t>二类居住用地(R2)、中小学用地(A33)、公园绿地(G1)、防护绿地(G2)</t>
  </si>
  <si>
    <t>居住≤3.5</t>
  </si>
  <si>
    <t>2014-10-25</t>
  </si>
  <si>
    <t>2014-11-14</t>
  </si>
  <si>
    <t>2014-11-24</t>
  </si>
  <si>
    <t>穗国房挂出告字〔2014〕38号</t>
  </si>
  <si>
    <t>栢盈国际集团有限公司(越秀地产)</t>
  </si>
  <si>
    <t>荔湾区芳村大道南以西,鹤洞路以南AF040137、AF040138地块</t>
  </si>
  <si>
    <t>居住用地≤3.9、商业用地≤2.5</t>
  </si>
  <si>
    <t>2014-08-29</t>
  </si>
  <si>
    <t>2014-09-19</t>
  </si>
  <si>
    <t>2014-09-29</t>
  </si>
  <si>
    <t>穗国房挂出告字[2014]16号</t>
  </si>
  <si>
    <t>中国海外兴业有限公司</t>
  </si>
  <si>
    <t>70年、40年</t>
  </si>
  <si>
    <t>荔湾区芳村大道南以西,鹤洞路以南AF040131地块</t>
  </si>
  <si>
    <t>大于1并且小于或等于3.9</t>
  </si>
  <si>
    <t>穗国房挂出告字[2014]15号</t>
  </si>
  <si>
    <t>深圳市振业房地产开发有限公司</t>
  </si>
  <si>
    <t>荔湾区芳村大道南以西,鹤洞路以南AF040125地块</t>
  </si>
  <si>
    <t>大于1并且小于或等于4.8</t>
  </si>
  <si>
    <t>穗国房挂出告字[2014]13号</t>
  </si>
  <si>
    <t>金融街广州置业有限公司、广州方荣房地产有限公司</t>
  </si>
  <si>
    <t>荔湾区芳村大道南以西,鹤洞路以南AF040129、AF040130地块</t>
  </si>
  <si>
    <t>二类居住用地(R2)、中小学用地(A33)</t>
  </si>
  <si>
    <t>居住用地≤3.9、中小学用地≤0.8</t>
  </si>
  <si>
    <t>穗国房挂出告字[2014]14号</t>
  </si>
  <si>
    <t>北大资源集团地产有限公司、佛山市笃元投资管理咨询有限公司</t>
  </si>
  <si>
    <t>70年、50年</t>
  </si>
  <si>
    <t>荔湾区芳村大道南以西,鹤洞路以南AF040140地块</t>
  </si>
  <si>
    <t>穗国房挂出告字[2014]17号</t>
  </si>
  <si>
    <t>广州市海合房地产开发有限公司、恒利(香港)置业有限公司</t>
  </si>
  <si>
    <t>荔湾区芳村大道南以西,鹤洞路以南AF040122地块</t>
  </si>
  <si>
    <t>穗国房挂出告字[2014]12号</t>
  </si>
  <si>
    <t>荔湾区芳村大道南以西鹤洞路以南AF040405地块</t>
  </si>
  <si>
    <t>拍卖</t>
  </si>
  <si>
    <t>二类居住用地</t>
  </si>
  <si>
    <t>2014-01-13</t>
  </si>
  <si>
    <t>2014-02-12</t>
  </si>
  <si>
    <t>2014-02-21</t>
  </si>
  <si>
    <t>穗国房挂出告字〔2014〕3号</t>
  </si>
  <si>
    <t>金融街控股股份有限公司</t>
  </si>
  <si>
    <t>荔湾区芳村大道南以西鹤洞路以南AF040416、AF040415地块</t>
  </si>
  <si>
    <t>商住综合用地、防护绿地</t>
  </si>
  <si>
    <t>≤7.5</t>
  </si>
  <si>
    <t>200米</t>
  </si>
  <si>
    <t>穗国房挂出告字〔2014〕4号</t>
  </si>
  <si>
    <t>居住份额用地70年,商业、旅游、娱乐份额用地40年,其他份额用地50年</t>
  </si>
  <si>
    <t>荔湾区芳村大道南以西鹤洞路以南AF040417、AF040418、AF040419地块</t>
  </si>
  <si>
    <t>二类居住用地、中小学用地、公共绿地</t>
  </si>
  <si>
    <t>居住≤4.8;中小学≤0.8</t>
  </si>
  <si>
    <t>穗国房挂出告字〔2014〕5号</t>
  </si>
  <si>
    <t>广州华枫投资有限公司(珠海华发)</t>
  </si>
  <si>
    <t>荔湾区芳村大道南以西鹤洞路以南AF040404地块</t>
  </si>
  <si>
    <t>商住综合用地</t>
  </si>
  <si>
    <t>≤7</t>
  </si>
  <si>
    <t>150米</t>
  </si>
  <si>
    <t>穗国房挂出告字〔2014]2号</t>
  </si>
  <si>
    <t>荔湾区芳村大道南以西鹤洞路以南AF040403、AF040402地块</t>
  </si>
  <si>
    <t>180米</t>
  </si>
  <si>
    <t>穗国房挂出告字〔2014〕1号</t>
  </si>
  <si>
    <t>荔湾区秀水涌以北、郭村路以南、芳信路以西地块</t>
  </si>
  <si>
    <t>二类居住用地、商业金融业用地</t>
  </si>
  <si>
    <t>≤2.5-2.9</t>
  </si>
  <si>
    <t>≤26%</t>
  </si>
  <si>
    <t>2013-12-28</t>
  </si>
  <si>
    <t>2014-01-17</t>
  </si>
  <si>
    <t>2014-01-28</t>
  </si>
  <si>
    <t>穗国房挂出告字〔2013〕50、51号</t>
  </si>
  <si>
    <t>广州华昊房地产开发有限公司(珠海华发)</t>
  </si>
  <si>
    <t>海珠区宝岗大道AH010834地块</t>
  </si>
  <si>
    <t>≤3.2</t>
  </si>
  <si>
    <t>穗国房挂出告字〔2013〕52号</t>
  </si>
  <si>
    <t>广州华晟房地产开发有限公司(珠海华发)</t>
  </si>
  <si>
    <t>海珠区海印大桥东侧中华文化学院落西侧地块</t>
  </si>
  <si>
    <t>其他普通商品住房用地</t>
  </si>
  <si>
    <t>大于或等于1并且小于或等于3</t>
  </si>
  <si>
    <t>2013-06-18</t>
  </si>
  <si>
    <t>2013-07-10</t>
  </si>
  <si>
    <t>2013-07-19</t>
  </si>
  <si>
    <t>穗国房挂出告字[2013]29号</t>
  </si>
  <si>
    <t>东建实业集团有限公司</t>
  </si>
  <si>
    <t>住宅</t>
    <phoneticPr fontId="31" type="noConversion"/>
  </si>
  <si>
    <t>规则</t>
    <phoneticPr fontId="31" type="noConversion"/>
  </si>
  <si>
    <t>较规则</t>
  </si>
  <si>
    <t>较规则</t>
    <phoneticPr fontId="31" type="noConversion"/>
  </si>
  <si>
    <t>不规则</t>
    <phoneticPr fontId="31" type="noConversion"/>
  </si>
  <si>
    <t>较不规则</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</si>
  <si>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</si>
  <si>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</si>
  <si>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</si>
  <si>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</si>
  <si>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</si>
  <si>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</si>
  <si>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</si>
  <si>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</si>
  <si>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</si>
  <si>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星汇海珠湾</t>
    <phoneticPr fontId="3" type="noConversion"/>
  </si>
  <si>
    <t>成本比率</t>
  </si>
  <si>
    <t>情况3</t>
  </si>
  <si>
    <t>仅含出让金</t>
  </si>
  <si>
    <t>出让金</t>
    <phoneticPr fontId="8" type="noConversion"/>
  </si>
  <si>
    <t>开发费</t>
    <phoneticPr fontId="8" type="noConversion"/>
  </si>
  <si>
    <t>总建筑面积</t>
    <phoneticPr fontId="8" type="noConversion"/>
  </si>
  <si>
    <t>估价对象面积</t>
    <phoneticPr fontId="8" type="noConversion"/>
  </si>
  <si>
    <t>总金额</t>
    <phoneticPr fontId="8" type="noConversion"/>
  </si>
  <si>
    <t>总价</t>
  </si>
  <si>
    <t>单价</t>
  </si>
  <si>
    <t>评估总值</t>
    <phoneticPr fontId="143" type="noConversion"/>
  </si>
  <si>
    <t>1.开发完成后房地产价值</t>
  </si>
  <si>
    <t>序号</t>
  </si>
  <si>
    <t>项目名称</t>
  </si>
  <si>
    <t>（1）</t>
  </si>
  <si>
    <t>楼面单价</t>
  </si>
  <si>
    <t>（2）</t>
  </si>
  <si>
    <t>建筑面积</t>
  </si>
  <si>
    <t>（3）</t>
  </si>
  <si>
    <t>总额</t>
  </si>
  <si>
    <t>评估值</t>
    <phoneticPr fontId="143" type="noConversion"/>
  </si>
  <si>
    <t>楼层系数</t>
    <phoneticPr fontId="143" type="noConversion"/>
  </si>
  <si>
    <t>面积系数</t>
    <phoneticPr fontId="143" type="noConversion"/>
  </si>
  <si>
    <t>系数合计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</si>
</sst>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Red]\(0.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0" fillId="0" borderId="0" xfId="0" applyNumberFormat="1" applyAlignment="1"/>
    <xf numFmtId="0" fontId="0" fillId="0" borderId="0" xfId="0" applyNumberFormat="1" applyFill="1" applyAlignment="1"/>
    <xf numFmtId="0" fontId="99" fillId="0" borderId="0" xfId="0" applyFont="1">
      <alignment vertical="center"/>
    </xf>
    <xf numFmtId="0" fontId="0" fillId="0" borderId="0" xfId="0" applyNumberFormat="1" applyFont="1" applyAlignment="1"/>
    <xf numFmtId="0" fontId="0" fillId="0" borderId="0" xfId="0" applyNumberFormat="1" applyFont="1" applyFill="1" applyAlignment="1"/>
    <xf numFmtId="0" fontId="99" fillId="0" borderId="0" xfId="0" applyNumberFormat="1" applyFont="1" applyFill="1" applyAlignment="1"/>
    <xf numFmtId="0" fontId="99" fillId="0" borderId="0" xfId="0" applyNumberFormat="1" applyFont="1" applyAlignment="1"/>
    <xf numFmtId="58" fontId="99" fillId="0" borderId="0" xfId="0" applyNumberFormat="1" applyFont="1" applyFill="1" applyAlignment="1"/>
    <xf numFmtId="0" fontId="101" fillId="0" borderId="0" xfId="0" applyNumberFormat="1" applyFont="1" applyAlignment="1"/>
    <xf numFmtId="0" fontId="101" fillId="0" borderId="0" xfId="0" applyNumberFormat="1" applyFont="1" applyFill="1" applyAlignment="1"/>
    <xf numFmtId="0" fontId="101" fillId="0" borderId="0" xfId="0"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97" fontId="50" fillId="0" borderId="1" xfId="0" applyNumberFormat="1" applyFont="1" applyBorder="1" applyAlignment="1" applyProtection="1">
      <alignment vertical="center" wrapText="1"/>
      <protection locked="0"/>
    </xf>
    <xf numFmtId="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47" fillId="2" borderId="5" xfId="1" applyNumberFormat="1" applyFont="1" applyFill="1" applyBorder="1" applyAlignment="1" applyProtection="1">
      <alignment vertical="center"/>
      <protection locked="0"/>
    </xf>
    <xf numFmtId="9" fontId="47" fillId="0" borderId="24" xfId="0" applyNumberFormat="1" applyFont="1" applyBorder="1" applyAlignment="1" applyProtection="1">
      <alignment vertical="center"/>
      <protection locked="0"/>
    </xf>
    <xf numFmtId="0" fontId="122" fillId="6" borderId="0" xfId="0" applyFont="1" applyFill="1" applyAlignment="1" applyProtection="1">
      <alignment horizontal="left" vertical="center"/>
      <protection locked="0"/>
    </xf>
    <xf numFmtId="0" fontId="50" fillId="0" borderId="24" xfId="0" applyNumberFormat="1"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54" fillId="0" borderId="0" xfId="0" applyNumberFormat="1" applyFont="1" applyAlignment="1"/>
    <xf numFmtId="0" fontId="122" fillId="7" borderId="0" xfId="0" applyFont="1" applyFill="1" applyProtection="1">
      <alignment vertical="center"/>
      <protection locked="0"/>
    </xf>
    <xf numFmtId="0" fontId="254" fillId="0" borderId="0" xfId="0" applyNumberFormat="1" applyFont="1" applyFill="1" applyAlignment="1"/>
    <xf numFmtId="0" fontId="254"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225"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30480</xdr:rowOff>
    </xdr:from>
    <xdr:to>
      <xdr:col>15</xdr:col>
      <xdr:colOff>351238</xdr:colOff>
      <xdr:row>81</xdr:row>
      <xdr:rowOff>54625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906000"/>
          <a:ext cx="9495238" cy="4961905"/>
        </a:xfrm>
        <a:prstGeom prst="rect">
          <a:avLst/>
        </a:prstGeom>
      </xdr:spPr>
    </xdr:pic>
    <xdr:clientData/>
  </xdr:twoCellAnchor>
  <xdr:twoCellAnchor editAs="oneCell">
    <xdr:from>
      <xdr:col>17</xdr:col>
      <xdr:colOff>304800</xdr:colOff>
      <xdr:row>51</xdr:row>
      <xdr:rowOff>60960</xdr:rowOff>
    </xdr:from>
    <xdr:to>
      <xdr:col>27</xdr:col>
      <xdr:colOff>78188</xdr:colOff>
      <xdr:row>85</xdr:row>
      <xdr:rowOff>45782</xdr:rowOff>
    </xdr:to>
    <xdr:pic>
      <xdr:nvPicPr>
        <xdr:cNvPr id="4" name="图片 3"/>
        <xdr:cNvPicPr>
          <a:picLocks noChangeAspect="1"/>
        </xdr:cNvPicPr>
      </xdr:nvPicPr>
      <xdr:blipFill>
        <a:blip xmlns:r="http://schemas.openxmlformats.org/officeDocument/2006/relationships" r:embed="rId2"/>
        <a:stretch>
          <a:fillRect/>
        </a:stretch>
      </xdr:blipFill>
      <xdr:spPr>
        <a:xfrm>
          <a:off x="10668000" y="9387840"/>
          <a:ext cx="5869388" cy="620274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广东省广州市海珠区工业大道南北侧石溪村地段第三金碧花园自编68-70栋住宅楼项目出让国有建设用地使用权及在建建筑物房地产抵押价值预评估</v>
      </c>
    </row>
    <row r="3" spans="1:2" s="1592" customFormat="1">
      <c r="A3" s="1590" t="s">
        <v>1217</v>
      </c>
      <c r="B3" s="1591">
        <f>'预评函-封皮'!B40</f>
        <v>0</v>
      </c>
    </row>
    <row r="4" spans="1:2" s="1592" customFormat="1">
      <c r="A4" s="1590" t="s">
        <v>1218</v>
      </c>
      <c r="B4" s="1591" t="str">
        <f ca="1">'预评函-封皮'!B46</f>
        <v>吴薇（注册号：1419970001)、郑燚（注册号：1120070131)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受贵公司委托，我公司对广东省广州市海珠区工业大道南北侧石溪村地段第三金碧花园自编68-70栋住宅楼项目出让国有建设用地使用权及在建建筑物房地产抵押价值进行了预评估。</v>
      </c>
    </row>
    <row r="7" spans="1:2" s="1592" customFormat="1">
      <c r="A7" s="1590" t="s">
        <v>1260</v>
      </c>
      <c r="B7" s="1591" t="str">
        <f>'预评函-1'!A7</f>
        <v>估价对象为广东省广州市海珠区工业大道南北侧石溪村地段第三金碧花园自编68-70栋住宅楼项目出让国有建设用地使用权及在建建筑物房地产，为所有。根据《国有土地使用证》[]，估价对象（分摊）出让国有建设用地使用权面积为19349.7平方米，建筑面积为41667.3539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广东省广州市海珠区工业大道南北侧石溪村地段第三金碧花园自编68-70栋住宅楼项目出让国有建设用地使用权及在建建筑物房地产,属开发建设的居住项目，该项目尚在开发建设中。根据《国有土地使用证》[]，估价对象（分摊）出让国有建设用地使用权面积为19349.7平方米，规划建筑面积为41667.3539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广东省广州市海珠区工业大道南北侧石溪村地段第三金碧花园自编68-70栋住宅楼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2019年9月4日（评估专业人员实地查勘之日）</v>
      </c>
    </row>
    <row r="13" spans="1:2" s="1592" customFormat="1">
      <c r="A13" s="1590" t="s">
        <v>1223</v>
      </c>
      <c r="B13" s="1591" t="str">
        <f>'预评函-1'!A18</f>
        <v>本次估价的“房地产价值”是指在正常市场情况下，在价值时点2019年9月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208676</v>
      </c>
    </row>
    <row r="21" spans="1:2" s="1592" customFormat="1">
      <c r="A21" s="1590" t="s">
        <v>1231</v>
      </c>
      <c r="B21" s="1591">
        <f ca="1">'预评函-2'!D7</f>
        <v>50081</v>
      </c>
    </row>
    <row r="22" spans="1:2" s="1592" customFormat="1">
      <c r="A22" s="1590" t="s">
        <v>1232</v>
      </c>
      <c r="B22" s="1591" t="str">
        <f ca="1">'预评函-2'!D6</f>
        <v>贰拾亿捌仟陆佰柒拾陆万元整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208676</v>
      </c>
    </row>
    <row r="31" spans="1:2" s="1592" customFormat="1">
      <c r="A31" s="1590" t="s">
        <v>1270</v>
      </c>
      <c r="B31" s="1591">
        <f ca="1">'预评函-2'!D15</f>
        <v>50081</v>
      </c>
    </row>
    <row r="32" spans="1:2" s="1592" customFormat="1">
      <c r="A32" s="1590" t="s">
        <v>1237</v>
      </c>
      <c r="B32" s="1591" t="str">
        <f ca="1">'预评函-2'!D14</f>
        <v>贰拾亿捌仟陆佰柒拾陆万元整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广东省广州市海珠区工业大道南北侧石溪村地段第三金碧花园自编68-70栋住宅楼项目出让国有建设用地使用权及在建建筑物房地产</v>
      </c>
    </row>
    <row r="42" spans="1:2" s="1592" customFormat="1" ht="31.2">
      <c r="A42" s="1590" t="s">
        <v>1284</v>
      </c>
      <c r="B42" s="1591" t="str">
        <f>'预评函-3'!B2</f>
        <v>建筑面积</v>
      </c>
    </row>
    <row r="43" spans="1:2" s="1592" customFormat="1">
      <c r="A43" s="1590" t="s">
        <v>1285</v>
      </c>
      <c r="B43" s="1591">
        <f>'预评函-3'!B4</f>
        <v>41667.353900000002</v>
      </c>
    </row>
    <row r="44" spans="1:2" s="1592" customFormat="1" ht="31.2">
      <c r="A44" s="1590" t="s">
        <v>1269</v>
      </c>
      <c r="B44" s="1591" t="str">
        <f>'预评函-3'!C2</f>
        <v>(分摊)土地面积</v>
      </c>
    </row>
    <row r="45" spans="1:2" s="1592" customFormat="1">
      <c r="A45" s="1590" t="s">
        <v>1241</v>
      </c>
      <c r="B45" s="1591">
        <f>'预评函-3'!C4</f>
        <v>19349.7</v>
      </c>
    </row>
    <row r="46" spans="1:2" s="1592" customFormat="1">
      <c r="A46" s="1590" t="s">
        <v>1267</v>
      </c>
      <c r="B46" s="1591" t="str">
        <f>'预评函-3'!D2</f>
        <v>出让国有建设用地使用权价值</v>
      </c>
    </row>
    <row r="47" spans="1:2" s="1592" customFormat="1">
      <c r="A47" s="1590" t="s">
        <v>1242</v>
      </c>
      <c r="B47" s="1591">
        <f ca="1">'预评函-3'!D4</f>
        <v>196155</v>
      </c>
    </row>
    <row r="48" spans="1:2" s="1592" customFormat="1">
      <c r="A48" s="1590" t="s">
        <v>1243</v>
      </c>
      <c r="B48" s="1591">
        <f ca="1">'预评函-3'!E4</f>
        <v>47076</v>
      </c>
    </row>
    <row r="49" spans="1:2" s="1592" customFormat="1">
      <c r="A49" s="1590" t="s">
        <v>1244</v>
      </c>
      <c r="B49" s="1591" t="str">
        <f ca="1">'预评函-3'!D5</f>
        <v>壹拾玖亿陆仟壹佰伍拾伍万元整</v>
      </c>
    </row>
    <row r="50" spans="1:2" s="1592" customFormat="1">
      <c r="A50" s="1590" t="s">
        <v>1268</v>
      </c>
      <c r="B50" s="1591" t="str">
        <f>'预评函-3'!F2</f>
        <v>在建建筑物价值</v>
      </c>
    </row>
    <row r="51" spans="1:2" s="1592" customFormat="1">
      <c r="A51" s="1590" t="s">
        <v>1245</v>
      </c>
      <c r="B51" s="1591">
        <f ca="1">'预评函-3'!F4</f>
        <v>12521</v>
      </c>
    </row>
    <row r="52" spans="1:2" s="1592" customFormat="1">
      <c r="A52" s="1590" t="s">
        <v>1246</v>
      </c>
      <c r="B52" s="1591">
        <f ca="1">'预评函-3'!G4</f>
        <v>3005</v>
      </c>
    </row>
    <row r="53" spans="1:2" s="1592" customFormat="1">
      <c r="A53" s="1590" t="s">
        <v>1274</v>
      </c>
      <c r="B53" s="1591" t="str">
        <f ca="1">'预评函-3'!F5</f>
        <v>壹亿贰仟伍佰贰拾壹万元整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广州市海珠区工业大道南北侧石溪村地段第三金碧花园自编68-70栋住宅楼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9"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0" t="s">
        <v>861</v>
      </c>
      <c r="C54" s="2017" t="s">
        <v>1277</v>
      </c>
    </row>
    <row r="55" spans="1:4">
      <c r="A55" s="3029"/>
      <c r="B55" s="2020" t="s">
        <v>862</v>
      </c>
      <c r="C55" s="2017" t="s">
        <v>1278</v>
      </c>
    </row>
    <row r="56" spans="1:4">
      <c r="A56" s="3029"/>
      <c r="B56" s="2020" t="s">
        <v>863</v>
      </c>
      <c r="C56" s="2017" t="s">
        <v>1282</v>
      </c>
    </row>
    <row r="57" spans="1:4">
      <c r="A57" s="3029"/>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0" sqref="H20"/>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1771</v>
      </c>
      <c r="B1" s="3030" t="str">
        <f>IF(B10="北京市","北京市",C10)&amp;F10&amp;IF(结果表!G1="在建","出让国有建设用地使用权及在建建筑物",IF(结果表!G1="土地","出让国有建设用地使用权",))&amp;B9&amp;"预评估"</f>
        <v>广东省广州市海珠区工业大道南北侧石溪村地段第三金碧花园自编68-70栋住宅楼项目出让国有建设用地使用权及在建建筑物房地产抵押价值预评估</v>
      </c>
      <c r="C1" s="3031"/>
      <c r="D1" s="3031"/>
      <c r="E1" s="3031"/>
      <c r="F1" s="3031"/>
      <c r="G1" s="3031"/>
      <c r="H1" s="3031"/>
      <c r="I1" s="303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广东省广州市海珠区工业大道南北侧石溪村地段第三金碧花园自编68-70栋住宅楼项目出让国有建设用地使用权及在建建筑物房地产抵押价值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广东省广州市海珠区工业大道南北侧石溪村地段第三金碧花园自编68-70栋住宅楼项目出让国有建设用地使用权及在建建筑物房地产</v>
      </c>
    </row>
    <row r="3" spans="1:19" ht="18" customHeight="1">
      <c r="A3" s="2033" t="s">
        <v>1773</v>
      </c>
      <c r="B3" s="2034">
        <v>43712</v>
      </c>
      <c r="C3" s="2035" t="s">
        <v>1774</v>
      </c>
      <c r="D3" s="2034">
        <f>B3</f>
        <v>43712</v>
      </c>
      <c r="E3" s="2024"/>
      <c r="F3" s="2024"/>
      <c r="G3" s="2024"/>
      <c r="H3" s="2024"/>
      <c r="I3" s="2024"/>
      <c r="J3" s="2024"/>
      <c r="K3" s="2025"/>
      <c r="L3" s="2026"/>
      <c r="M3" s="2026"/>
      <c r="N3" s="2027"/>
      <c r="O3" s="2028"/>
      <c r="P3" s="2027"/>
      <c r="Q3" s="2027"/>
      <c r="R3" s="2027"/>
      <c r="S3" s="2029"/>
    </row>
    <row r="4" spans="1:19" ht="18" customHeight="1" thickBot="1">
      <c r="A4" s="2036" t="s">
        <v>1775</v>
      </c>
      <c r="B4" s="2037" t="s">
        <v>3048</v>
      </c>
      <c r="C4" s="1037">
        <f ca="1">SUMIF(注册房地产估价师,B4,估价师及机构信息!B3:B24)</f>
        <v>1419970001</v>
      </c>
      <c r="D4" s="2037" t="s">
        <v>3049</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3050</v>
      </c>
      <c r="C8" s="2054"/>
      <c r="D8" s="3033" t="s">
        <v>1780</v>
      </c>
      <c r="E8" s="2055" t="s">
        <v>3051</v>
      </c>
      <c r="F8" s="2056"/>
      <c r="G8" s="2024"/>
      <c r="H8" s="2024"/>
      <c r="I8" s="2024"/>
      <c r="J8" s="2040"/>
      <c r="K8" s="2041"/>
      <c r="L8" s="2026"/>
      <c r="M8" s="2026"/>
      <c r="N8" s="2027"/>
      <c r="O8" s="2028"/>
      <c r="P8" s="2027"/>
      <c r="Q8" s="2027"/>
      <c r="R8" s="2027"/>
    </row>
    <row r="9" spans="1:19" ht="18" customHeight="1" thickBot="1">
      <c r="A9" s="2038" t="s">
        <v>1781</v>
      </c>
      <c r="B9" s="2057" t="s">
        <v>3051</v>
      </c>
      <c r="C9" s="2058"/>
      <c r="D9" s="3034"/>
      <c r="E9" s="2057" t="s">
        <v>70</v>
      </c>
      <c r="F9" s="2059"/>
      <c r="G9" s="2060"/>
      <c r="H9" s="2060"/>
      <c r="I9" s="2060"/>
      <c r="J9" s="2040"/>
      <c r="K9" s="2052"/>
      <c r="L9" s="2026"/>
      <c r="M9" s="2026"/>
      <c r="N9" s="2027"/>
      <c r="O9" s="2028"/>
      <c r="P9" s="2027"/>
      <c r="Q9" s="2027"/>
      <c r="R9" s="2027"/>
    </row>
    <row r="10" spans="1:19" ht="18" customHeight="1" thickTop="1">
      <c r="A10" s="2061" t="s">
        <v>1782</v>
      </c>
      <c r="B10" s="2062" t="s">
        <v>3052</v>
      </c>
      <c r="C10" s="2952" t="s">
        <v>3055</v>
      </c>
      <c r="D10" s="2045"/>
      <c r="E10" s="2063" t="s">
        <v>1783</v>
      </c>
      <c r="F10" s="2064" t="s">
        <v>3056</v>
      </c>
      <c r="G10" s="2065"/>
      <c r="H10" s="2066"/>
      <c r="I10" s="2045"/>
      <c r="J10" s="2040"/>
      <c r="K10" s="2052"/>
      <c r="L10" s="2026"/>
      <c r="M10" s="2026"/>
      <c r="N10" s="2027"/>
      <c r="O10" s="2028"/>
      <c r="P10" s="2027"/>
      <c r="Q10" s="2027"/>
      <c r="R10" s="2027"/>
    </row>
    <row r="11" spans="1:19" ht="18" customHeight="1">
      <c r="A11" s="2067" t="s">
        <v>1784</v>
      </c>
      <c r="B11" s="2068" t="s">
        <v>3053</v>
      </c>
      <c r="C11" s="2069"/>
      <c r="D11" s="2070"/>
      <c r="E11" s="2040"/>
      <c r="F11" s="2040"/>
      <c r="G11" s="2040"/>
      <c r="H11" s="2040"/>
      <c r="I11" s="2040"/>
      <c r="J11" s="2040"/>
      <c r="K11" s="2052"/>
      <c r="L11" s="2026"/>
      <c r="M11" s="2026"/>
      <c r="N11" s="2027"/>
      <c r="O11" s="2028"/>
      <c r="P11" s="2027"/>
      <c r="Q11" s="2027"/>
      <c r="R11" s="2027"/>
    </row>
    <row r="12" spans="1:19" ht="18" customHeight="1">
      <c r="A12" s="2071" t="s">
        <v>1785</v>
      </c>
      <c r="B12" s="2068" t="s">
        <v>3054</v>
      </c>
      <c r="C12" s="2072" t="s">
        <v>1786</v>
      </c>
      <c r="D12" s="2073" t="s">
        <v>1787</v>
      </c>
      <c r="E12" s="2073" t="s">
        <v>1788</v>
      </c>
      <c r="F12" s="2073" t="s">
        <v>1789</v>
      </c>
      <c r="G12" s="2073" t="s">
        <v>1790</v>
      </c>
      <c r="H12" s="2073" t="s">
        <v>1791</v>
      </c>
      <c r="I12" s="2073" t="s">
        <v>1792</v>
      </c>
      <c r="J12" s="2040"/>
      <c r="K12" s="2052"/>
      <c r="L12" s="2026"/>
      <c r="M12" s="2026"/>
      <c r="N12" s="2027"/>
      <c r="O12" s="2028"/>
      <c r="P12" s="2027"/>
      <c r="Q12" s="2027"/>
      <c r="R12" s="2027"/>
    </row>
    <row r="13" spans="1:19" ht="18" customHeight="1">
      <c r="A13" s="2074"/>
      <c r="B13" s="2075"/>
      <c r="C13" s="2076" t="s">
        <v>1793</v>
      </c>
      <c r="D13" s="2077">
        <v>63796</v>
      </c>
      <c r="E13" s="2077">
        <v>52839</v>
      </c>
      <c r="F13" s="2077"/>
      <c r="G13" s="2077"/>
      <c r="H13" s="2077"/>
      <c r="I13" s="1047"/>
      <c r="J13" s="2040"/>
      <c r="K13" s="2052"/>
      <c r="L13" s="2026"/>
      <c r="M13" s="2026"/>
      <c r="N13" s="2027"/>
      <c r="O13" s="2028"/>
      <c r="P13" s="2027"/>
      <c r="Q13" s="2027"/>
      <c r="R13" s="2027"/>
    </row>
    <row r="14" spans="1:19" ht="18" customHeight="1">
      <c r="A14" s="2074"/>
      <c r="B14" s="2075"/>
      <c r="C14" s="2076" t="s">
        <v>1794</v>
      </c>
      <c r="D14" s="1050">
        <v>70</v>
      </c>
      <c r="E14" s="1050">
        <v>40</v>
      </c>
      <c r="F14" s="1050"/>
      <c r="G14" s="1050"/>
      <c r="H14" s="1050"/>
      <c r="I14" s="1050"/>
      <c r="J14" s="2040"/>
      <c r="K14" s="2078"/>
      <c r="L14" s="2026"/>
      <c r="M14" s="2026"/>
      <c r="N14" s="2027"/>
      <c r="O14" s="2028"/>
      <c r="P14" s="2027"/>
      <c r="Q14" s="2027"/>
      <c r="R14" s="2027"/>
    </row>
    <row r="15" spans="1:19" ht="18" customHeight="1">
      <c r="A15" s="2061"/>
      <c r="B15" s="2079"/>
      <c r="C15" s="2076" t="s">
        <v>1795</v>
      </c>
      <c r="D15" s="1049">
        <f>IF(B12="出让",IF(D13="","",ROUNDDOWN(MIN((D13-$D$3)/365,D14),2)),D14)</f>
        <v>55.02</v>
      </c>
      <c r="E15" s="1049">
        <f>IF(B12="出让",IF(E13="","",ROUNDDOWN(MIN((E13-$D$3)/365,E14),2)),E14)</f>
        <v>25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80"/>
      <c r="L15" s="2081"/>
      <c r="M15" s="2081"/>
      <c r="N15" s="2082"/>
      <c r="O15" s="2081"/>
      <c r="P15" s="2082"/>
      <c r="Q15" s="2027"/>
      <c r="R15" s="2027"/>
    </row>
    <row r="16" spans="1:19" ht="30.75" customHeight="1">
      <c r="A16" s="2063" t="s">
        <v>1796</v>
      </c>
      <c r="B16" s="3040"/>
      <c r="C16" s="3041"/>
      <c r="D16" s="3042"/>
      <c r="E16" s="2083" t="s">
        <v>1797</v>
      </c>
      <c r="F16" s="3043"/>
      <c r="G16" s="3044"/>
      <c r="H16" s="3044"/>
      <c r="I16" s="3045"/>
      <c r="J16" s="2027"/>
      <c r="K16" s="2080"/>
      <c r="L16" s="2081"/>
      <c r="M16" s="2081"/>
      <c r="N16" s="2082"/>
      <c r="O16" s="2081"/>
      <c r="P16" s="2082"/>
      <c r="Q16" s="2027"/>
      <c r="R16" s="2027"/>
    </row>
    <row r="17" spans="1:22" ht="18" customHeight="1">
      <c r="A17" s="2084" t="s">
        <v>1798</v>
      </c>
      <c r="B17" s="2033" t="s">
        <v>1799</v>
      </c>
      <c r="C17" s="1054">
        <f>'数据-汇总表'!E3</f>
        <v>41667.353900000002</v>
      </c>
      <c r="D17" s="2085" t="s">
        <v>1800</v>
      </c>
      <c r="E17" s="3046" t="s">
        <v>1801</v>
      </c>
      <c r="F17" s="3047"/>
      <c r="G17" s="3047"/>
      <c r="H17" s="3047"/>
      <c r="I17" s="3048"/>
      <c r="J17" s="2027"/>
      <c r="K17" s="2086"/>
      <c r="L17" s="2081"/>
      <c r="M17" s="2081"/>
      <c r="N17" s="2082"/>
      <c r="O17" s="2081"/>
      <c r="P17" s="2082"/>
      <c r="Q17" s="2027"/>
      <c r="R17" s="2027"/>
      <c r="S17" s="2027"/>
      <c r="T17" s="2027"/>
      <c r="U17" s="2027"/>
      <c r="V17" s="2027"/>
    </row>
    <row r="18" spans="1:22" ht="36" customHeight="1" thickBot="1">
      <c r="A18" s="2087" t="s">
        <v>1802</v>
      </c>
      <c r="B18" s="2036" t="s">
        <v>1803</v>
      </c>
      <c r="C18" s="1444">
        <f>'数据-汇总表'!D3</f>
        <v>19349.7</v>
      </c>
      <c r="D18" s="2088" t="s">
        <v>1800</v>
      </c>
      <c r="E18" s="3049" t="s">
        <v>1804</v>
      </c>
      <c r="F18" s="3050"/>
      <c r="G18" s="3050"/>
      <c r="H18" s="3050"/>
      <c r="I18" s="3051"/>
      <c r="J18" s="2027"/>
      <c r="K18" s="2086"/>
      <c r="L18" s="2081"/>
      <c r="M18" s="2081"/>
      <c r="N18" s="2082"/>
      <c r="O18" s="2081"/>
      <c r="P18" s="2082"/>
      <c r="Q18" s="2027"/>
      <c r="R18" s="2027"/>
      <c r="S18" s="2027"/>
      <c r="T18" s="2027"/>
      <c r="U18" s="2027"/>
      <c r="V18" s="2027"/>
    </row>
    <row r="19" spans="1:22" ht="37.5" customHeight="1" thickTop="1" thickBot="1">
      <c r="A19" s="373" t="s">
        <v>1805</v>
      </c>
      <c r="B19" s="352" t="s">
        <v>1806</v>
      </c>
      <c r="C19" s="2089"/>
      <c r="D19" s="2090" t="s">
        <v>1807</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1808</v>
      </c>
      <c r="B20" s="3036" t="s">
        <v>1809</v>
      </c>
      <c r="C20" s="3037"/>
      <c r="D20" s="3038" t="s">
        <v>1810</v>
      </c>
      <c r="E20" s="3039"/>
      <c r="F20" s="2095" t="s">
        <v>1811</v>
      </c>
      <c r="G20" s="2040"/>
      <c r="H20" s="2040"/>
      <c r="I20" s="2040"/>
      <c r="J20" s="2040"/>
      <c r="K20" s="303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1813</v>
      </c>
      <c r="C21" s="2097" t="s">
        <v>1814</v>
      </c>
      <c r="D21" s="2098" t="s">
        <v>1815</v>
      </c>
      <c r="E21" s="2099" t="s">
        <v>1814</v>
      </c>
      <c r="F21" s="2100"/>
      <c r="G21" s="2040"/>
      <c r="H21" s="2040"/>
      <c r="I21" s="2040"/>
      <c r="J21" s="2040"/>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1816</v>
      </c>
      <c r="C22" s="2097" t="s">
        <v>1817</v>
      </c>
      <c r="D22" s="2024"/>
      <c r="E22" s="2024"/>
      <c r="F22" s="2102"/>
      <c r="G22" s="2040"/>
      <c r="H22" s="2040"/>
      <c r="I22" s="2040"/>
      <c r="J22" s="2040"/>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1818</v>
      </c>
      <c r="B23" s="183" t="s">
        <v>1819</v>
      </c>
      <c r="C23" s="2104"/>
      <c r="D23" s="2105" t="s">
        <v>1819</v>
      </c>
      <c r="E23" s="2106"/>
      <c r="F23" s="2102"/>
      <c r="G23" s="2040"/>
      <c r="H23" s="2040"/>
      <c r="I23" s="2040"/>
      <c r="J23" s="2040"/>
      <c r="K23" s="2107"/>
      <c r="L23" s="748"/>
      <c r="M23" s="2026"/>
      <c r="N23" s="2082"/>
      <c r="O23" s="2081"/>
      <c r="P23" s="2082"/>
      <c r="Q23" s="2027"/>
      <c r="R23" s="2027"/>
      <c r="S23" s="2027"/>
      <c r="T23" s="2027"/>
      <c r="U23" s="2027"/>
      <c r="V23" s="2027"/>
    </row>
    <row r="24" spans="1:22" ht="18" customHeight="1">
      <c r="A24" s="2108"/>
      <c r="B24" s="183" t="s">
        <v>1820</v>
      </c>
      <c r="C24" s="2109"/>
      <c r="D24" s="2103" t="s">
        <v>1820</v>
      </c>
      <c r="E24" s="2110"/>
      <c r="F24" s="2102"/>
      <c r="G24" s="2040"/>
      <c r="H24" s="2040"/>
      <c r="I24" s="2040"/>
      <c r="J24" s="2040"/>
      <c r="K24" s="2107"/>
      <c r="L24" s="748"/>
      <c r="M24" s="2026"/>
      <c r="N24" s="2082"/>
      <c r="O24" s="2081"/>
      <c r="P24" s="2082"/>
      <c r="Q24" s="2027"/>
      <c r="R24" s="2027"/>
      <c r="S24" s="2027"/>
      <c r="T24" s="2027"/>
      <c r="U24" s="2027"/>
      <c r="V24" s="2027"/>
    </row>
    <row r="25" spans="1:22" ht="18" customHeight="1">
      <c r="A25" s="2108"/>
      <c r="B25" s="183" t="s">
        <v>1821</v>
      </c>
      <c r="C25" s="2109"/>
      <c r="D25" s="2103" t="s">
        <v>1821</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1822</v>
      </c>
      <c r="C26" s="2113"/>
      <c r="D26" s="2114" t="s">
        <v>1823</v>
      </c>
      <c r="E26" s="2115"/>
      <c r="F26" s="2116"/>
      <c r="G26" s="2060"/>
      <c r="H26" s="2060"/>
      <c r="I26" s="2060"/>
      <c r="J26" s="2040"/>
      <c r="K26" s="2052"/>
      <c r="L26" s="2026"/>
      <c r="M26" s="2026"/>
      <c r="N26" s="2082"/>
      <c r="O26" s="2081"/>
      <c r="P26" s="2082"/>
      <c r="Q26" s="2027"/>
      <c r="R26" s="2027"/>
      <c r="S26" s="2027"/>
      <c r="T26" s="2027"/>
      <c r="U26" s="2027"/>
      <c r="V26" s="2027"/>
    </row>
    <row r="27" spans="1:22" ht="18" customHeight="1" thickTop="1">
      <c r="A27" s="3053" t="s">
        <v>1824</v>
      </c>
      <c r="B27" s="2061" t="s">
        <v>1825</v>
      </c>
      <c r="C27" s="2117" t="s">
        <v>3057</v>
      </c>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053"/>
      <c r="B28" s="2033" t="s">
        <v>1826</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053"/>
      <c r="B29" s="2033" t="s">
        <v>1827</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054"/>
      <c r="B30" s="2033" t="s">
        <v>1828</v>
      </c>
      <c r="C30" s="3055"/>
      <c r="D30" s="3056"/>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57" t="s">
        <v>1829</v>
      </c>
      <c r="B31" s="2124" t="s">
        <v>3058</v>
      </c>
      <c r="C31" s="2125" t="str">
        <f>IF(B31="现房","成新及维护状况正常否",IF(B31="在建","工程状态是否正常",IF(B31="土地","是否闲置","-")))</f>
        <v>工程状态是否正常</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058"/>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058"/>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1" t="s">
        <v>3059</v>
      </c>
      <c r="C34" s="2131" t="s">
        <v>3060</v>
      </c>
      <c r="D34" s="2131" t="s">
        <v>3061</v>
      </c>
      <c r="E34" s="2131" t="s">
        <v>3062</v>
      </c>
      <c r="F34" s="2131" t="s">
        <v>3063</v>
      </c>
      <c r="G34" s="2131"/>
      <c r="H34" s="2131"/>
      <c r="I34" s="2040"/>
      <c r="J34" s="2040"/>
      <c r="K34" s="1794">
        <f>COUNTIF(B34:H34,"——")</f>
        <v>0</v>
      </c>
      <c r="L34" s="2072" t="s">
        <v>1831</v>
      </c>
      <c r="M34" s="2072" t="s">
        <v>1832</v>
      </c>
      <c r="N34" s="2072" t="s">
        <v>1833</v>
      </c>
      <c r="O34" s="2072" t="s">
        <v>1834</v>
      </c>
      <c r="P34" s="2072" t="s">
        <v>1835</v>
      </c>
      <c r="Q34" s="2072" t="s">
        <v>1836</v>
      </c>
      <c r="R34" s="2072" t="s">
        <v>1837</v>
      </c>
      <c r="S34" s="3052" t="s">
        <v>1838</v>
      </c>
      <c r="T34" s="2132" t="str">
        <f>NUMBERSTRING(7-K34,1)&amp;"通"</f>
        <v>七通</v>
      </c>
      <c r="U34" s="2027"/>
      <c r="V34" s="2027"/>
    </row>
    <row r="35" spans="1:22" ht="18" customHeight="1">
      <c r="A35" s="2133"/>
      <c r="B35" s="3059" t="s">
        <v>1839</v>
      </c>
      <c r="C35" s="3059"/>
      <c r="D35" s="3059"/>
      <c r="E35" s="3059"/>
      <c r="F35" s="2134" t="str">
        <f>C10</f>
        <v>广东省广州市</v>
      </c>
      <c r="G35" s="2040"/>
      <c r="H35" s="2040"/>
      <c r="I35" s="2040"/>
      <c r="J35" s="2040"/>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2"/>
      <c r="T35" s="48" t="str">
        <f>IF(T34="一通",L35,IF(T34="二通",M35,IF(T34="三通",N35,IF(T34="四通",O35,IF(T34="五通",P35,IF(T34="六通",Q35,R35))))))</f>
        <v>通路、通电、通讯、通上水、通下水、、</v>
      </c>
      <c r="U35" s="2027"/>
      <c r="V35" s="2027"/>
    </row>
    <row r="36" spans="1:22" ht="18" customHeight="1">
      <c r="A36" s="2135"/>
      <c r="B36" s="2134" t="s">
        <v>1840</v>
      </c>
      <c r="C36" s="2134" t="s">
        <v>1841</v>
      </c>
      <c r="D36" s="2134" t="s">
        <v>1842</v>
      </c>
      <c r="E36" s="2134" t="s">
        <v>1843</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1844</v>
      </c>
      <c r="B37" s="2138"/>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1845</v>
      </c>
      <c r="B38" s="2140"/>
      <c r="C38" s="2140"/>
      <c r="D38" s="2140"/>
      <c r="E38" s="2140"/>
      <c r="F38" s="2141"/>
      <c r="G38" s="2060"/>
      <c r="H38" s="2060"/>
      <c r="I38" s="2060"/>
      <c r="J38" s="2040"/>
      <c r="K38" s="2052"/>
      <c r="L38" s="2026"/>
      <c r="M38" s="2026"/>
      <c r="N38" s="2027"/>
      <c r="O38" s="2028"/>
      <c r="P38" s="2027"/>
      <c r="Q38" s="2027"/>
      <c r="R38" s="2027"/>
      <c r="S38" s="2027"/>
      <c r="T38" s="2027"/>
      <c r="U38" s="2027"/>
      <c r="V38" s="2027"/>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6"/>
      <c r="L40" s="2081"/>
      <c r="M40" s="2081"/>
      <c r="N40" s="2082"/>
      <c r="O40" s="2081"/>
      <c r="P40" s="2027"/>
      <c r="Q40" s="2027"/>
      <c r="R40" s="2027"/>
      <c r="S40" s="2027"/>
      <c r="T40" s="2027"/>
      <c r="U40" s="2027"/>
      <c r="V40" s="2027"/>
    </row>
    <row r="41" spans="1:22" ht="18" customHeight="1">
      <c r="A41" s="8" t="s">
        <v>1847</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1848</v>
      </c>
      <c r="B42" s="1794" t="s">
        <v>1849</v>
      </c>
      <c r="C42" s="1794" t="s">
        <v>1850</v>
      </c>
      <c r="D42" s="1794" t="s">
        <v>1851</v>
      </c>
      <c r="E42" s="1794" t="s">
        <v>1852</v>
      </c>
      <c r="F42" s="1794" t="s">
        <v>1853</v>
      </c>
      <c r="G42" s="1794" t="s">
        <v>1854</v>
      </c>
      <c r="H42" s="1794" t="s">
        <v>1855</v>
      </c>
      <c r="I42" s="1794" t="s">
        <v>1856</v>
      </c>
      <c r="J42" s="2150" t="s">
        <v>1857</v>
      </c>
      <c r="K42" s="2073" t="s">
        <v>1858</v>
      </c>
      <c r="L42" s="2073" t="s">
        <v>1859</v>
      </c>
      <c r="M42" s="2073" t="s">
        <v>1860</v>
      </c>
      <c r="N42" s="1794" t="s">
        <v>1861</v>
      </c>
      <c r="O42" s="1794" t="s">
        <v>1862</v>
      </c>
      <c r="P42" s="1794" t="s">
        <v>1863</v>
      </c>
      <c r="Q42" s="2072" t="s">
        <v>1864</v>
      </c>
      <c r="R42" s="2072" t="s">
        <v>1865</v>
      </c>
      <c r="S42" s="2027"/>
      <c r="T42" s="2027"/>
      <c r="U42" s="2027"/>
      <c r="V42" s="2027"/>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hidden="1" customWidth="1"/>
    <col min="11" max="11" width="12.44140625" style="2157" customWidth="1"/>
    <col min="12" max="12" width="9.44140625" style="2157" hidden="1" customWidth="1"/>
    <col min="13" max="13" width="13.77734375" style="2157" customWidth="1"/>
    <col min="14" max="14" width="9.44140625" style="2157" hidden="1" customWidth="1"/>
    <col min="15" max="15" width="9.88671875" style="2157" hidden="1" customWidth="1"/>
    <col min="16" max="16" width="9.77734375" style="2157" hidden="1" customWidth="1"/>
    <col min="17" max="17" width="9.33203125" style="2157" hidden="1" customWidth="1"/>
    <col min="18" max="18" width="9.21875" style="2157" hidden="1" customWidth="1"/>
    <col min="19" max="19" width="10.88671875" style="2157" hidden="1" customWidth="1"/>
    <col min="20" max="21" width="10.77734375" style="2157" hidden="1" customWidth="1"/>
    <col min="22" max="22" width="10.88671875" style="2157" hidden="1" customWidth="1"/>
    <col min="23" max="27" width="10.77734375" style="2157" hidden="1" customWidth="1"/>
    <col min="28" max="28" width="10.88671875" style="2157" hidden="1"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1871</v>
      </c>
      <c r="AZ2" s="1270"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26590</v>
      </c>
      <c r="B3" s="14">
        <f>IF(C3="否",G5-AT5,G5)</f>
        <v>57258.498200000002</v>
      </c>
      <c r="C3" s="2166" t="s">
        <v>3149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1874</v>
      </c>
      <c r="B5" s="1802"/>
      <c r="C5" s="1802"/>
      <c r="D5" s="1805"/>
      <c r="E5" s="16" t="s">
        <v>1</v>
      </c>
      <c r="F5" s="16">
        <f>SUM(F13:F587)</f>
        <v>0</v>
      </c>
      <c r="G5" s="16">
        <f>SUM(G13:G587)</f>
        <v>57258.498200000002</v>
      </c>
      <c r="H5" s="16">
        <f t="shared" ref="H5:AT5" si="0">SUM(H13:H656)</f>
        <v>51040.161700000004</v>
      </c>
      <c r="I5" s="16">
        <f t="shared" si="0"/>
        <v>47733.089800000002</v>
      </c>
      <c r="J5" s="16">
        <f t="shared" si="0"/>
        <v>0</v>
      </c>
      <c r="K5" s="16">
        <f t="shared" si="0"/>
        <v>2804.3640999999993</v>
      </c>
      <c r="L5" s="16">
        <f t="shared" si="0"/>
        <v>0</v>
      </c>
      <c r="M5" s="16">
        <f t="shared" si="0"/>
        <v>502.70780000000002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5289.5047999999997</v>
      </c>
      <c r="AD5" s="16">
        <f t="shared" si="0"/>
        <v>171.28319999999999</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5118.2215999999999</v>
      </c>
      <c r="AO5" s="16">
        <f t="shared" si="0"/>
        <v>0</v>
      </c>
      <c r="AP5" s="16">
        <f t="shared" si="0"/>
        <v>0</v>
      </c>
      <c r="AQ5" s="16">
        <f t="shared" si="0"/>
        <v>0</v>
      </c>
      <c r="AR5" s="16">
        <f t="shared" si="0"/>
        <v>0</v>
      </c>
      <c r="AS5" s="16">
        <f t="shared" si="0"/>
        <v>0</v>
      </c>
      <c r="AT5" s="16">
        <f t="shared" si="0"/>
        <v>928.83170000000007</v>
      </c>
      <c r="AU5" s="1801"/>
      <c r="AV5" s="15" t="s">
        <v>1874</v>
      </c>
      <c r="AW5" s="1802"/>
      <c r="AX5" s="1802"/>
      <c r="AY5" s="17" t="s">
        <v>3</v>
      </c>
      <c r="AZ5" s="18">
        <f t="shared" ref="AZ5:BT5" si="1">SUM(AZ13:AZ656)</f>
        <v>41667.353900000002</v>
      </c>
      <c r="BA5" s="18">
        <f t="shared" si="1"/>
        <v>41667.353900000002</v>
      </c>
      <c r="BB5" s="18">
        <f t="shared" si="1"/>
        <v>38862.989800000003</v>
      </c>
      <c r="BC5" s="18">
        <f t="shared" si="1"/>
        <v>2804.3640999999993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1875</v>
      </c>
      <c r="B6" s="2172"/>
      <c r="C6" s="2172"/>
      <c r="D6" s="2173"/>
      <c r="E6" s="16">
        <f>H6+AC6+AT6</f>
        <v>26590.010000000002</v>
      </c>
      <c r="F6" s="16" t="s">
        <v>1</v>
      </c>
      <c r="G6" s="16" t="s">
        <v>2</v>
      </c>
      <c r="H6" s="20">
        <f>SUMIF(I$12:AB$12,"总值",I6:AB6)</f>
        <v>23702.300000000003</v>
      </c>
      <c r="I6" s="16">
        <f t="shared" ref="I6:AB6" si="2">ROUND($A$3*I5/$B$3,2)</f>
        <v>22166.54</v>
      </c>
      <c r="J6" s="16">
        <f t="shared" si="2"/>
        <v>0</v>
      </c>
      <c r="K6" s="16">
        <f t="shared" si="2"/>
        <v>1302.31</v>
      </c>
      <c r="L6" s="16">
        <f t="shared" si="2"/>
        <v>0</v>
      </c>
      <c r="M6" s="16">
        <f t="shared" si="2"/>
        <v>233.45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2456.37</v>
      </c>
      <c r="AD6" s="16">
        <f t="shared" ref="AD6:AS6" si="3">ROUND($A$3*AD5/$B$3,2)</f>
        <v>79.540000000000006</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2376.83</v>
      </c>
      <c r="AO6" s="16">
        <f t="shared" si="3"/>
        <v>0</v>
      </c>
      <c r="AP6" s="16">
        <f t="shared" si="3"/>
        <v>0</v>
      </c>
      <c r="AQ6" s="16">
        <f t="shared" si="3"/>
        <v>0</v>
      </c>
      <c r="AR6" s="16">
        <f t="shared" si="3"/>
        <v>0</v>
      </c>
      <c r="AS6" s="16">
        <f t="shared" si="3"/>
        <v>0</v>
      </c>
      <c r="AT6" s="20">
        <f>IF(C3="是",ROUND($A$3*AT5/$B$3,2),0)</f>
        <v>431.34</v>
      </c>
      <c r="AU6" s="2174"/>
      <c r="AV6" s="15" t="s">
        <v>1875</v>
      </c>
      <c r="AW6" s="2172"/>
      <c r="AX6" s="2172"/>
      <c r="AY6" s="21">
        <f>IF(AY3&gt;0,AY3,ROUND($A$3*AZ5/$B$3,2))</f>
        <v>19349.7</v>
      </c>
      <c r="AZ6" s="16" t="s">
        <v>3</v>
      </c>
      <c r="BA6" s="16">
        <f>ROUND($AY$6*BA5/$AZ$5,2)</f>
        <v>19349.7</v>
      </c>
      <c r="BB6" s="16">
        <f>ROUND($AY$6*BB5/$AZ$5,2)</f>
        <v>18047.39</v>
      </c>
      <c r="BC6" s="16">
        <f t="shared" ref="BC6:BH6" si="4">ROUND($AY$6*BC5/$AZ$5,2)</f>
        <v>1302.31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1883</v>
      </c>
      <c r="AV7" s="23" t="s">
        <v>1884</v>
      </c>
      <c r="AW7" s="2164" t="s">
        <v>1885</v>
      </c>
      <c r="AX7" s="23" t="s">
        <v>1878</v>
      </c>
      <c r="AY7" s="1802"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7"/>
      <c r="K8" s="1817"/>
      <c r="L8" s="1817"/>
      <c r="M8" s="1817"/>
      <c r="N8" s="1817"/>
      <c r="O8" s="1817"/>
      <c r="P8" s="1817"/>
      <c r="Q8" s="1817"/>
      <c r="R8" s="1817"/>
      <c r="S8" s="1817"/>
      <c r="T8" s="1817"/>
      <c r="U8" s="1817"/>
      <c r="V8" s="2184"/>
      <c r="W8" s="1817"/>
      <c r="X8" s="1817"/>
      <c r="Y8" s="1817"/>
      <c r="Z8" s="1817"/>
      <c r="AA8" s="2184"/>
      <c r="AB8" s="2185"/>
      <c r="AC8" s="981" t="s">
        <v>1889</v>
      </c>
      <c r="AD8" s="2186"/>
      <c r="AE8" s="2178"/>
      <c r="AF8" s="1817"/>
      <c r="AG8" s="1817"/>
      <c r="AH8" s="1817"/>
      <c r="AI8" s="1817"/>
      <c r="AJ8" s="1817"/>
      <c r="AK8" s="1817"/>
      <c r="AL8" s="1817"/>
      <c r="AM8" s="1817"/>
      <c r="AN8" s="1817"/>
      <c r="AO8" s="1817"/>
      <c r="AP8" s="1817"/>
      <c r="AQ8" s="1817"/>
      <c r="AR8" s="1817"/>
      <c r="AS8" s="1817"/>
      <c r="AT8" s="1292" t="s">
        <v>1890</v>
      </c>
      <c r="AU8" s="2180" t="s">
        <v>1891</v>
      </c>
      <c r="AV8" s="1292"/>
      <c r="AW8" s="2163"/>
      <c r="AX8" s="1292"/>
      <c r="AY8" s="2164"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3.2">
      <c r="A9" s="2180"/>
      <c r="B9" s="2180"/>
      <c r="C9" s="2180"/>
      <c r="D9" s="2180"/>
      <c r="E9" s="2180"/>
      <c r="F9" s="2180"/>
      <c r="G9" s="1292"/>
      <c r="H9" s="2188" t="s">
        <v>1894</v>
      </c>
      <c r="I9" s="2189" t="s">
        <v>3151</v>
      </c>
      <c r="J9" s="981"/>
      <c r="K9" s="2189" t="s">
        <v>3151</v>
      </c>
      <c r="L9" s="981"/>
      <c r="M9" s="2189" t="s">
        <v>3161</v>
      </c>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7"/>
      <c r="BN9" s="2183"/>
      <c r="BO9" s="1817"/>
      <c r="BP9" s="1817"/>
      <c r="BQ9" s="1817"/>
      <c r="BR9" s="1817"/>
      <c r="BS9" s="1817"/>
      <c r="BT9" s="26"/>
    </row>
    <row r="10" spans="1:72" s="2187" customFormat="1" ht="13.2">
      <c r="A10" s="2180"/>
      <c r="B10" s="2180"/>
      <c r="C10" s="2180"/>
      <c r="D10" s="2180"/>
      <c r="E10" s="2180"/>
      <c r="F10" s="2180"/>
      <c r="G10" s="1292"/>
      <c r="H10" s="28"/>
      <c r="I10" s="2189" t="s">
        <v>3117</v>
      </c>
      <c r="J10" s="981"/>
      <c r="K10" s="2195" t="s">
        <v>1373</v>
      </c>
      <c r="L10" s="981"/>
      <c r="M10" s="2195" t="s">
        <v>3117</v>
      </c>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3.2">
      <c r="A11" s="2180"/>
      <c r="B11" s="2180"/>
      <c r="C11" s="2180"/>
      <c r="D11" s="2180"/>
      <c r="E11" s="2180"/>
      <c r="F11" s="2180"/>
      <c r="G11" s="1292"/>
      <c r="H11" s="2197"/>
      <c r="I11" s="2200" t="s">
        <v>3152</v>
      </c>
      <c r="J11" s="2201"/>
      <c r="K11" s="2200" t="s">
        <v>3153</v>
      </c>
      <c r="L11" s="2201"/>
      <c r="M11" s="2200" t="s">
        <v>3165</v>
      </c>
      <c r="N11" s="2201"/>
      <c r="O11" s="2200"/>
      <c r="P11" s="2201"/>
      <c r="Q11" s="2200"/>
      <c r="R11" s="2201"/>
      <c r="S11" s="2200"/>
      <c r="T11" s="2201"/>
      <c r="U11" s="2200"/>
      <c r="V11" s="2201"/>
      <c r="W11" s="2200"/>
      <c r="X11" s="2201"/>
      <c r="Y11" s="2200"/>
      <c r="Z11" s="2201"/>
      <c r="AA11" s="2200"/>
      <c r="AB11" s="2201"/>
      <c r="AC11" s="1292"/>
      <c r="AD11" s="2202" t="s">
        <v>1904</v>
      </c>
      <c r="AE11" s="1818"/>
      <c r="AF11" s="2202" t="s">
        <v>1904</v>
      </c>
      <c r="AG11" s="1818"/>
      <c r="AH11" s="2202" t="s">
        <v>1905</v>
      </c>
      <c r="AI11" s="2203"/>
      <c r="AJ11" s="2202" t="s">
        <v>1905</v>
      </c>
      <c r="AK11" s="1818"/>
      <c r="AL11" s="1816"/>
      <c r="AM11" s="1818"/>
      <c r="AN11" s="1816"/>
      <c r="AO11" s="1818"/>
      <c r="AP11" s="1816"/>
      <c r="AQ11" s="1818"/>
      <c r="AR11" s="1816"/>
      <c r="AS11" s="1818"/>
      <c r="AT11" s="2163"/>
      <c r="AU11" s="2180"/>
      <c r="AV11" s="1292"/>
      <c r="AW11" s="2163"/>
      <c r="AX11" s="1292"/>
      <c r="AY11" s="28"/>
      <c r="AZ11" s="28"/>
      <c r="BA11" s="28"/>
      <c r="BB11" s="2185" t="str">
        <f>I10</f>
        <v>住宅</v>
      </c>
      <c r="BC11" s="2185" t="str">
        <f>K10</f>
        <v>商业</v>
      </c>
      <c r="BD11" s="2185" t="str">
        <f>M10</f>
        <v>住宅</v>
      </c>
      <c r="BE11" s="2185">
        <f>O10</f>
        <v>0</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7"/>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平层住宅</v>
      </c>
      <c r="BC12" s="2210" t="str">
        <f>K11</f>
        <v>底商</v>
      </c>
      <c r="BD12" s="2210" t="str">
        <f>M11</f>
        <v>车库</v>
      </c>
      <c r="BE12" s="2185">
        <f>O11</f>
        <v>0</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26.4">
      <c r="A13" s="1272"/>
      <c r="B13" s="1272"/>
      <c r="C13" s="2964" t="s">
        <v>3146</v>
      </c>
      <c r="D13" s="2211" t="s">
        <v>3149</v>
      </c>
      <c r="E13" s="16">
        <f>IF($C$3="是",ROUND($A$3*G13/$B$3,2),ROUND($A$3*(G13-AT13)/$B$3,2))</f>
        <v>1302.31</v>
      </c>
      <c r="F13" s="32"/>
      <c r="G13" s="33">
        <f>H13+AC13+AT13</f>
        <v>2804.3640999999993</v>
      </c>
      <c r="H13" s="20">
        <f>SUMIF(I$12:AB$12,"总值",I13:AB13)</f>
        <v>2804.3640999999993</v>
      </c>
      <c r="I13" s="2212"/>
      <c r="J13" s="2212"/>
      <c r="K13" s="2966">
        <f>面积明细表!K9</f>
        <v>2804.3640999999993</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可抵押商业</v>
      </c>
      <c r="AY13" s="1805">
        <f>ROUND($AY$6*AZ13/$AZ$5,2)</f>
        <v>1302.31</v>
      </c>
      <c r="AZ13" s="16">
        <f>BA13+BL13</f>
        <v>2804.3640999999993</v>
      </c>
      <c r="BA13" s="16">
        <f>SUM(BB13:BK13)</f>
        <v>2804.3640999999993</v>
      </c>
      <c r="BB13" s="16">
        <f>IF($D13="是",I13-J13,0)</f>
        <v>0</v>
      </c>
      <c r="BC13" s="16">
        <f>IF($D13="是",K13-L13,0)</f>
        <v>2804.3640999999993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6.4">
      <c r="A14" s="1272"/>
      <c r="B14" s="1272"/>
      <c r="C14" s="2965" t="s">
        <v>3147</v>
      </c>
      <c r="D14" s="2211" t="s">
        <v>3149</v>
      </c>
      <c r="E14" s="16">
        <f>IF($C$3="是",ROUND($A$3*G14/$B$3,2),ROUND($A$3*(G14-AT14)/$B$3,2))</f>
        <v>18047.400000000001</v>
      </c>
      <c r="F14" s="32"/>
      <c r="G14" s="33">
        <f>H14+AC14+AT14</f>
        <v>38862.989800000003</v>
      </c>
      <c r="H14" s="20">
        <f>SUMIF(I$12:AB$12,"总值",I14:AB14)</f>
        <v>38862.989800000003</v>
      </c>
      <c r="I14" s="2212">
        <f>面积明细表!K12</f>
        <v>38862.989800000003</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可抵押住宅</v>
      </c>
      <c r="AY14" s="1805">
        <f>ROUND($AY$6*AZ14/$AZ$5,2)</f>
        <v>18047.39</v>
      </c>
      <c r="AZ14" s="16">
        <f>BA14+BL14</f>
        <v>38862.989800000003</v>
      </c>
      <c r="BA14" s="16">
        <f>SUM(BB14:BK14)</f>
        <v>38862.989800000003</v>
      </c>
      <c r="BB14" s="16">
        <f>IF($D14="是",I14-J14,0)</f>
        <v>38862.989800000003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26.4">
      <c r="A15" s="1272"/>
      <c r="B15" s="1272"/>
      <c r="C15" s="2965" t="s">
        <v>3148</v>
      </c>
      <c r="D15" s="2211" t="s">
        <v>3150</v>
      </c>
      <c r="E15" s="16">
        <f>IF($C$3="是",ROUND($A$3*G15/$B$3,2),ROUND($A$3*(G15-AT15)/$B$3,2))</f>
        <v>7240.3</v>
      </c>
      <c r="F15" s="32"/>
      <c r="G15" s="33">
        <f>H15+AC15+AT15</f>
        <v>15591.144300000002</v>
      </c>
      <c r="H15" s="20">
        <f>SUMIF(I$12:AB$12,"总值",I15:AB15)</f>
        <v>9372.8078000000023</v>
      </c>
      <c r="I15" s="2212">
        <f>面积明细表!K18-面积明细表!K12-面积明细表!E479-面积明细表!E478-面积明细表!E477-面积明细表!E476</f>
        <v>8870.1000000000022</v>
      </c>
      <c r="J15" s="2212"/>
      <c r="K15" s="2212"/>
      <c r="L15" s="2212"/>
      <c r="M15" s="2966">
        <f>面积明细表!E469</f>
        <v>502.70780000000002</v>
      </c>
      <c r="N15" s="2212"/>
      <c r="O15" s="2212"/>
      <c r="P15" s="2212"/>
      <c r="Q15" s="2212"/>
      <c r="R15" s="2212"/>
      <c r="S15" s="2212"/>
      <c r="T15" s="2212"/>
      <c r="U15" s="2212"/>
      <c r="V15" s="2212"/>
      <c r="W15" s="2212"/>
      <c r="X15" s="2212"/>
      <c r="Y15" s="2212"/>
      <c r="Z15" s="2212"/>
      <c r="AA15" s="2212"/>
      <c r="AB15" s="2212"/>
      <c r="AC15" s="16">
        <f>SUMIF(AD$12:AS$12,"总值",AD15:AS15)</f>
        <v>5289.5047999999997</v>
      </c>
      <c r="AD15" s="2213">
        <f>面积明细表!E473+面积明细表!E474</f>
        <v>171.28319999999999</v>
      </c>
      <c r="AE15" s="2213"/>
      <c r="AF15" s="2213"/>
      <c r="AG15" s="2213"/>
      <c r="AH15" s="2213"/>
      <c r="AI15" s="2213"/>
      <c r="AJ15" s="2213"/>
      <c r="AK15" s="2213"/>
      <c r="AL15" s="2213"/>
      <c r="AM15" s="2213"/>
      <c r="AN15" s="2213">
        <f>面积明细表!E470+面积明细表!E468+面积明细表!E471+面积明细表!E472+面积明细表!E475</f>
        <v>5118.2215999999999</v>
      </c>
      <c r="AO15" s="2213"/>
      <c r="AP15" s="2213"/>
      <c r="AQ15" s="2213"/>
      <c r="AR15" s="2213"/>
      <c r="AS15" s="2213"/>
      <c r="AT15" s="2214">
        <f>面积明细表!E476+面积明细表!E477+面积明细表!E478+面积明细表!E479</f>
        <v>928.83170000000007</v>
      </c>
      <c r="AU15" s="2215"/>
      <c r="AV15" s="11">
        <f t="shared" si="6"/>
        <v>0</v>
      </c>
      <c r="AW15" s="11">
        <f t="shared" si="6"/>
        <v>0</v>
      </c>
      <c r="AX15" s="11" t="str">
        <f t="shared" si="6"/>
        <v>不可抵押部分</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46.8">
      <c r="A3" s="3060"/>
      <c r="B3" s="3060"/>
      <c r="C3" s="3060"/>
      <c r="D3" s="3061"/>
      <c r="E3" s="306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1933</v>
      </c>
      <c r="B1" s="1392"/>
      <c r="C1" s="1392"/>
      <c r="D1" s="1392"/>
      <c r="E1" s="1392"/>
      <c r="F1" s="1392"/>
      <c r="G1" s="1392"/>
      <c r="H1" s="1392"/>
      <c r="I1" s="1392"/>
      <c r="J1" s="1392"/>
      <c r="K1" s="1392"/>
      <c r="L1" s="1392"/>
      <c r="M1" s="1392"/>
      <c r="N1" s="1392"/>
      <c r="O1" s="1392"/>
      <c r="P1" s="1392"/>
    </row>
    <row r="2" spans="1:16" ht="14.4">
      <c r="A2" s="3071" t="s">
        <v>1934</v>
      </c>
      <c r="B2" s="3071"/>
      <c r="C2" s="3071"/>
      <c r="D2" s="967" t="s">
        <v>1910</v>
      </c>
      <c r="E2" s="2225" t="s">
        <v>1911</v>
      </c>
      <c r="F2" s="1392"/>
      <c r="G2" s="2226"/>
      <c r="H2" s="2227"/>
      <c r="I2" s="2228" t="s">
        <v>1935</v>
      </c>
      <c r="J2" s="1392"/>
      <c r="K2" s="1392"/>
      <c r="L2" s="1392"/>
      <c r="M2" s="1392"/>
      <c r="N2" s="1427"/>
      <c r="O2" s="1392"/>
      <c r="P2" s="1392"/>
    </row>
    <row r="3" spans="1:16" ht="15" thickBot="1">
      <c r="A3" s="3072" t="s">
        <v>1908</v>
      </c>
      <c r="B3" s="3072"/>
      <c r="C3" s="3072"/>
      <c r="D3" s="46">
        <f>'数据-基础表'!AY6</f>
        <v>19349.7</v>
      </c>
      <c r="E3" s="46">
        <f>'数据-基础表'!AZ5</f>
        <v>41667.353900000002</v>
      </c>
      <c r="F3" s="1392"/>
      <c r="G3" s="1399"/>
      <c r="H3" s="1247" t="s">
        <v>1909</v>
      </c>
      <c r="I3" s="55">
        <f>ROUND('数据-基础表'!B3/'数据-基础表'!A3,2)</f>
        <v>2.15</v>
      </c>
      <c r="J3" s="1392"/>
      <c r="K3" s="1392"/>
      <c r="L3" s="1392"/>
      <c r="M3" s="1392"/>
      <c r="N3" s="1427"/>
      <c r="O3" s="1392"/>
      <c r="P3" s="1392"/>
    </row>
    <row r="4" spans="1:16" ht="14.4">
      <c r="A4" s="3073"/>
      <c r="B4" s="3074"/>
      <c r="C4" s="3075"/>
      <c r="D4" s="2229" t="s">
        <v>1910</v>
      </c>
      <c r="E4" s="2230" t="s">
        <v>1911</v>
      </c>
      <c r="F4" s="1392"/>
      <c r="G4" s="2231" t="s">
        <v>1936</v>
      </c>
      <c r="H4" s="1247" t="s">
        <v>1916</v>
      </c>
      <c r="I4" s="55">
        <f>ROUND(SUMIF('数据-基础表'!I9:AS9,"地上",'数据-基础表'!I5:AS5)/'数据-基础表'!A3,2)</f>
        <v>1.91</v>
      </c>
      <c r="J4" s="1392"/>
      <c r="K4" s="1392"/>
      <c r="L4" s="1392"/>
      <c r="M4" s="1392"/>
      <c r="N4" s="1427"/>
      <c r="O4" s="1392"/>
      <c r="P4" s="1392"/>
    </row>
    <row r="5" spans="1:16" ht="14.4">
      <c r="A5" s="47" t="s">
        <v>1912</v>
      </c>
      <c r="B5" s="3076" t="s">
        <v>1913</v>
      </c>
      <c r="C5" s="3076"/>
      <c r="D5" s="48">
        <f>ROUND($D$3*E5/$E$3,2)</f>
        <v>18047.39</v>
      </c>
      <c r="E5" s="49">
        <f>SUMIF('数据-基础表'!$11:$11,"住宅",'数据-基础表'!$5:$5)</f>
        <v>38862.989800000003</v>
      </c>
      <c r="F5" s="1392"/>
      <c r="G5" s="1399"/>
      <c r="H5" s="1247" t="s">
        <v>1909</v>
      </c>
      <c r="I5" s="55">
        <f>ROUND(E31/D31,2)</f>
        <v>2.15</v>
      </c>
      <c r="J5" s="1392"/>
      <c r="K5" s="1392"/>
      <c r="L5" s="1392"/>
      <c r="M5" s="1392"/>
      <c r="N5" s="1392"/>
      <c r="O5" s="1392"/>
      <c r="P5" s="1392"/>
    </row>
    <row r="6" spans="1:16" ht="15" thickBot="1">
      <c r="A6" s="2232"/>
      <c r="B6" s="3076" t="s">
        <v>1914</v>
      </c>
      <c r="C6" s="3076"/>
      <c r="D6" s="48">
        <f>ROUND($D$3*E6/$E$3,2)</f>
        <v>1302.31</v>
      </c>
      <c r="E6" s="49">
        <f>E3-E5</f>
        <v>2804.3640999999989</v>
      </c>
      <c r="F6" s="1392"/>
      <c r="G6" s="2233" t="s">
        <v>1915</v>
      </c>
      <c r="H6" s="1399" t="s">
        <v>1916</v>
      </c>
      <c r="I6" s="939">
        <f>ROUND(F31/D31,2)</f>
        <v>2.15</v>
      </c>
      <c r="J6" s="1392"/>
      <c r="K6" s="1392"/>
      <c r="L6" s="1392"/>
      <c r="M6" s="1392"/>
      <c r="N6" s="1392"/>
      <c r="O6" s="1392"/>
      <c r="P6" s="1392"/>
    </row>
    <row r="7" spans="1:16" ht="14.4">
      <c r="A7" s="3068"/>
      <c r="B7" s="3069"/>
      <c r="C7" s="3070"/>
      <c r="D7" s="2229" t="s">
        <v>1910</v>
      </c>
      <c r="E7" s="2234" t="s">
        <v>1917</v>
      </c>
      <c r="F7" s="1392"/>
      <c r="G7" s="2226" t="s">
        <v>1918</v>
      </c>
      <c r="H7" s="64"/>
      <c r="I7" s="420"/>
      <c r="J7" s="1392"/>
      <c r="K7" s="1392"/>
      <c r="L7" s="1392"/>
      <c r="M7" s="1392"/>
      <c r="N7" s="1392"/>
      <c r="O7" s="1392"/>
      <c r="P7" s="1392"/>
    </row>
    <row r="8" spans="1:16" ht="14.4">
      <c r="A8" s="47" t="s">
        <v>1919</v>
      </c>
      <c r="B8" s="50" t="s">
        <v>1920</v>
      </c>
      <c r="C8" s="48" t="s">
        <v>1921</v>
      </c>
      <c r="D8" s="48">
        <f t="shared" ref="D8:D15" si="0">ROUND($D$3*E8/$E$3,2)</f>
        <v>19349.7</v>
      </c>
      <c r="E8" s="51">
        <f>SUMIF('数据-基础表'!BB10:BK10,"地上",'数据-基础表'!BB5:BK5)</f>
        <v>41667.353900000002</v>
      </c>
      <c r="F8" s="1392"/>
      <c r="G8" s="2235"/>
      <c r="H8" s="2235"/>
      <c r="I8" s="1392"/>
      <c r="J8" s="1392"/>
      <c r="K8" s="1392"/>
      <c r="L8" s="1392"/>
      <c r="M8" s="1392"/>
      <c r="N8" s="1392"/>
      <c r="O8" s="1392"/>
      <c r="P8" s="1392"/>
    </row>
    <row r="9" spans="1:16" ht="14.4">
      <c r="A9" s="2236"/>
      <c r="B9" s="2237"/>
      <c r="C9" s="48" t="s">
        <v>1922</v>
      </c>
      <c r="D9" s="48">
        <f t="shared" si="0"/>
        <v>0</v>
      </c>
      <c r="E9" s="52">
        <v>0</v>
      </c>
      <c r="F9" s="1392"/>
      <c r="G9" s="2235"/>
      <c r="H9" s="2235"/>
      <c r="I9" s="1392"/>
      <c r="J9" s="1392"/>
      <c r="K9" s="1392"/>
      <c r="L9" s="1392"/>
      <c r="M9" s="1392"/>
      <c r="N9" s="1392"/>
      <c r="O9" s="1392"/>
      <c r="P9" s="1392"/>
    </row>
    <row r="10" spans="1:16" ht="14.4">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ht="14.4">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ht="14.4">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ht="14.4">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ht="14.4">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1926</v>
      </c>
      <c r="D16" s="50">
        <f>SUM(D8:D15)</f>
        <v>19349.7</v>
      </c>
      <c r="E16" s="53">
        <f>SUM(E8:E15)</f>
        <v>41667.353900000002</v>
      </c>
      <c r="F16" s="1392"/>
      <c r="G16" s="2235"/>
      <c r="H16" s="2238" t="s">
        <v>1938</v>
      </c>
      <c r="I16" s="2239"/>
      <c r="J16" s="1392"/>
      <c r="K16" s="3065" t="s">
        <v>1938</v>
      </c>
      <c r="L16" s="3066"/>
      <c r="M16" s="3066"/>
      <c r="N16" s="3066"/>
      <c r="O16" s="3066"/>
      <c r="P16" s="3067"/>
    </row>
    <row r="17" spans="1:19" ht="14.4">
      <c r="A17" s="2240" t="s">
        <v>1939</v>
      </c>
      <c r="B17" s="2241" t="s">
        <v>1940</v>
      </c>
      <c r="C17" s="2242" t="s">
        <v>1941</v>
      </c>
      <c r="D17" s="2243" t="s">
        <v>1929</v>
      </c>
      <c r="E17" s="2244" t="s">
        <v>1930</v>
      </c>
      <c r="F17" s="2245"/>
      <c r="G17" s="2246"/>
      <c r="H17" s="2247" t="s">
        <v>1942</v>
      </c>
      <c r="I17" s="2248" t="s">
        <v>1927</v>
      </c>
      <c r="J17" s="1392"/>
      <c r="K17" s="3062" t="s">
        <v>1943</v>
      </c>
      <c r="L17" s="3063"/>
      <c r="M17" s="3064"/>
      <c r="N17" s="3062" t="s">
        <v>1944</v>
      </c>
      <c r="O17" s="3063"/>
      <c r="P17" s="3064"/>
      <c r="R17" s="2226" t="s">
        <v>1945</v>
      </c>
      <c r="S17" s="64"/>
    </row>
    <row r="18" spans="1:19" ht="14.4">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ht="14.4">
      <c r="A19" s="2257"/>
      <c r="B19" s="50" t="s">
        <v>1928</v>
      </c>
      <c r="C19" s="2968" t="s">
        <v>3166</v>
      </c>
      <c r="D19" s="48">
        <f>ROUND($D$3*E19/$E$3,2)</f>
        <v>18047.39</v>
      </c>
      <c r="E19" s="56">
        <f t="shared" ref="E19:E26" si="1">SUM(F19:G19)</f>
        <v>38862.989800000003</v>
      </c>
      <c r="F19" s="57">
        <f>'数据-基础表'!I14</f>
        <v>38862.989800000003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18047.39</v>
      </c>
      <c r="S19" s="1248">
        <f t="shared" si="5"/>
        <v>38862.989800000003</v>
      </c>
    </row>
    <row r="20" spans="1:19" ht="14.4">
      <c r="A20" s="2261"/>
      <c r="B20" s="50" t="s">
        <v>1956</v>
      </c>
      <c r="C20" s="2968" t="s">
        <v>3167</v>
      </c>
      <c r="D20" s="48">
        <f t="shared" ref="D20:D26" si="6">ROUND($D$3*E20/$E$3,2)</f>
        <v>1302.31</v>
      </c>
      <c r="E20" s="56">
        <f t="shared" si="1"/>
        <v>2804.3640999999993</v>
      </c>
      <c r="F20" s="57">
        <f>'数据-基础表'!K13</f>
        <v>2804.3640999999993</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1302.31</v>
      </c>
      <c r="S20" s="1248">
        <f t="shared" si="5"/>
        <v>2804.3640999999993</v>
      </c>
    </row>
    <row r="21" spans="1:19" ht="14.4">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ht="14.4">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ht="14.4">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ht="14.4">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ht="14.4">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 thickBot="1">
      <c r="A27" s="2261"/>
      <c r="B27" s="48"/>
      <c r="C27" s="2264" t="s">
        <v>1957</v>
      </c>
      <c r="D27" s="1393">
        <f>SUM(D19:D26)</f>
        <v>19349.7</v>
      </c>
      <c r="E27" s="1394">
        <f>IF(SUM(E19:E26)='数据-基础表'!BA5,SUM(E19:E26),IF(F27="地上面积有误","面积有误","地下面积有误"))</f>
        <v>41667.353900000002</v>
      </c>
      <c r="F27" s="1393">
        <f>IF(SUM(F19:F26)=E8,SUM(F19:F26),"地上面积有误")</f>
        <v>41667.353900000002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19349.7</v>
      </c>
      <c r="S27" s="1247">
        <f>IF(SUM(S19:S26)=$E$3,SUM(S19:S26),SUM(S19:S26)&amp;"误差"&amp;ROUND(SUM(S19:S26)-E3,2))</f>
        <v>41667.353900000002</v>
      </c>
    </row>
    <row r="28" spans="1:19" ht="14.4">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7"/>
      <c r="B31" s="2268"/>
      <c r="C31" s="1007" t="s">
        <v>1961</v>
      </c>
      <c r="D31" s="729">
        <f>D27+D30</f>
        <v>19349.7</v>
      </c>
      <c r="E31" s="729">
        <f>E27+E30</f>
        <v>41667.353900000002</v>
      </c>
      <c r="F31" s="730">
        <f>F27+F30</f>
        <v>41667.353900000002</v>
      </c>
      <c r="G31" s="731">
        <f>G27+G30</f>
        <v>0</v>
      </c>
      <c r="H31" s="1392"/>
      <c r="I31" s="1392"/>
      <c r="J31" s="1392"/>
      <c r="K31" s="1392"/>
      <c r="L31" s="1392"/>
      <c r="M31" s="1392"/>
      <c r="N31" s="1392"/>
      <c r="O31" s="1392"/>
      <c r="P31" s="1392"/>
    </row>
    <row r="32" spans="1:19" ht="14.4">
      <c r="A32" s="2231"/>
      <c r="B32" s="2231" t="s">
        <v>1962</v>
      </c>
      <c r="C32" s="2231"/>
      <c r="D32" s="2231"/>
      <c r="E32" s="1274">
        <f>SUMIF(C19:C26,"*住宅*",E19:E26)</f>
        <v>38862.989800000003</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4" priority="1" stopIfTrue="1" operator="containsText" text="面积有误">
      <formula>NOT(ISERROR(SEARCH("面积有误",E27)))</formula>
    </cfRule>
    <cfRule type="cellIs" dxfId="143" priority="3" stopIfTrue="1" operator="equal">
      <formula>"地下面积有误"</formula>
    </cfRule>
  </conditionalFormatting>
  <conditionalFormatting sqref="F27">
    <cfRule type="cellIs" dxfId="14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6" sqref="L26"/>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4" t="s">
        <v>1964</v>
      </c>
      <c r="B2" s="1266">
        <f>项目基本情况!D3</f>
        <v>43712</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4.4"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57.6">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3.8">
      <c r="A6" s="2304" t="str">
        <f>'数据-汇总表'!C19</f>
        <v>住宅</v>
      </c>
      <c r="B6" s="2305" t="str">
        <f>IF(A6=0,"","经营性")</f>
        <v>经营性</v>
      </c>
      <c r="C6" s="2969" t="s">
        <v>3117</v>
      </c>
      <c r="D6" s="1051">
        <f>SUMIF(项目基本情况!D$12:I$12,C6,项目基本情况!D$14:I$14)</f>
        <v>70</v>
      </c>
      <c r="E6" s="1048">
        <f>IF(B6="","",SUMIF(项目基本情况!D$12:I$12,C6,项目基本情况!D$13:I$13))</f>
        <v>63796</v>
      </c>
      <c r="F6" s="72">
        <f>SUMIF(项目基本情况!D$12:I$12,C6,项目基本情况!D$15:I$15)</f>
        <v>55.02</v>
      </c>
      <c r="G6" s="73">
        <f>IF(ISERROR(ROUND(POWER(1+H6,D6-F6)*(POWER(1+H6,F6)-1)/(POWER(1+H6,D6)-1),3)),0,ROUND(POWER(1+H6,D6-F6)*(POWER(1+H6,F6)-1)/(POWER(1+H6,D6)-1),3))</f>
        <v>0.94499999999999995</v>
      </c>
      <c r="H6" s="802">
        <v>0.04</v>
      </c>
      <c r="I6" s="802">
        <v>4.4999999999999998E-2</v>
      </c>
      <c r="J6" s="74">
        <v>8.5000000000000006E-2</v>
      </c>
      <c r="K6" s="1251">
        <f>SUMIF('数据-汇总表'!C$19:C$33,A6,'数据-汇总表'!E$19:E$33)</f>
        <v>38862.989800000003</v>
      </c>
      <c r="L6" s="803">
        <v>5000</v>
      </c>
      <c r="M6" s="75">
        <f t="shared" ref="M6:M14" si="0">ROUND(K6*L6/10000,0)</f>
        <v>19431</v>
      </c>
      <c r="N6" s="801">
        <f>面积明细表!N18</f>
        <v>0.49</v>
      </c>
      <c r="O6" s="75">
        <f>IF($N$5="成新度","——",ROUND(M6*N6,0))</f>
        <v>9521</v>
      </c>
      <c r="P6" s="76">
        <f>IF($N$5="成新度","——",M6-O6)</f>
        <v>9910</v>
      </c>
      <c r="Q6" s="804">
        <v>0.1</v>
      </c>
      <c r="R6" s="77">
        <f ca="1">SUMIF('数据-汇总表'!C$19:C$33,A6,'数据-汇总表'!R$19:R$27)</f>
        <v>18047.39</v>
      </c>
      <c r="S6" s="54">
        <f>IF('数据-汇总表'!$I$17="按面积比例",SUMIF('数据-汇总表'!C$19:C$33,A6,'数据-汇总表'!K$19:K$33),SUMIF('数据-汇总表'!C$19:C$33,A6,'数据-汇总表'!N$19:N$33))</f>
        <v>0</v>
      </c>
      <c r="T6" s="1443">
        <f>ROUND($L$14*S6/10000,0)</f>
        <v>0</v>
      </c>
      <c r="U6" s="78"/>
      <c r="V6" s="79"/>
      <c r="W6" s="79"/>
      <c r="X6" s="1261"/>
      <c r="Y6" s="2970">
        <v>1</v>
      </c>
      <c r="Z6" s="81"/>
      <c r="AA6" s="74"/>
      <c r="AB6" s="74"/>
      <c r="AC6" s="1261"/>
      <c r="AD6" s="82"/>
      <c r="AE6" s="1262">
        <f ca="1">IF(AN6="",0,SUMIF(INDIRECT("'"&amp;AN6&amp;"'"&amp;"!E:E"),$AE$5,INDIRECT("'"&amp;AN6&amp;"'"&amp;"!F:F")))</f>
        <v>0</v>
      </c>
      <c r="AF6" s="1803"/>
      <c r="AG6" s="147">
        <f>IF(AF6="",0,AE6-AF6)</f>
        <v>0</v>
      </c>
      <c r="AH6" s="83"/>
      <c r="AI6" s="85"/>
      <c r="AJ6" s="86"/>
      <c r="AK6" s="87"/>
      <c r="AL6" s="88"/>
      <c r="AM6" s="89"/>
      <c r="AN6" s="2307"/>
      <c r="AO6" s="55" t="e">
        <f ca="1">SUMIF(INDIRECT("'"&amp;AN6&amp;"'"&amp;"!A:A"),"总价",INDIRECT("'"&amp;AN6&amp;"'"&amp;"!B:B"))</f>
        <v>#REF!</v>
      </c>
      <c r="AP6" s="2308">
        <f>IF(C6="住宅",K6*L6,0)</f>
        <v>194314949.00000003</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8">
      <c r="A7" s="2304" t="str">
        <f>'数据-汇总表'!C20</f>
        <v>商业</v>
      </c>
      <c r="B7" s="2305" t="str">
        <f t="shared" ref="B7:B13" si="1">IF(A7=0,"","经营性")</f>
        <v>经营性</v>
      </c>
      <c r="C7" s="2969" t="s">
        <v>1373</v>
      </c>
      <c r="D7" s="1051">
        <f>SUMIF(项目基本情况!D$12:I$12,C7,项目基本情况!D$14:I$14)</f>
        <v>40</v>
      </c>
      <c r="E7" s="1048">
        <f>IF(B7="","",SUMIF(项目基本情况!D$12:I$12,C7,项目基本情况!D$13:I$13))</f>
        <v>52839</v>
      </c>
      <c r="F7" s="72">
        <f>SUMIF(项目基本情况!D$12:I$12,C7,项目基本情况!D$15:I$15)</f>
        <v>25</v>
      </c>
      <c r="G7" s="73">
        <f t="shared" ref="G7:G11" si="2">IF(ISERROR(ROUND(POWER(1+H7,D7-F7)*(POWER(1+H7,F7)-1)/(POWER(1+H7,D7)-1),3)),0,ROUND(POWER(1+H7,D7-F7)*(POWER(1+H7,F7)-1)/(POWER(1+H7,D7)-1),3))</f>
        <v>0.82099999999999995</v>
      </c>
      <c r="H7" s="802">
        <v>0.05</v>
      </c>
      <c r="I7" s="802">
        <v>5.5E-2</v>
      </c>
      <c r="J7" s="74">
        <v>8.5000000000000006E-2</v>
      </c>
      <c r="K7" s="1251">
        <f>SUMIF('数据-汇总表'!C$19:C$33,A7,'数据-汇总表'!E$19:E$33)</f>
        <v>2804.3640999999993</v>
      </c>
      <c r="L7" s="803">
        <v>4000</v>
      </c>
      <c r="M7" s="75">
        <f t="shared" si="0"/>
        <v>1122</v>
      </c>
      <c r="N7" s="801">
        <f>N6</f>
        <v>0.49</v>
      </c>
      <c r="O7" s="75">
        <f t="shared" ref="O7:O14" si="3">IF($N$5="成新度","——",ROUND(M7*N7,0))</f>
        <v>550</v>
      </c>
      <c r="P7" s="76">
        <f t="shared" ref="P7:P14" si="4">IF($N$5="成新度","——",M7-O7)</f>
        <v>572</v>
      </c>
      <c r="Q7" s="804">
        <v>0.15</v>
      </c>
      <c r="R7" s="77">
        <f ca="1">SUMIF('数据-汇总表'!C$19:C$33,A7,'数据-汇总表'!R$19:R$27)</f>
        <v>1302.31</v>
      </c>
      <c r="S7" s="54">
        <f>IF('数据-汇总表'!$I$17="按面积比例",SUMIF('数据-汇总表'!C$19:C$33,A7,'数据-汇总表'!K$19:K$33),SUMIF('数据-汇总表'!C$19:C$33,A7,'数据-汇总表'!N$19:N$33))</f>
        <v>0</v>
      </c>
      <c r="T7" s="1443">
        <f t="shared" ref="T7:T13" si="5">ROUND($L$14*S7/10000,0)</f>
        <v>0</v>
      </c>
      <c r="U7" s="78">
        <f>面积明细表!M9</f>
        <v>12.7</v>
      </c>
      <c r="V7" s="79">
        <v>3.5000000000000003E-2</v>
      </c>
      <c r="W7" s="79">
        <v>0.1</v>
      </c>
      <c r="X7" s="1261"/>
      <c r="Y7" s="2970">
        <v>1</v>
      </c>
      <c r="Z7" s="81"/>
      <c r="AA7" s="74"/>
      <c r="AB7" s="74"/>
      <c r="AC7" s="1261"/>
      <c r="AD7" s="82"/>
      <c r="AE7" s="1262">
        <f t="shared" ref="AE7:AE13" ca="1" si="6">IF(AN7="",0,SUMIF(INDIRECT("'"&amp;AN7&amp;"'"&amp;"!E:E"),$AE$5,INDIRECT("'"&amp;AN7&amp;"'"&amp;"!F:F")))</f>
        <v>23.98</v>
      </c>
      <c r="AF7" s="1803"/>
      <c r="AG7" s="147">
        <f t="shared" ref="AG7:AG13" si="7">IF(AF7="",0,AE7-AF7)</f>
        <v>0</v>
      </c>
      <c r="AH7" s="83"/>
      <c r="AI7" s="85">
        <v>365</v>
      </c>
      <c r="AJ7" s="86"/>
      <c r="AK7" s="87">
        <v>0.01</v>
      </c>
      <c r="AL7" s="88">
        <v>1.5E-3</v>
      </c>
      <c r="AM7" s="89">
        <v>0.01</v>
      </c>
      <c r="AN7" s="2307" t="s">
        <v>3168</v>
      </c>
      <c r="AO7" s="55">
        <f t="shared" ref="AO7:AO13" ca="1" si="8">SUMIF(INDIRECT("'"&amp;AN7&amp;"'"&amp;"!A:A"),"总价",INDIRECT("'"&amp;AN7&amp;"'"&amp;"!B:B"))</f>
        <v>17354</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3.8">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3.8">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3.8">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3.8">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4">
      <c r="A14" s="2309" t="s">
        <v>2009</v>
      </c>
      <c r="B14" s="2305" t="s">
        <v>2010</v>
      </c>
      <c r="C14" s="2310"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8.8">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 thickBot="1">
      <c r="A16" s="2311" t="s">
        <v>2013</v>
      </c>
      <c r="B16" s="97"/>
      <c r="C16" s="1005"/>
      <c r="D16" s="2312"/>
      <c r="E16" s="97"/>
      <c r="F16" s="97"/>
      <c r="G16" s="98">
        <f>ROUND(SUMPRODUCT(G6:G13,K6:K13)/SUMPRODUCT((G6:G13&gt;0)*(K6:K13)),3)</f>
        <v>0.93700000000000006</v>
      </c>
      <c r="H16" s="99">
        <f>ROUND(SUMPRODUCT(H6:H13,K6:K13)/SUMPRODUCT((H6:H13&gt;0)*(K6:K13)),3)</f>
        <v>4.1000000000000002E-2</v>
      </c>
      <c r="I16" s="100"/>
      <c r="J16" s="100"/>
      <c r="K16" s="101">
        <f>SUM(K6:K15)</f>
        <v>41667.353900000002</v>
      </c>
      <c r="L16" s="102">
        <f>ROUND(M16*10000/SUM(K6:K14),0)</f>
        <v>4933</v>
      </c>
      <c r="M16" s="102">
        <f>SUM(M6:M14)</f>
        <v>20553</v>
      </c>
      <c r="N16" s="103">
        <f>ROUND(SUMPRODUCT(M6:M14,N6:N14)/M16,3)</f>
        <v>0.49</v>
      </c>
      <c r="O16" s="102">
        <f>SUM(O6:O14)</f>
        <v>10071</v>
      </c>
      <c r="P16" s="102">
        <f>SUM(P6:P14)</f>
        <v>10482</v>
      </c>
      <c r="Q16" s="104">
        <f>ROUND(SUMPRODUCT(Q6:Q13,K6:K13)/SUMPRODUCT((Q6:Q13&gt;0)*(K6:K13)),2)</f>
        <v>0.1</v>
      </c>
      <c r="R16" s="1255">
        <f ca="1">SUM(R6:R13)</f>
        <v>19349.7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4" t="s">
        <v>2015</v>
      </c>
      <c r="B19" s="112">
        <v>0</v>
      </c>
      <c r="C19" s="2275" t="s">
        <v>2016</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5" t="s">
        <v>2017</v>
      </c>
      <c r="B20" s="113">
        <v>2</v>
      </c>
      <c r="C20" s="2275" t="s">
        <v>2018</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6" t="s">
        <v>2019</v>
      </c>
      <c r="B21" s="113">
        <f>B20*N16</f>
        <v>0.98</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2020</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2021</v>
      </c>
      <c r="B23" s="114">
        <f>B19+B21</f>
        <v>0.98</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1.02</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2026</v>
      </c>
      <c r="B27" s="116">
        <f>ROUND(B29/K16*10000,1)</f>
        <v>204</v>
      </c>
      <c r="C27" s="2971" t="s">
        <v>3169</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2027</v>
      </c>
      <c r="B28" s="119">
        <f>B27</f>
        <v>204</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2028</v>
      </c>
      <c r="B29" s="121">
        <f>ROUND(11678215.5/'数据-基础表'!B3*'数据-取费表'!K16/10000,0)</f>
        <v>850</v>
      </c>
      <c r="C29" s="1763" t="s">
        <v>2029</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2030</v>
      </c>
      <c r="B30" s="724">
        <v>150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2031</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2032</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2033</v>
      </c>
      <c r="B33" s="726">
        <v>0.03</v>
      </c>
      <c r="C33" s="1762" t="s">
        <v>2034</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2035</v>
      </c>
      <c r="B34" s="122">
        <v>0.02</v>
      </c>
      <c r="C34" s="1762" t="s">
        <v>2036</v>
      </c>
      <c r="D34" s="2276" t="s">
        <v>2037</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2038</v>
      </c>
      <c r="B35" s="119">
        <v>200</v>
      </c>
      <c r="C35" s="1762" t="s">
        <v>2039</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2040</v>
      </c>
      <c r="B36" s="123">
        <v>1.4999999999999999E-2</v>
      </c>
      <c r="C36" s="1762" t="s">
        <v>2041</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2042</v>
      </c>
      <c r="B37" s="124">
        <v>1.4999999999999999E-2</v>
      </c>
      <c r="C37" s="1762" t="s">
        <v>2043</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2044</v>
      </c>
      <c r="B38" s="122">
        <v>1.4999999999999999E-2</v>
      </c>
      <c r="C38" s="1762" t="s">
        <v>2043</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2045</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2046</v>
      </c>
      <c r="B40" s="1300">
        <f ca="1">存贷款利率!G1</f>
        <v>4.7500000000000001E-2</v>
      </c>
      <c r="C40" s="1762" t="s">
        <v>2047</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2048</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2049</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2050</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2051</v>
      </c>
      <c r="B44" s="128">
        <v>7.0000000000000007E-2</v>
      </c>
      <c r="C44" s="1762" t="s">
        <v>2052</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2053</v>
      </c>
      <c r="B45" s="126">
        <v>0.03</v>
      </c>
      <c r="C45" s="1763" t="s">
        <v>2054</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2055</v>
      </c>
      <c r="B46" s="126">
        <v>0.02</v>
      </c>
      <c r="C46" s="1763" t="s">
        <v>2056</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2057</v>
      </c>
      <c r="B47" s="129"/>
      <c r="C47" s="1763" t="s">
        <v>2058</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2059</v>
      </c>
      <c r="B48" s="130">
        <v>0.03</v>
      </c>
      <c r="C48" s="1770" t="s">
        <v>2060</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2061</v>
      </c>
      <c r="B49" s="126">
        <v>5.0000000000000001E-4</v>
      </c>
      <c r="C49" s="1770" t="s">
        <v>2062</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2063</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2064</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2065</v>
      </c>
      <c r="B52" s="133">
        <f>SUMIF(A54:A63,B53,B54:B63)</f>
        <v>12</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2066</v>
      </c>
      <c r="B53" s="2334" t="s">
        <v>269</v>
      </c>
      <c r="C53" s="1427" t="s">
        <v>2067</v>
      </c>
      <c r="D53" s="2335" t="s">
        <v>2068</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2069</v>
      </c>
      <c r="B54" s="2972">
        <v>15</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2070</v>
      </c>
      <c r="B55" s="2972">
        <v>12</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2071</v>
      </c>
      <c r="B56" s="2972">
        <v>9</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2072</v>
      </c>
      <c r="B57" s="2972">
        <v>6</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2073</v>
      </c>
      <c r="B58" s="2972">
        <v>3</v>
      </c>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2074</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2075</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2076</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2077</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2078</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2367"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6"/>
    <col min="30" max="16384" width="9" style="2367"/>
  </cols>
  <sheetData>
    <row r="1" spans="1:29" s="2360" customFormat="1" ht="18" thickBot="1">
      <c r="A1" s="3077" t="s">
        <v>2079</v>
      </c>
      <c r="B1" s="3078"/>
      <c r="C1" s="3078"/>
      <c r="D1" s="3078"/>
      <c r="E1" s="3078"/>
      <c r="F1" s="3078"/>
      <c r="G1" s="307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2080</v>
      </c>
      <c r="D2" s="2364"/>
      <c r="E2" s="2365"/>
      <c r="F2" s="2284"/>
      <c r="G2" s="2363" t="s">
        <v>2081</v>
      </c>
      <c r="H2" s="2366"/>
      <c r="I2" s="2366"/>
      <c r="J2" s="2366"/>
      <c r="K2" s="2366"/>
      <c r="L2" s="2366"/>
      <c r="M2" s="2366"/>
      <c r="N2" s="2366"/>
      <c r="O2" s="2366"/>
      <c r="P2" s="2366"/>
      <c r="Q2" s="2366"/>
      <c r="R2" s="2366"/>
    </row>
    <row r="3" spans="1:29" ht="57.6">
      <c r="A3" s="415" t="s">
        <v>2082</v>
      </c>
      <c r="B3" s="1268" t="s">
        <v>2083</v>
      </c>
      <c r="C3" s="2977" t="s">
        <v>3213</v>
      </c>
      <c r="D3" s="2368"/>
      <c r="E3" s="431" t="s">
        <v>2082</v>
      </c>
      <c r="F3" s="2369" t="s">
        <v>2084</v>
      </c>
      <c r="G3" s="2370" t="s">
        <v>2085</v>
      </c>
      <c r="H3" s="2366"/>
      <c r="I3" s="2366"/>
      <c r="J3" s="2366"/>
      <c r="K3" s="2366"/>
      <c r="L3" s="2366"/>
      <c r="M3" s="2366"/>
      <c r="N3" s="2366"/>
      <c r="O3" s="2366"/>
      <c r="P3" s="2366"/>
      <c r="Q3" s="2366"/>
      <c r="R3" s="2366"/>
    </row>
    <row r="4" spans="1:29" ht="43.2">
      <c r="A4" s="431"/>
      <c r="B4" s="1794" t="s">
        <v>2086</v>
      </c>
      <c r="C4" s="2371" t="s">
        <v>3214</v>
      </c>
      <c r="D4" s="2368"/>
      <c r="E4" s="2372"/>
      <c r="F4" s="42" t="s">
        <v>2087</v>
      </c>
      <c r="G4" s="2373" t="s">
        <v>2088</v>
      </c>
      <c r="H4" s="2366"/>
      <c r="I4" s="2366"/>
      <c r="J4" s="2366"/>
      <c r="K4" s="2366"/>
      <c r="L4" s="2366"/>
      <c r="M4" s="2366"/>
      <c r="N4" s="2366"/>
      <c r="O4" s="2366"/>
      <c r="P4" s="2366"/>
      <c r="Q4" s="2366"/>
      <c r="R4" s="2366"/>
    </row>
    <row r="5" spans="1:29" ht="28.8">
      <c r="A5" s="431"/>
      <c r="B5" s="1794" t="s">
        <v>2089</v>
      </c>
      <c r="C5" s="2371"/>
      <c r="D5" s="2368"/>
      <c r="E5" s="2372"/>
      <c r="F5" s="1794" t="s">
        <v>2090</v>
      </c>
      <c r="G5" s="2373" t="s">
        <v>2091</v>
      </c>
      <c r="H5" s="2366"/>
      <c r="I5" s="2366"/>
      <c r="J5" s="2366"/>
      <c r="K5" s="2366"/>
      <c r="L5" s="2366"/>
      <c r="M5" s="2366"/>
      <c r="N5" s="2366"/>
      <c r="O5" s="2366"/>
      <c r="P5" s="2366"/>
      <c r="Q5" s="2366"/>
      <c r="R5" s="2366"/>
    </row>
    <row r="6" spans="1:29" ht="57.6">
      <c r="A6" s="431"/>
      <c r="B6" s="1794" t="s">
        <v>2092</v>
      </c>
      <c r="C6" s="2373" t="s">
        <v>2088</v>
      </c>
      <c r="D6" s="2368"/>
      <c r="E6" s="2372"/>
      <c r="F6" s="1794" t="s">
        <v>2093</v>
      </c>
      <c r="G6" s="2373" t="s">
        <v>2094</v>
      </c>
      <c r="H6" s="2366"/>
      <c r="I6" s="2366"/>
      <c r="J6" s="2366"/>
      <c r="K6" s="2366"/>
      <c r="L6" s="2366"/>
      <c r="M6" s="2366"/>
      <c r="N6" s="2366"/>
      <c r="O6" s="2366"/>
      <c r="P6" s="2366"/>
      <c r="Q6" s="2366"/>
      <c r="R6" s="2366"/>
    </row>
    <row r="7" spans="1:29" ht="43.8" thickBot="1">
      <c r="A7" s="431"/>
      <c r="B7" s="1794" t="s">
        <v>2090</v>
      </c>
      <c r="C7" s="2978" t="s">
        <v>3215</v>
      </c>
      <c r="D7" s="2374"/>
      <c r="E7" s="2375"/>
      <c r="F7" s="2376" t="s">
        <v>2095</v>
      </c>
      <c r="G7" s="2377" t="s">
        <v>2096</v>
      </c>
      <c r="H7" s="2366"/>
      <c r="I7" s="2366"/>
      <c r="J7" s="2366"/>
      <c r="K7" s="2366"/>
      <c r="L7" s="2366"/>
      <c r="M7" s="2366"/>
      <c r="N7" s="2366"/>
      <c r="O7" s="2366"/>
      <c r="P7" s="2366"/>
      <c r="Q7" s="2366"/>
      <c r="R7" s="2366"/>
    </row>
    <row r="8" spans="1:29" ht="14.4">
      <c r="A8" s="431"/>
      <c r="B8" s="1794" t="s">
        <v>2093</v>
      </c>
      <c r="C8" s="2978" t="s">
        <v>3216</v>
      </c>
      <c r="D8" s="2374"/>
      <c r="E8" s="2374"/>
      <c r="F8" s="1133"/>
      <c r="G8" s="1133"/>
      <c r="H8" s="2366"/>
      <c r="I8" s="2366"/>
      <c r="J8" s="2366"/>
      <c r="K8" s="2366"/>
      <c r="L8" s="2366"/>
      <c r="M8" s="2366"/>
      <c r="N8" s="2366"/>
      <c r="O8" s="2366"/>
      <c r="P8" s="2366"/>
      <c r="Q8" s="2366"/>
      <c r="R8" s="2366"/>
    </row>
    <row r="9" spans="1:29" ht="14.4">
      <c r="A9" s="431"/>
      <c r="B9" s="1794" t="s">
        <v>2097</v>
      </c>
      <c r="C9" s="2979" t="s">
        <v>3217</v>
      </c>
      <c r="D9" s="2368"/>
      <c r="E9" s="2374"/>
      <c r="F9" s="1133"/>
      <c r="G9" s="1133"/>
      <c r="H9" s="2366"/>
      <c r="I9" s="2366"/>
      <c r="J9" s="2366"/>
      <c r="K9" s="2366"/>
      <c r="L9" s="2366"/>
      <c r="M9" s="2366"/>
      <c r="N9" s="2366"/>
      <c r="O9" s="2366"/>
      <c r="P9" s="2366"/>
      <c r="Q9" s="2366"/>
      <c r="R9" s="2366"/>
    </row>
    <row r="10" spans="1:29" s="117" customFormat="1" ht="15" thickBot="1">
      <c r="A10" s="2378"/>
      <c r="B10" s="2379" t="s">
        <v>2098</v>
      </c>
      <c r="C10" s="2380"/>
      <c r="D10" s="2368"/>
      <c r="E10" s="2368"/>
      <c r="F10" s="1133"/>
      <c r="G10" s="1133"/>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c r="A11" s="2384"/>
      <c r="B11" s="2374"/>
      <c r="C11" s="2368"/>
      <c r="D11" s="2368"/>
      <c r="E11" s="2368"/>
      <c r="F11" s="2374"/>
      <c r="G11" s="1151"/>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7.399999999999999">
      <c r="A12" s="2384"/>
      <c r="B12" s="2374"/>
      <c r="C12" s="2368"/>
      <c r="D12" s="2385"/>
      <c r="E12" s="2368"/>
      <c r="F12" s="2374"/>
      <c r="G12" s="1151"/>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8" thickBot="1">
      <c r="A13" s="2391" t="s">
        <v>2099</v>
      </c>
      <c r="B13" s="2385"/>
      <c r="C13" s="2385"/>
      <c r="D13" s="2392"/>
      <c r="E13" s="2385"/>
      <c r="F13" s="2385"/>
      <c r="G13" s="2385"/>
    </row>
    <row r="14" spans="1:29" ht="15" thickBot="1">
      <c r="A14" s="2396"/>
      <c r="B14" s="2397"/>
      <c r="C14" s="2398" t="s">
        <v>2100</v>
      </c>
      <c r="D14" s="2368"/>
      <c r="E14" s="2399"/>
      <c r="F14" s="2399"/>
      <c r="G14" s="2363" t="s">
        <v>2101</v>
      </c>
    </row>
    <row r="15" spans="1:29" ht="55.2">
      <c r="A15" s="68" t="s">
        <v>2102</v>
      </c>
      <c r="B15" s="1267" t="s">
        <v>2083</v>
      </c>
      <c r="C15" s="2400" t="str">
        <f>C3</f>
        <v>估价对象周边居住用地比例、居住小区规模和社区发展完善程度，综合评价居住社区成熟度较好</v>
      </c>
      <c r="D15" s="2368"/>
      <c r="E15" s="2401" t="s">
        <v>2103</v>
      </c>
      <c r="F15" s="1267" t="s">
        <v>2104</v>
      </c>
      <c r="G15" s="135" t="str">
        <f>G3</f>
        <v>估价对象位于XX开发区，园区建设成熟度XX，产业集聚程度XX</v>
      </c>
    </row>
    <row r="16" spans="1:29" ht="41.4">
      <c r="A16" s="645"/>
      <c r="B16" s="2402" t="s">
        <v>2086</v>
      </c>
      <c r="C16" s="2403" t="str">
        <f>C4</f>
        <v>估价对象位于XX商圈，周边商业氛围成熟，人流量大，商业繁华度较好</v>
      </c>
      <c r="D16" s="2368"/>
      <c r="E16" s="2404"/>
      <c r="F16" s="2405" t="s">
        <v>2087</v>
      </c>
      <c r="G16" s="136" t="str">
        <f>G4</f>
        <v>估价对象周边道路状况、公共交通通达情况、停车便捷程度，综合评价交通便捷度较好</v>
      </c>
    </row>
    <row r="17" spans="1:18" ht="14.4">
      <c r="A17" s="645"/>
      <c r="B17" s="2402" t="s">
        <v>2089</v>
      </c>
      <c r="C17" s="2403">
        <f>C5</f>
        <v>0</v>
      </c>
      <c r="D17" s="2374"/>
      <c r="E17" s="2404"/>
      <c r="F17" s="2405" t="s">
        <v>2105</v>
      </c>
      <c r="G17" s="1568"/>
    </row>
    <row r="18" spans="1:18" ht="55.2">
      <c r="A18" s="645"/>
      <c r="B18" s="2405" t="s">
        <v>2092</v>
      </c>
      <c r="C18" s="136" t="str">
        <f>C6</f>
        <v>估价对象周边道路状况、公共交通通达情况、停车便捷程度，综合评价交通便捷度较好</v>
      </c>
      <c r="D18" s="2374"/>
      <c r="E18" s="2404"/>
      <c r="F18" s="2405" t="s">
        <v>2095</v>
      </c>
      <c r="G18" s="136" t="str">
        <f>G7</f>
        <v>该园区内是否有污染型企业，绿化情况，卫生条件，整体环境状况判断</v>
      </c>
    </row>
    <row r="19" spans="1:18" ht="27.6">
      <c r="A19" s="645"/>
      <c r="B19" s="2405" t="s">
        <v>2106</v>
      </c>
      <c r="C19" s="1568"/>
      <c r="D19" s="2368"/>
      <c r="E19" s="2404"/>
      <c r="F19" s="1794" t="s">
        <v>2090</v>
      </c>
      <c r="G19" s="136" t="str">
        <f>G5</f>
        <v>估价对象所在区域公共配套设施齐备情况</v>
      </c>
    </row>
    <row r="20" spans="1:18" ht="27.6">
      <c r="A20" s="645"/>
      <c r="B20" s="2405" t="s">
        <v>2107</v>
      </c>
      <c r="C20" s="2403" t="str">
        <f>C9</f>
        <v>较好</v>
      </c>
      <c r="D20" s="2374"/>
      <c r="E20" s="2404"/>
      <c r="F20" s="1794" t="s">
        <v>2108</v>
      </c>
      <c r="G20" s="136" t="str">
        <f>G6</f>
        <v>估价对象所在区域基础设施水平</v>
      </c>
    </row>
    <row r="21" spans="1:18" ht="27.6">
      <c r="A21" s="645"/>
      <c r="B21" s="1794" t="s">
        <v>2090</v>
      </c>
      <c r="C21" s="136" t="str">
        <f>C7</f>
        <v>估价对象所在区域公共配套设施齐备情况较好</v>
      </c>
      <c r="D21" s="2368"/>
      <c r="E21" s="2404"/>
      <c r="F21" s="2405" t="s">
        <v>2109</v>
      </c>
      <c r="G21" s="2406"/>
    </row>
    <row r="22" spans="1:18" ht="13.5" customHeight="1">
      <c r="A22" s="645"/>
      <c r="B22" s="1794" t="s">
        <v>2093</v>
      </c>
      <c r="C22" s="136" t="str">
        <f>C8</f>
        <v>六通</v>
      </c>
      <c r="D22" s="2368"/>
      <c r="E22" s="2404"/>
      <c r="F22" s="2405" t="s">
        <v>2098</v>
      </c>
      <c r="G22" s="1568"/>
    </row>
    <row r="23" spans="1:18" s="2366" customFormat="1" ht="15" thickBot="1">
      <c r="A23" s="645"/>
      <c r="B23" s="2405" t="s">
        <v>2109</v>
      </c>
      <c r="C23" s="2406"/>
      <c r="D23" s="2393"/>
      <c r="E23" s="2407"/>
      <c r="F23" s="2408" t="s">
        <v>2110</v>
      </c>
      <c r="G23" s="2409"/>
      <c r="H23" s="2393"/>
      <c r="I23" s="2394"/>
      <c r="J23" s="2393"/>
      <c r="K23" s="2393"/>
      <c r="L23" s="2394"/>
      <c r="M23" s="2393"/>
      <c r="N23" s="2393"/>
      <c r="O23" s="2394"/>
      <c r="P23" s="2393"/>
      <c r="Q23" s="2393"/>
      <c r="R23" s="2395"/>
    </row>
    <row r="24" spans="1:18" s="2366" customFormat="1" ht="15" thickBot="1">
      <c r="A24" s="2410"/>
      <c r="B24" s="2408" t="s">
        <v>2111</v>
      </c>
      <c r="C24" s="137">
        <f>C10</f>
        <v>0</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41667.353900000002</v>
      </c>
      <c r="C1" s="1741"/>
      <c r="D1" s="1741"/>
      <c r="E1" s="1741"/>
      <c r="F1" s="1741"/>
      <c r="G1" s="1739"/>
    </row>
    <row r="2" spans="1:10" ht="16.2">
      <c r="A2" s="1742" t="s">
        <v>1349</v>
      </c>
      <c r="B2" s="1742">
        <f>SUM(C14:C23)</f>
        <v>19349.7</v>
      </c>
      <c r="C2" s="1741"/>
      <c r="D2" s="1741"/>
      <c r="E2" s="1741"/>
      <c r="F2" s="1741"/>
      <c r="G2" s="1739"/>
    </row>
    <row r="3" spans="1:10" ht="15.6">
      <c r="A3" s="1742" t="s">
        <v>1358</v>
      </c>
      <c r="B3" s="1743">
        <f>项目基本情况!D3</f>
        <v>43712</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208676</v>
      </c>
      <c r="C5" s="1742">
        <f ca="1">ROUND(B5*10000/$B$1,0)</f>
        <v>50081</v>
      </c>
      <c r="D5" s="1742">
        <f ca="1">ROUND(B5*10000/$B$2,0)</f>
        <v>107845</v>
      </c>
      <c r="E5" s="1741"/>
      <c r="F5" s="1739"/>
      <c r="G5" s="1739"/>
    </row>
    <row r="6" spans="1:10" ht="15.6">
      <c r="A6" s="1742" t="s">
        <v>1352</v>
      </c>
      <c r="B6" s="1742">
        <f ca="1">SUM(G14:G23)</f>
        <v>208676</v>
      </c>
      <c r="C6" s="1742">
        <f ca="1">ROUND(B6*10000/$B$1,0)</f>
        <v>50081</v>
      </c>
      <c r="D6" s="1742">
        <f ca="1">ROUND(B6*10000/$B$2,0)</f>
        <v>107845</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41667.353900000002</v>
      </c>
      <c r="C14" s="1740">
        <f>结果表!C118</f>
        <v>19349.7</v>
      </c>
      <c r="D14" s="1740">
        <f ca="1">结果表!H118</f>
        <v>208676</v>
      </c>
      <c r="E14" s="1740">
        <f ca="1">ROUND(D14*10000/B14,0)</f>
        <v>50081</v>
      </c>
      <c r="F14" s="1740">
        <f ca="1">ROUND(D14*10000/C14,0)</f>
        <v>107845</v>
      </c>
      <c r="G14" s="1740">
        <f ca="1">结果表!D122</f>
        <v>208676</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480"/>
  <sheetViews>
    <sheetView workbookViewId="0">
      <selection activeCell="F41" sqref="F1:F41"/>
    </sheetView>
  </sheetViews>
  <sheetFormatPr defaultRowHeight="14.4"/>
  <cols>
    <col min="1" max="1" width="14.6640625" customWidth="1"/>
    <col min="6" max="6" width="6.5546875" customWidth="1"/>
    <col min="10" max="10" width="14.77734375" customWidth="1"/>
    <col min="11" max="11" width="13.44140625" customWidth="1"/>
    <col min="14" max="14" width="6.6640625" customWidth="1"/>
  </cols>
  <sheetData>
    <row r="1" spans="1:18">
      <c r="A1" s="2953" t="s">
        <v>3064</v>
      </c>
      <c r="B1" s="2953" t="s">
        <v>3065</v>
      </c>
      <c r="C1" s="2953" t="s">
        <v>3066</v>
      </c>
      <c r="D1" s="2953" t="s">
        <v>3067</v>
      </c>
      <c r="E1" s="2953" t="s">
        <v>3068</v>
      </c>
      <c r="F1" s="2956" t="s">
        <v>3116</v>
      </c>
      <c r="G1" s="2959" t="s">
        <v>3135</v>
      </c>
    </row>
    <row r="2" spans="1:18">
      <c r="A2" s="2953" t="s">
        <v>3069</v>
      </c>
      <c r="B2" s="2954" t="s">
        <v>3070</v>
      </c>
      <c r="C2" s="2960" t="s">
        <v>3136</v>
      </c>
      <c r="D2" s="2954" t="s">
        <v>3071</v>
      </c>
      <c r="E2" s="2954">
        <v>106.04</v>
      </c>
      <c r="F2" s="2958" t="s">
        <v>3119</v>
      </c>
      <c r="G2" s="2958" t="s">
        <v>3137</v>
      </c>
    </row>
    <row r="3" spans="1:18">
      <c r="A3" s="2953" t="s">
        <v>3069</v>
      </c>
      <c r="B3" s="2954" t="s">
        <v>3072</v>
      </c>
      <c r="C3" s="2954">
        <v>1</v>
      </c>
      <c r="D3" s="2954" t="s">
        <v>3071</v>
      </c>
      <c r="E3" s="2954">
        <v>26.703900000000001</v>
      </c>
      <c r="F3" s="2958" t="s">
        <v>3119</v>
      </c>
      <c r="G3" s="2958" t="s">
        <v>3137</v>
      </c>
    </row>
    <row r="4" spans="1:18">
      <c r="A4" s="2953" t="s">
        <v>3069</v>
      </c>
      <c r="B4" s="2954" t="s">
        <v>3073</v>
      </c>
      <c r="C4" s="2954">
        <v>1</v>
      </c>
      <c r="D4" s="2954" t="s">
        <v>3071</v>
      </c>
      <c r="E4" s="2954">
        <v>21.8947</v>
      </c>
      <c r="F4" s="2958" t="s">
        <v>3119</v>
      </c>
      <c r="G4" s="2958" t="s">
        <v>3137</v>
      </c>
      <c r="K4" s="2955" t="s">
        <v>3139</v>
      </c>
      <c r="L4" s="2955" t="s">
        <v>3140</v>
      </c>
      <c r="M4" s="2955" t="s">
        <v>1350</v>
      </c>
    </row>
    <row r="5" spans="1:18">
      <c r="A5" s="2953" t="s">
        <v>3069</v>
      </c>
      <c r="B5" s="2954" t="s">
        <v>3074</v>
      </c>
      <c r="C5" s="2954">
        <v>1</v>
      </c>
      <c r="D5" s="2954" t="s">
        <v>3071</v>
      </c>
      <c r="E5" s="2954">
        <v>21.8947</v>
      </c>
      <c r="F5" s="2958" t="s">
        <v>3119</v>
      </c>
      <c r="G5" s="2958" t="s">
        <v>3137</v>
      </c>
      <c r="J5" s="2955" t="s">
        <v>3138</v>
      </c>
      <c r="K5">
        <f>SUM(E18:E34)+E16</f>
        <v>1062.5671</v>
      </c>
      <c r="L5">
        <v>1</v>
      </c>
      <c r="M5">
        <v>14.5</v>
      </c>
    </row>
    <row r="6" spans="1:18">
      <c r="A6" s="2953" t="s">
        <v>3069</v>
      </c>
      <c r="B6" s="2954" t="s">
        <v>3075</v>
      </c>
      <c r="C6" s="2954">
        <v>1</v>
      </c>
      <c r="D6" s="2954" t="s">
        <v>3071</v>
      </c>
      <c r="E6" s="2954">
        <v>26.703900000000001</v>
      </c>
      <c r="F6" s="2958" t="s">
        <v>3119</v>
      </c>
      <c r="G6" s="2958" t="s">
        <v>3137</v>
      </c>
      <c r="J6" s="2955" t="s">
        <v>3141</v>
      </c>
      <c r="K6">
        <f>SUM(E9:E15)+E17</f>
        <v>1424.2509999999997</v>
      </c>
      <c r="L6">
        <v>0.85</v>
      </c>
      <c r="M6">
        <f>ROUND(L6*$M$5,1)</f>
        <v>12.3</v>
      </c>
    </row>
    <row r="7" spans="1:18">
      <c r="A7" s="2953" t="s">
        <v>3069</v>
      </c>
      <c r="B7" s="2953" t="s">
        <v>3076</v>
      </c>
      <c r="C7" s="2953">
        <v>1</v>
      </c>
      <c r="D7" s="2953" t="s">
        <v>3071</v>
      </c>
      <c r="E7" s="2953">
        <v>18.966100000000001</v>
      </c>
      <c r="F7" s="2958" t="s">
        <v>3119</v>
      </c>
      <c r="G7" s="2958" t="s">
        <v>3137</v>
      </c>
      <c r="J7" s="2955" t="s">
        <v>3142</v>
      </c>
      <c r="K7">
        <f>SUM(E3:E8)+E35</f>
        <v>211.506</v>
      </c>
      <c r="L7">
        <v>0.6</v>
      </c>
      <c r="M7">
        <f>ROUND(L7*$M$5,1)</f>
        <v>8.6999999999999993</v>
      </c>
    </row>
    <row r="8" spans="1:18">
      <c r="A8" s="2953" t="s">
        <v>3069</v>
      </c>
      <c r="B8" s="2953" t="s">
        <v>3077</v>
      </c>
      <c r="C8" s="2953">
        <v>1</v>
      </c>
      <c r="D8" s="2953" t="s">
        <v>3071</v>
      </c>
      <c r="E8" s="2953">
        <v>53.774500000000003</v>
      </c>
      <c r="F8" s="2958" t="s">
        <v>3119</v>
      </c>
      <c r="G8" s="2958" t="s">
        <v>3137</v>
      </c>
      <c r="J8" s="2955" t="s">
        <v>3143</v>
      </c>
      <c r="K8">
        <f>E2</f>
        <v>106.04</v>
      </c>
      <c r="L8">
        <f>L7*0.85</f>
        <v>0.51</v>
      </c>
      <c r="M8">
        <f>ROUND(L8*$M$5,1)</f>
        <v>7.4</v>
      </c>
    </row>
    <row r="9" spans="1:18">
      <c r="A9" s="2953" t="s">
        <v>3078</v>
      </c>
      <c r="B9" s="2953" t="s">
        <v>3079</v>
      </c>
      <c r="C9" s="2960" t="s">
        <v>3136</v>
      </c>
      <c r="D9" s="2953" t="s">
        <v>3071</v>
      </c>
      <c r="E9" s="2953">
        <v>176.24340000000001</v>
      </c>
      <c r="F9" s="2958" t="s">
        <v>3119</v>
      </c>
      <c r="G9" s="2958" t="s">
        <v>3134</v>
      </c>
      <c r="K9">
        <f>SUM(K5:K8)</f>
        <v>2804.3640999999993</v>
      </c>
      <c r="L9">
        <f>ROUND((L5*K5+L6*K6+L7*K7+L8*K8)/K9,0)</f>
        <v>1</v>
      </c>
      <c r="M9">
        <f>ROUND((M5*K5+M6*K6+M7*K7+M8*K8)/K9,1)</f>
        <v>12.7</v>
      </c>
      <c r="O9">
        <f>M9/M5</f>
        <v>0.87586206896551722</v>
      </c>
      <c r="Q9" s="2955" t="s">
        <v>3162</v>
      </c>
      <c r="R9" s="2967">
        <v>0.2</v>
      </c>
    </row>
    <row r="10" spans="1:18">
      <c r="A10" s="2953" t="s">
        <v>3078</v>
      </c>
      <c r="B10" s="2953" t="s">
        <v>3080</v>
      </c>
      <c r="C10" s="2960" t="s">
        <v>3136</v>
      </c>
      <c r="D10" s="2953" t="s">
        <v>3071</v>
      </c>
      <c r="E10" s="2953">
        <v>140.1352</v>
      </c>
      <c r="F10" s="2958" t="s">
        <v>3119</v>
      </c>
      <c r="G10" s="2958" t="s">
        <v>3134</v>
      </c>
      <c r="Q10" s="2955" t="s">
        <v>3163</v>
      </c>
      <c r="R10" s="2967">
        <v>0.35</v>
      </c>
    </row>
    <row r="11" spans="1:18">
      <c r="A11" s="2953" t="s">
        <v>3078</v>
      </c>
      <c r="B11" s="2953" t="s">
        <v>3081</v>
      </c>
      <c r="C11" s="2960" t="s">
        <v>3136</v>
      </c>
      <c r="D11" s="2953" t="s">
        <v>3071</v>
      </c>
      <c r="E11" s="2953">
        <v>202.7688</v>
      </c>
      <c r="F11" s="2958" t="s">
        <v>3119</v>
      </c>
      <c r="G11" s="2958" t="s">
        <v>3134</v>
      </c>
    </row>
    <row r="12" spans="1:18">
      <c r="A12" s="2953" t="s">
        <v>3078</v>
      </c>
      <c r="B12" s="2953" t="s">
        <v>3082</v>
      </c>
      <c r="C12" s="2960" t="s">
        <v>3136</v>
      </c>
      <c r="D12" s="2953" t="s">
        <v>3071</v>
      </c>
      <c r="E12" s="2953">
        <v>202.03460000000001</v>
      </c>
      <c r="F12" s="2958" t="s">
        <v>3119</v>
      </c>
      <c r="G12" s="2958" t="s">
        <v>3134</v>
      </c>
      <c r="J12" s="2955" t="s">
        <v>3154</v>
      </c>
      <c r="K12">
        <f>SUM(E36:E391)</f>
        <v>38862.989800000003</v>
      </c>
      <c r="P12" s="2955"/>
    </row>
    <row r="13" spans="1:18">
      <c r="A13" s="2953" t="s">
        <v>3078</v>
      </c>
      <c r="B13" s="2953" t="s">
        <v>3083</v>
      </c>
      <c r="C13" s="2960" t="s">
        <v>3136</v>
      </c>
      <c r="D13" s="2953" t="s">
        <v>3071</v>
      </c>
      <c r="E13" s="2953">
        <v>235.77869999999999</v>
      </c>
      <c r="F13" s="2958" t="s">
        <v>3119</v>
      </c>
      <c r="G13" s="2958" t="s">
        <v>3134</v>
      </c>
    </row>
    <row r="14" spans="1:18">
      <c r="A14" s="2953" t="s">
        <v>3078</v>
      </c>
      <c r="B14" s="2953" t="s">
        <v>3084</v>
      </c>
      <c r="C14" s="2960" t="s">
        <v>3136</v>
      </c>
      <c r="D14" s="2953" t="s">
        <v>3071</v>
      </c>
      <c r="E14" s="2953">
        <v>129.88579999999999</v>
      </c>
      <c r="F14" s="2958" t="s">
        <v>3119</v>
      </c>
      <c r="G14" s="2958" t="s">
        <v>3134</v>
      </c>
      <c r="L14" s="2955" t="s">
        <v>3158</v>
      </c>
      <c r="M14" s="2955" t="s">
        <v>3160</v>
      </c>
      <c r="N14" s="2955" t="s">
        <v>3164</v>
      </c>
    </row>
    <row r="15" spans="1:18">
      <c r="A15" s="2953" t="s">
        <v>3078</v>
      </c>
      <c r="B15" s="2953" t="s">
        <v>3085</v>
      </c>
      <c r="C15" s="2960" t="s">
        <v>3136</v>
      </c>
      <c r="D15" s="2953" t="s">
        <v>3071</v>
      </c>
      <c r="E15" s="2953">
        <v>166.09620000000001</v>
      </c>
      <c r="F15" s="2958" t="s">
        <v>3119</v>
      </c>
      <c r="G15" s="2958" t="s">
        <v>3134</v>
      </c>
      <c r="J15" s="2955" t="s">
        <v>3155</v>
      </c>
      <c r="K15">
        <v>11003.15</v>
      </c>
      <c r="L15">
        <v>32</v>
      </c>
      <c r="M15">
        <v>31</v>
      </c>
      <c r="N15" s="2967">
        <f>ROUND($R$9+M15/L15*$R$10,2)</f>
        <v>0.54</v>
      </c>
    </row>
    <row r="16" spans="1:18">
      <c r="A16" s="2953" t="s">
        <v>3078</v>
      </c>
      <c r="B16" s="2953" t="s">
        <v>3086</v>
      </c>
      <c r="C16" s="2953">
        <v>1</v>
      </c>
      <c r="D16" s="2953" t="s">
        <v>3071</v>
      </c>
      <c r="E16" s="2953">
        <v>26.5504</v>
      </c>
      <c r="F16" s="2958" t="s">
        <v>3119</v>
      </c>
      <c r="G16" s="2958" t="s">
        <v>3134</v>
      </c>
      <c r="J16" s="2955" t="s">
        <v>3156</v>
      </c>
      <c r="K16">
        <v>18827.679100000001</v>
      </c>
      <c r="L16">
        <v>41</v>
      </c>
      <c r="M16">
        <v>32</v>
      </c>
      <c r="N16" s="2967">
        <f>ROUND($R$9+M16/L16*$R$10,2)</f>
        <v>0.47</v>
      </c>
    </row>
    <row r="17" spans="1:14">
      <c r="A17" s="2953" t="s">
        <v>3078</v>
      </c>
      <c r="B17" s="2953" t="s">
        <v>3087</v>
      </c>
      <c r="C17" s="2960" t="s">
        <v>3136</v>
      </c>
      <c r="D17" s="2953" t="s">
        <v>3071</v>
      </c>
      <c r="E17" s="2953">
        <v>171.3083</v>
      </c>
      <c r="F17" s="2958" t="s">
        <v>3119</v>
      </c>
      <c r="G17" s="2958" t="s">
        <v>3134</v>
      </c>
      <c r="J17" s="2955" t="s">
        <v>3157</v>
      </c>
      <c r="K17">
        <v>18831.092400000001</v>
      </c>
      <c r="L17">
        <v>41</v>
      </c>
      <c r="M17">
        <v>32</v>
      </c>
      <c r="N17" s="2967">
        <f>ROUND($R$9+M17/L17*$R$10,2)</f>
        <v>0.47</v>
      </c>
    </row>
    <row r="18" spans="1:14">
      <c r="A18" s="2953" t="s">
        <v>3078</v>
      </c>
      <c r="B18" s="2953" t="s">
        <v>3088</v>
      </c>
      <c r="C18" s="2953">
        <v>1</v>
      </c>
      <c r="D18" s="2953" t="s">
        <v>3071</v>
      </c>
      <c r="E18" s="2953">
        <v>68.550399999999996</v>
      </c>
      <c r="F18" s="2958" t="s">
        <v>3119</v>
      </c>
      <c r="G18" s="2958" t="s">
        <v>3134</v>
      </c>
      <c r="K18">
        <f>SUM(K15:K17)</f>
        <v>48661.921500000004</v>
      </c>
      <c r="N18" s="2967">
        <f>ROUND((K15*N15+K16*N16+K17*N17)/K18,2)</f>
        <v>0.49</v>
      </c>
    </row>
    <row r="19" spans="1:14">
      <c r="A19" s="2953" t="s">
        <v>3078</v>
      </c>
      <c r="B19" s="2953" t="s">
        <v>3089</v>
      </c>
      <c r="C19" s="2953">
        <v>1</v>
      </c>
      <c r="D19" s="2953" t="s">
        <v>3071</v>
      </c>
      <c r="E19" s="2953">
        <v>30.212499999999999</v>
      </c>
      <c r="F19" s="2958" t="s">
        <v>3119</v>
      </c>
      <c r="G19" s="2958" t="s">
        <v>3134</v>
      </c>
    </row>
    <row r="20" spans="1:14">
      <c r="A20" s="2953" t="s">
        <v>3078</v>
      </c>
      <c r="B20" s="2953" t="s">
        <v>3090</v>
      </c>
      <c r="C20" s="2953">
        <v>1</v>
      </c>
      <c r="D20" s="2953" t="s">
        <v>3071</v>
      </c>
      <c r="E20" s="2953">
        <v>19.767199999999999</v>
      </c>
      <c r="F20" s="2958" t="s">
        <v>3119</v>
      </c>
      <c r="G20" s="2958" t="s">
        <v>3134</v>
      </c>
    </row>
    <row r="21" spans="1:14">
      <c r="A21" s="2953" t="s">
        <v>3078</v>
      </c>
      <c r="B21" s="2953" t="s">
        <v>3091</v>
      </c>
      <c r="C21" s="2953">
        <v>1</v>
      </c>
      <c r="D21" s="2953" t="s">
        <v>3071</v>
      </c>
      <c r="E21" s="2953">
        <v>77.243799999999993</v>
      </c>
      <c r="F21" s="2958" t="s">
        <v>3119</v>
      </c>
      <c r="G21" s="2958" t="s">
        <v>3134</v>
      </c>
    </row>
    <row r="22" spans="1:14">
      <c r="A22" s="2953" t="s">
        <v>3078</v>
      </c>
      <c r="B22" s="2953" t="s">
        <v>3092</v>
      </c>
      <c r="C22" s="2953">
        <v>1</v>
      </c>
      <c r="D22" s="2953" t="s">
        <v>3071</v>
      </c>
      <c r="E22" s="2953">
        <v>116.905</v>
      </c>
      <c r="F22" s="2958" t="s">
        <v>3119</v>
      </c>
      <c r="G22" s="2958" t="s">
        <v>3134</v>
      </c>
    </row>
    <row r="23" spans="1:14">
      <c r="A23" s="2953" t="s">
        <v>3078</v>
      </c>
      <c r="B23" s="2953" t="s">
        <v>3093</v>
      </c>
      <c r="C23" s="2953">
        <v>1</v>
      </c>
      <c r="D23" s="2953" t="s">
        <v>3071</v>
      </c>
      <c r="E23" s="2953">
        <v>18.616</v>
      </c>
      <c r="F23" s="2958" t="s">
        <v>3119</v>
      </c>
      <c r="G23" s="2958" t="s">
        <v>3134</v>
      </c>
    </row>
    <row r="24" spans="1:14">
      <c r="A24" s="2953" t="s">
        <v>3078</v>
      </c>
      <c r="B24" s="2953" t="s">
        <v>3094</v>
      </c>
      <c r="C24" s="2953">
        <v>1</v>
      </c>
      <c r="D24" s="2953" t="s">
        <v>3071</v>
      </c>
      <c r="E24" s="2953">
        <v>116.09350000000001</v>
      </c>
      <c r="F24" s="2958" t="s">
        <v>3119</v>
      </c>
      <c r="G24" s="2958" t="s">
        <v>3134</v>
      </c>
    </row>
    <row r="25" spans="1:14">
      <c r="A25" s="2953" t="s">
        <v>3078</v>
      </c>
      <c r="B25" s="2953" t="s">
        <v>3095</v>
      </c>
      <c r="C25" s="2953">
        <v>1</v>
      </c>
      <c r="D25" s="2953" t="s">
        <v>3071</v>
      </c>
      <c r="E25" s="2953">
        <v>42.157899999999998</v>
      </c>
      <c r="F25" s="2958" t="s">
        <v>3119</v>
      </c>
      <c r="G25" s="2958" t="s">
        <v>3134</v>
      </c>
    </row>
    <row r="26" spans="1:14">
      <c r="A26" s="2953" t="s">
        <v>3078</v>
      </c>
      <c r="B26" s="2953" t="s">
        <v>3096</v>
      </c>
      <c r="C26" s="2953">
        <v>1</v>
      </c>
      <c r="D26" s="2953" t="s">
        <v>3071</v>
      </c>
      <c r="E26" s="2953">
        <v>64.911299999999997</v>
      </c>
      <c r="F26" s="2958" t="s">
        <v>3119</v>
      </c>
      <c r="G26" s="2958" t="s">
        <v>3134</v>
      </c>
    </row>
    <row r="27" spans="1:14">
      <c r="A27" s="2953" t="s">
        <v>3078</v>
      </c>
      <c r="B27" s="2953" t="s">
        <v>3097</v>
      </c>
      <c r="C27" s="2953">
        <v>1</v>
      </c>
      <c r="D27" s="2953" t="s">
        <v>3071</v>
      </c>
      <c r="E27" s="2953">
        <v>49.714799999999997</v>
      </c>
      <c r="F27" s="2958" t="s">
        <v>3119</v>
      </c>
      <c r="G27" s="2958" t="s">
        <v>3134</v>
      </c>
    </row>
    <row r="28" spans="1:14">
      <c r="A28" s="2953" t="s">
        <v>3078</v>
      </c>
      <c r="B28" s="2953" t="s">
        <v>3098</v>
      </c>
      <c r="C28" s="2953">
        <v>1</v>
      </c>
      <c r="D28" s="2953" t="s">
        <v>3071</v>
      </c>
      <c r="E28" s="2953">
        <v>42.157899999999998</v>
      </c>
      <c r="F28" s="2958" t="s">
        <v>3119</v>
      </c>
      <c r="G28" s="2958" t="s">
        <v>3134</v>
      </c>
    </row>
    <row r="29" spans="1:14">
      <c r="A29" s="2953" t="s">
        <v>3078</v>
      </c>
      <c r="B29" s="2953" t="s">
        <v>3099</v>
      </c>
      <c r="C29" s="2953">
        <v>1</v>
      </c>
      <c r="D29" s="2953" t="s">
        <v>3071</v>
      </c>
      <c r="E29" s="2953">
        <v>97.362799999999993</v>
      </c>
      <c r="F29" s="2958" t="s">
        <v>3119</v>
      </c>
      <c r="G29" s="2958" t="s">
        <v>3134</v>
      </c>
    </row>
    <row r="30" spans="1:14">
      <c r="A30" s="2953" t="s">
        <v>3078</v>
      </c>
      <c r="B30" s="2953" t="s">
        <v>3100</v>
      </c>
      <c r="C30" s="2953">
        <v>1</v>
      </c>
      <c r="D30" s="2953" t="s">
        <v>3071</v>
      </c>
      <c r="E30" s="2953">
        <v>21.577400000000001</v>
      </c>
      <c r="F30" s="2958" t="s">
        <v>3119</v>
      </c>
      <c r="G30" s="2958" t="s">
        <v>3134</v>
      </c>
    </row>
    <row r="31" spans="1:14">
      <c r="A31" s="2953" t="s">
        <v>3078</v>
      </c>
      <c r="B31" s="2953" t="s">
        <v>3101</v>
      </c>
      <c r="C31" s="2953">
        <v>1</v>
      </c>
      <c r="D31" s="2953" t="s">
        <v>3071</v>
      </c>
      <c r="E31" s="2953">
        <v>93.398899999999998</v>
      </c>
      <c r="F31" s="2958" t="s">
        <v>3119</v>
      </c>
      <c r="G31" s="2958" t="s">
        <v>3134</v>
      </c>
    </row>
    <row r="32" spans="1:14">
      <c r="A32" s="2953" t="s">
        <v>3078</v>
      </c>
      <c r="B32" s="2953" t="s">
        <v>3102</v>
      </c>
      <c r="C32" s="2953">
        <v>1</v>
      </c>
      <c r="D32" s="2953" t="s">
        <v>3071</v>
      </c>
      <c r="E32" s="2953">
        <v>52.533999999999999</v>
      </c>
      <c r="F32" s="2958" t="s">
        <v>3119</v>
      </c>
      <c r="G32" s="2958" t="s">
        <v>3134</v>
      </c>
    </row>
    <row r="33" spans="1:7">
      <c r="A33" s="2953" t="s">
        <v>3078</v>
      </c>
      <c r="B33" s="2953" t="s">
        <v>3103</v>
      </c>
      <c r="C33" s="2953">
        <v>1</v>
      </c>
      <c r="D33" s="2953" t="s">
        <v>3071</v>
      </c>
      <c r="E33" s="2953">
        <v>60.7256</v>
      </c>
      <c r="F33" s="2958" t="s">
        <v>3119</v>
      </c>
      <c r="G33" s="2958" t="s">
        <v>3134</v>
      </c>
    </row>
    <row r="34" spans="1:7">
      <c r="A34" s="2953" t="s">
        <v>3078</v>
      </c>
      <c r="B34" s="2953" t="s">
        <v>3104</v>
      </c>
      <c r="C34" s="2953">
        <v>1</v>
      </c>
      <c r="D34" s="2953" t="s">
        <v>3071</v>
      </c>
      <c r="E34" s="2953">
        <v>64.087699999999998</v>
      </c>
      <c r="F34" s="2958" t="s">
        <v>3119</v>
      </c>
      <c r="G34" s="2958" t="s">
        <v>3134</v>
      </c>
    </row>
    <row r="35" spans="1:7">
      <c r="A35" s="2953" t="s">
        <v>3069</v>
      </c>
      <c r="B35" s="2953" t="s">
        <v>3105</v>
      </c>
      <c r="C35" s="2953">
        <v>1</v>
      </c>
      <c r="D35" s="2953" t="s">
        <v>3071</v>
      </c>
      <c r="E35" s="2953">
        <v>41.568199999999997</v>
      </c>
      <c r="F35" s="2958" t="s">
        <v>3119</v>
      </c>
      <c r="G35" s="2958" t="s">
        <v>3137</v>
      </c>
    </row>
    <row r="36" spans="1:7">
      <c r="A36" s="2953" t="s">
        <v>3069</v>
      </c>
      <c r="B36" s="2953" t="s">
        <v>3106</v>
      </c>
      <c r="C36" s="2953">
        <v>2</v>
      </c>
      <c r="D36" s="2953" t="s">
        <v>3071</v>
      </c>
      <c r="E36" s="2953">
        <v>102.2833</v>
      </c>
      <c r="F36" s="2957" t="s">
        <v>3118</v>
      </c>
    </row>
    <row r="37" spans="1:7">
      <c r="A37" s="2953" t="s">
        <v>3069</v>
      </c>
      <c r="B37" s="2953" t="s">
        <v>3106</v>
      </c>
      <c r="C37" s="2953">
        <v>2</v>
      </c>
      <c r="D37" s="2953" t="s">
        <v>3107</v>
      </c>
      <c r="E37" s="2953">
        <v>101.7709</v>
      </c>
      <c r="F37" s="2957" t="s">
        <v>3118</v>
      </c>
    </row>
    <row r="38" spans="1:7">
      <c r="A38" s="2953" t="s">
        <v>3069</v>
      </c>
      <c r="B38" s="2953" t="s">
        <v>3106</v>
      </c>
      <c r="C38" s="2953">
        <v>2</v>
      </c>
      <c r="D38" s="2953" t="s">
        <v>3108</v>
      </c>
      <c r="E38" s="2953">
        <v>129.38059999999999</v>
      </c>
      <c r="F38" s="2957" t="s">
        <v>3118</v>
      </c>
    </row>
    <row r="39" spans="1:7">
      <c r="A39" s="2953" t="s">
        <v>3069</v>
      </c>
      <c r="B39" s="2953" t="s">
        <v>3106</v>
      </c>
      <c r="C39" s="2953">
        <v>2</v>
      </c>
      <c r="D39" s="2953" t="s">
        <v>3109</v>
      </c>
      <c r="E39" s="2953">
        <v>129.64189999999999</v>
      </c>
      <c r="F39" s="2957" t="s">
        <v>3118</v>
      </c>
    </row>
    <row r="40" spans="1:7">
      <c r="A40" s="2953" t="s">
        <v>3069</v>
      </c>
      <c r="B40" s="2953" t="s">
        <v>3110</v>
      </c>
      <c r="C40" s="2953">
        <v>2</v>
      </c>
      <c r="D40" s="2953" t="s">
        <v>3111</v>
      </c>
      <c r="E40" s="2953">
        <v>102.9316</v>
      </c>
      <c r="F40" s="2957" t="s">
        <v>3118</v>
      </c>
    </row>
    <row r="41" spans="1:7">
      <c r="A41" s="2953" t="s">
        <v>3069</v>
      </c>
      <c r="B41" s="2953" t="s">
        <v>3110</v>
      </c>
      <c r="C41" s="2953">
        <v>2</v>
      </c>
      <c r="D41" s="2953" t="s">
        <v>3112</v>
      </c>
      <c r="E41" s="2953">
        <v>102.9316</v>
      </c>
      <c r="F41" s="2957" t="s">
        <v>3118</v>
      </c>
    </row>
    <row r="42" spans="1:7">
      <c r="A42" s="2953" t="s">
        <v>3069</v>
      </c>
      <c r="B42" s="2953" t="s">
        <v>3110</v>
      </c>
      <c r="C42" s="2953">
        <v>2</v>
      </c>
      <c r="D42" s="2953" t="s">
        <v>3113</v>
      </c>
      <c r="E42" s="2953">
        <v>130.25399999999999</v>
      </c>
      <c r="F42" s="2957" t="s">
        <v>3118</v>
      </c>
    </row>
    <row r="43" spans="1:7">
      <c r="A43" s="2953" t="s">
        <v>3069</v>
      </c>
      <c r="B43" s="2953" t="s">
        <v>3110</v>
      </c>
      <c r="C43" s="2953">
        <v>2</v>
      </c>
      <c r="D43" s="2953" t="s">
        <v>3114</v>
      </c>
      <c r="E43" s="2953">
        <v>130.2373</v>
      </c>
      <c r="F43" s="2957" t="s">
        <v>3118</v>
      </c>
    </row>
    <row r="44" spans="1:7">
      <c r="A44" s="2953" t="s">
        <v>3069</v>
      </c>
      <c r="B44" s="2953" t="s">
        <v>3106</v>
      </c>
      <c r="C44" s="2953">
        <v>3</v>
      </c>
      <c r="D44" s="2953" t="s">
        <v>3071</v>
      </c>
      <c r="E44" s="2953">
        <v>103.3442</v>
      </c>
      <c r="F44" s="2957" t="s">
        <v>3118</v>
      </c>
    </row>
    <row r="45" spans="1:7">
      <c r="A45" s="2953" t="s">
        <v>3069</v>
      </c>
      <c r="B45" s="2953" t="s">
        <v>3106</v>
      </c>
      <c r="C45" s="2953">
        <v>3</v>
      </c>
      <c r="D45" s="2953" t="s">
        <v>3107</v>
      </c>
      <c r="E45" s="2953">
        <v>103.4413</v>
      </c>
      <c r="F45" s="2957" t="s">
        <v>3118</v>
      </c>
    </row>
    <row r="46" spans="1:7">
      <c r="A46" s="2953" t="s">
        <v>3069</v>
      </c>
      <c r="B46" s="2953" t="s">
        <v>3106</v>
      </c>
      <c r="C46" s="2953">
        <v>3</v>
      </c>
      <c r="D46" s="2953" t="s">
        <v>3108</v>
      </c>
      <c r="E46" s="2953">
        <v>130.81460000000001</v>
      </c>
      <c r="F46" s="2957" t="s">
        <v>3118</v>
      </c>
    </row>
    <row r="47" spans="1:7">
      <c r="A47" s="2953" t="s">
        <v>3069</v>
      </c>
      <c r="B47" s="2953" t="s">
        <v>3106</v>
      </c>
      <c r="C47" s="2953">
        <v>3</v>
      </c>
      <c r="D47" s="2953" t="s">
        <v>3109</v>
      </c>
      <c r="E47" s="2953">
        <v>130.6318</v>
      </c>
      <c r="F47" s="2957" t="s">
        <v>3118</v>
      </c>
    </row>
    <row r="48" spans="1:7">
      <c r="A48" s="2953" t="s">
        <v>3069</v>
      </c>
      <c r="B48" s="2953" t="s">
        <v>3110</v>
      </c>
      <c r="C48" s="2953">
        <v>3</v>
      </c>
      <c r="D48" s="2953" t="s">
        <v>3071</v>
      </c>
      <c r="E48" s="2953">
        <v>103.4413</v>
      </c>
      <c r="F48" s="2957" t="s">
        <v>3118</v>
      </c>
    </row>
    <row r="49" spans="1:6">
      <c r="A49" s="2953" t="s">
        <v>3069</v>
      </c>
      <c r="B49" s="2953" t="s">
        <v>3110</v>
      </c>
      <c r="C49" s="2953">
        <v>3</v>
      </c>
      <c r="D49" s="2953" t="s">
        <v>3107</v>
      </c>
      <c r="E49" s="2953">
        <v>103.3442</v>
      </c>
      <c r="F49" s="2957" t="s">
        <v>3118</v>
      </c>
    </row>
    <row r="50" spans="1:6">
      <c r="A50" s="2953" t="s">
        <v>3069</v>
      </c>
      <c r="B50" s="2953" t="s">
        <v>3110</v>
      </c>
      <c r="C50" s="2953">
        <v>3</v>
      </c>
      <c r="D50" s="2953" t="s">
        <v>3108</v>
      </c>
      <c r="E50" s="2953">
        <v>130.6318</v>
      </c>
      <c r="F50" s="2957" t="s">
        <v>3118</v>
      </c>
    </row>
    <row r="51" spans="1:6">
      <c r="A51" s="2953" t="s">
        <v>3069</v>
      </c>
      <c r="B51" s="2953" t="s">
        <v>3110</v>
      </c>
      <c r="C51" s="2953">
        <v>3</v>
      </c>
      <c r="D51" s="2953" t="s">
        <v>3109</v>
      </c>
      <c r="E51" s="2953">
        <v>130.81460000000001</v>
      </c>
      <c r="F51" s="2957" t="s">
        <v>3118</v>
      </c>
    </row>
    <row r="52" spans="1:6">
      <c r="A52" s="2953" t="s">
        <v>3069</v>
      </c>
      <c r="B52" s="2953" t="s">
        <v>3115</v>
      </c>
      <c r="C52" s="2953">
        <v>3</v>
      </c>
      <c r="D52" s="2953" t="s">
        <v>3071</v>
      </c>
      <c r="E52" s="2953">
        <v>90.626000000000005</v>
      </c>
      <c r="F52" s="2957" t="s">
        <v>3118</v>
      </c>
    </row>
    <row r="53" spans="1:6">
      <c r="A53" s="2953" t="s">
        <v>3069</v>
      </c>
      <c r="B53" s="2953" t="s">
        <v>3115</v>
      </c>
      <c r="C53" s="2953">
        <v>3</v>
      </c>
      <c r="D53" s="2953" t="s">
        <v>3107</v>
      </c>
      <c r="E53" s="2953">
        <v>90.716399999999993</v>
      </c>
      <c r="F53" s="2957" t="s">
        <v>3118</v>
      </c>
    </row>
    <row r="54" spans="1:6">
      <c r="A54" s="2953" t="s">
        <v>3069</v>
      </c>
      <c r="B54" s="2953" t="s">
        <v>3115</v>
      </c>
      <c r="C54" s="2953">
        <v>3</v>
      </c>
      <c r="D54" s="2953" t="s">
        <v>3108</v>
      </c>
      <c r="E54" s="2953">
        <v>92.1126</v>
      </c>
      <c r="F54" s="2957" t="s">
        <v>3118</v>
      </c>
    </row>
    <row r="55" spans="1:6">
      <c r="A55" s="2953" t="s">
        <v>3069</v>
      </c>
      <c r="B55" s="2953" t="s">
        <v>3115</v>
      </c>
      <c r="C55" s="2953">
        <v>3</v>
      </c>
      <c r="D55" s="2953" t="s">
        <v>3109</v>
      </c>
      <c r="E55" s="2953">
        <v>92.1126</v>
      </c>
      <c r="F55" s="2957" t="s">
        <v>3118</v>
      </c>
    </row>
    <row r="56" spans="1:6">
      <c r="A56" s="2953" t="s">
        <v>3069</v>
      </c>
      <c r="B56" s="2953" t="s">
        <v>3106</v>
      </c>
      <c r="C56" s="2953">
        <v>4</v>
      </c>
      <c r="D56" s="2953" t="s">
        <v>3071</v>
      </c>
      <c r="E56" s="2953">
        <v>103.3442</v>
      </c>
      <c r="F56" s="2957" t="s">
        <v>3118</v>
      </c>
    </row>
    <row r="57" spans="1:6">
      <c r="A57" s="2953" t="s">
        <v>3069</v>
      </c>
      <c r="B57" s="2953" t="s">
        <v>3106</v>
      </c>
      <c r="C57" s="2953">
        <v>4</v>
      </c>
      <c r="D57" s="2953" t="s">
        <v>3107</v>
      </c>
      <c r="E57" s="2953">
        <v>103.4413</v>
      </c>
      <c r="F57" s="2957" t="s">
        <v>3118</v>
      </c>
    </row>
    <row r="58" spans="1:6">
      <c r="A58" s="2953" t="s">
        <v>3069</v>
      </c>
      <c r="B58" s="2953" t="s">
        <v>3106</v>
      </c>
      <c r="C58" s="2953">
        <v>4</v>
      </c>
      <c r="D58" s="2953" t="s">
        <v>3108</v>
      </c>
      <c r="E58" s="2953">
        <v>130.81460000000001</v>
      </c>
      <c r="F58" s="2957" t="s">
        <v>3118</v>
      </c>
    </row>
    <row r="59" spans="1:6">
      <c r="A59" s="2953" t="s">
        <v>3069</v>
      </c>
      <c r="B59" s="2953" t="s">
        <v>3106</v>
      </c>
      <c r="C59" s="2953">
        <v>4</v>
      </c>
      <c r="D59" s="2953" t="s">
        <v>3109</v>
      </c>
      <c r="E59" s="2953">
        <v>130.6318</v>
      </c>
      <c r="F59" s="2957" t="s">
        <v>3118</v>
      </c>
    </row>
    <row r="60" spans="1:6">
      <c r="A60" s="2953" t="s">
        <v>3069</v>
      </c>
      <c r="B60" s="2953" t="s">
        <v>3110</v>
      </c>
      <c r="C60" s="2953">
        <v>4</v>
      </c>
      <c r="D60" s="2953" t="s">
        <v>3071</v>
      </c>
      <c r="E60" s="2953">
        <v>103.4413</v>
      </c>
      <c r="F60" s="2957" t="s">
        <v>3118</v>
      </c>
    </row>
    <row r="61" spans="1:6">
      <c r="A61" s="2953" t="s">
        <v>3069</v>
      </c>
      <c r="B61" s="2953" t="s">
        <v>3110</v>
      </c>
      <c r="C61" s="2953">
        <v>4</v>
      </c>
      <c r="D61" s="2953" t="s">
        <v>3107</v>
      </c>
      <c r="E61" s="2953">
        <v>103.3442</v>
      </c>
      <c r="F61" s="2957" t="s">
        <v>3118</v>
      </c>
    </row>
    <row r="62" spans="1:6">
      <c r="A62" s="2953" t="s">
        <v>3069</v>
      </c>
      <c r="B62" s="2953" t="s">
        <v>3110</v>
      </c>
      <c r="C62" s="2953">
        <v>4</v>
      </c>
      <c r="D62" s="2953" t="s">
        <v>3108</v>
      </c>
      <c r="E62" s="2953">
        <v>130.6318</v>
      </c>
      <c r="F62" s="2957" t="s">
        <v>3118</v>
      </c>
    </row>
    <row r="63" spans="1:6">
      <c r="A63" s="2953" t="s">
        <v>3069</v>
      </c>
      <c r="B63" s="2953" t="s">
        <v>3110</v>
      </c>
      <c r="C63" s="2953">
        <v>4</v>
      </c>
      <c r="D63" s="2953" t="s">
        <v>3109</v>
      </c>
      <c r="E63" s="2953">
        <v>130.81460000000001</v>
      </c>
      <c r="F63" s="2957" t="s">
        <v>3118</v>
      </c>
    </row>
    <row r="64" spans="1:6">
      <c r="A64" s="2953" t="s">
        <v>3069</v>
      </c>
      <c r="B64" s="2953" t="s">
        <v>3115</v>
      </c>
      <c r="C64" s="2953">
        <v>4</v>
      </c>
      <c r="D64" s="2953" t="s">
        <v>3071</v>
      </c>
      <c r="E64" s="2953">
        <v>90.626000000000005</v>
      </c>
      <c r="F64" s="2957" t="s">
        <v>3118</v>
      </c>
    </row>
    <row r="65" spans="1:6">
      <c r="A65" s="2953" t="s">
        <v>3069</v>
      </c>
      <c r="B65" s="2953" t="s">
        <v>3115</v>
      </c>
      <c r="C65" s="2953">
        <v>4</v>
      </c>
      <c r="D65" s="2953" t="s">
        <v>3107</v>
      </c>
      <c r="E65" s="2953">
        <v>90.716399999999993</v>
      </c>
      <c r="F65" s="2957" t="s">
        <v>3118</v>
      </c>
    </row>
    <row r="66" spans="1:6">
      <c r="A66" s="2953" t="s">
        <v>3069</v>
      </c>
      <c r="B66" s="2953" t="s">
        <v>3115</v>
      </c>
      <c r="C66" s="2953">
        <v>4</v>
      </c>
      <c r="D66" s="2953" t="s">
        <v>3108</v>
      </c>
      <c r="E66" s="2953">
        <v>92.368099999999998</v>
      </c>
      <c r="F66" s="2957" t="s">
        <v>3118</v>
      </c>
    </row>
    <row r="67" spans="1:6">
      <c r="A67" s="2953" t="s">
        <v>3069</v>
      </c>
      <c r="B67" s="2953" t="s">
        <v>3115</v>
      </c>
      <c r="C67" s="2953">
        <v>4</v>
      </c>
      <c r="D67" s="2953" t="s">
        <v>3109</v>
      </c>
      <c r="E67" s="2953">
        <v>92.368099999999998</v>
      </c>
      <c r="F67" s="2957" t="s">
        <v>3118</v>
      </c>
    </row>
    <row r="68" spans="1:6">
      <c r="A68" s="2953" t="s">
        <v>3069</v>
      </c>
      <c r="B68" s="2953" t="s">
        <v>3106</v>
      </c>
      <c r="C68" s="2953">
        <v>5</v>
      </c>
      <c r="D68" s="2953" t="s">
        <v>3071</v>
      </c>
      <c r="E68" s="2953">
        <v>103.3442</v>
      </c>
      <c r="F68" s="2957" t="s">
        <v>3118</v>
      </c>
    </row>
    <row r="69" spans="1:6">
      <c r="A69" s="2953" t="s">
        <v>3069</v>
      </c>
      <c r="B69" s="2953" t="s">
        <v>3106</v>
      </c>
      <c r="C69" s="2953">
        <v>5</v>
      </c>
      <c r="D69" s="2953" t="s">
        <v>3107</v>
      </c>
      <c r="E69" s="2953">
        <v>103.4413</v>
      </c>
      <c r="F69" s="2957" t="s">
        <v>3118</v>
      </c>
    </row>
    <row r="70" spans="1:6">
      <c r="A70" s="2953" t="s">
        <v>3069</v>
      </c>
      <c r="B70" s="2953" t="s">
        <v>3106</v>
      </c>
      <c r="C70" s="2953">
        <v>5</v>
      </c>
      <c r="D70" s="2953" t="s">
        <v>3108</v>
      </c>
      <c r="E70" s="2953">
        <v>130.81460000000001</v>
      </c>
      <c r="F70" s="2957" t="s">
        <v>3118</v>
      </c>
    </row>
    <row r="71" spans="1:6">
      <c r="A71" s="2953" t="s">
        <v>3069</v>
      </c>
      <c r="B71" s="2953" t="s">
        <v>3106</v>
      </c>
      <c r="C71" s="2953">
        <v>5</v>
      </c>
      <c r="D71" s="2953" t="s">
        <v>3109</v>
      </c>
      <c r="E71" s="2953">
        <v>130.6318</v>
      </c>
      <c r="F71" s="2957" t="s">
        <v>3118</v>
      </c>
    </row>
    <row r="72" spans="1:6">
      <c r="A72" s="2953" t="s">
        <v>3069</v>
      </c>
      <c r="B72" s="2953" t="s">
        <v>3110</v>
      </c>
      <c r="C72" s="2953">
        <v>5</v>
      </c>
      <c r="D72" s="2953" t="s">
        <v>3071</v>
      </c>
      <c r="E72" s="2953">
        <v>103.4413</v>
      </c>
      <c r="F72" s="2957" t="s">
        <v>3118</v>
      </c>
    </row>
    <row r="73" spans="1:6">
      <c r="A73" s="2953" t="s">
        <v>3069</v>
      </c>
      <c r="B73" s="2953" t="s">
        <v>3110</v>
      </c>
      <c r="C73" s="2953">
        <v>5</v>
      </c>
      <c r="D73" s="2953" t="s">
        <v>3107</v>
      </c>
      <c r="E73" s="2953">
        <v>103.3442</v>
      </c>
      <c r="F73" s="2957" t="s">
        <v>3118</v>
      </c>
    </row>
    <row r="74" spans="1:6">
      <c r="A74" s="2953" t="s">
        <v>3069</v>
      </c>
      <c r="B74" s="2953" t="s">
        <v>3110</v>
      </c>
      <c r="C74" s="2953">
        <v>5</v>
      </c>
      <c r="D74" s="2953" t="s">
        <v>3108</v>
      </c>
      <c r="E74" s="2953">
        <v>130.6318</v>
      </c>
      <c r="F74" s="2957" t="s">
        <v>3118</v>
      </c>
    </row>
    <row r="75" spans="1:6">
      <c r="A75" s="2953" t="s">
        <v>3069</v>
      </c>
      <c r="B75" s="2953" t="s">
        <v>3110</v>
      </c>
      <c r="C75" s="2953">
        <v>5</v>
      </c>
      <c r="D75" s="2953" t="s">
        <v>3109</v>
      </c>
      <c r="E75" s="2953">
        <v>130.81460000000001</v>
      </c>
      <c r="F75" s="2957" t="s">
        <v>3118</v>
      </c>
    </row>
    <row r="76" spans="1:6">
      <c r="A76" s="2953" t="s">
        <v>3069</v>
      </c>
      <c r="B76" s="2953" t="s">
        <v>3115</v>
      </c>
      <c r="C76" s="2953">
        <v>5</v>
      </c>
      <c r="D76" s="2953" t="s">
        <v>3071</v>
      </c>
      <c r="E76" s="2953">
        <v>90.626000000000005</v>
      </c>
      <c r="F76" s="2957" t="s">
        <v>3118</v>
      </c>
    </row>
    <row r="77" spans="1:6">
      <c r="A77" s="2953" t="s">
        <v>3069</v>
      </c>
      <c r="B77" s="2953" t="s">
        <v>3115</v>
      </c>
      <c r="C77" s="2953">
        <v>5</v>
      </c>
      <c r="D77" s="2953" t="s">
        <v>3107</v>
      </c>
      <c r="E77" s="2953">
        <v>90.716399999999993</v>
      </c>
      <c r="F77" s="2957" t="s">
        <v>3118</v>
      </c>
    </row>
    <row r="78" spans="1:6">
      <c r="A78" s="2953" t="s">
        <v>3069</v>
      </c>
      <c r="B78" s="2953" t="s">
        <v>3115</v>
      </c>
      <c r="C78" s="2953">
        <v>5</v>
      </c>
      <c r="D78" s="2953" t="s">
        <v>3108</v>
      </c>
      <c r="E78" s="2953">
        <v>92.368099999999998</v>
      </c>
      <c r="F78" s="2957" t="s">
        <v>3118</v>
      </c>
    </row>
    <row r="79" spans="1:6">
      <c r="A79" s="2953" t="s">
        <v>3069</v>
      </c>
      <c r="B79" s="2953" t="s">
        <v>3115</v>
      </c>
      <c r="C79" s="2953">
        <v>5</v>
      </c>
      <c r="D79" s="2953" t="s">
        <v>3109</v>
      </c>
      <c r="E79" s="2953">
        <v>92.368099999999998</v>
      </c>
      <c r="F79" s="2957" t="s">
        <v>3118</v>
      </c>
    </row>
    <row r="80" spans="1:6">
      <c r="A80" s="2953" t="s">
        <v>3069</v>
      </c>
      <c r="B80" s="2953" t="s">
        <v>3106</v>
      </c>
      <c r="C80" s="2953">
        <v>6</v>
      </c>
      <c r="D80" s="2953" t="s">
        <v>3071</v>
      </c>
      <c r="E80" s="2953">
        <v>103.6872</v>
      </c>
      <c r="F80" s="2957" t="s">
        <v>3118</v>
      </c>
    </row>
    <row r="81" spans="1:6">
      <c r="A81" s="2953" t="s">
        <v>3069</v>
      </c>
      <c r="B81" s="2953" t="s">
        <v>3106</v>
      </c>
      <c r="C81" s="2953">
        <v>6</v>
      </c>
      <c r="D81" s="2953" t="s">
        <v>3107</v>
      </c>
      <c r="E81" s="2953">
        <v>103.7864</v>
      </c>
      <c r="F81" s="2957" t="s">
        <v>3118</v>
      </c>
    </row>
    <row r="82" spans="1:6">
      <c r="A82" s="2953" t="s">
        <v>3069</v>
      </c>
      <c r="B82" s="2953" t="s">
        <v>3106</v>
      </c>
      <c r="C82" s="2953">
        <v>6</v>
      </c>
      <c r="D82" s="2953" t="s">
        <v>3108</v>
      </c>
      <c r="E82" s="2953">
        <v>131.83160000000001</v>
      </c>
      <c r="F82" s="2957" t="s">
        <v>3118</v>
      </c>
    </row>
    <row r="83" spans="1:6">
      <c r="A83" s="2953" t="s">
        <v>3069</v>
      </c>
      <c r="B83" s="2953" t="s">
        <v>3106</v>
      </c>
      <c r="C83" s="2953">
        <v>6</v>
      </c>
      <c r="D83" s="2953" t="s">
        <v>3109</v>
      </c>
      <c r="E83" s="2953">
        <v>131.6439</v>
      </c>
      <c r="F83" s="2957" t="s">
        <v>3118</v>
      </c>
    </row>
    <row r="84" spans="1:6">
      <c r="A84" s="2953" t="s">
        <v>3069</v>
      </c>
      <c r="B84" s="2953" t="s">
        <v>3110</v>
      </c>
      <c r="C84" s="2953">
        <v>6</v>
      </c>
      <c r="D84" s="2953" t="s">
        <v>3071</v>
      </c>
      <c r="E84" s="2953">
        <v>103.7864</v>
      </c>
      <c r="F84" s="2957" t="s">
        <v>3118</v>
      </c>
    </row>
    <row r="85" spans="1:6">
      <c r="A85" s="2953" t="s">
        <v>3069</v>
      </c>
      <c r="B85" s="2953" t="s">
        <v>3110</v>
      </c>
      <c r="C85" s="2953">
        <v>6</v>
      </c>
      <c r="D85" s="2953" t="s">
        <v>3107</v>
      </c>
      <c r="E85" s="2953">
        <v>103.7864</v>
      </c>
      <c r="F85" s="2957" t="s">
        <v>3118</v>
      </c>
    </row>
    <row r="86" spans="1:6">
      <c r="A86" s="2953" t="s">
        <v>3069</v>
      </c>
      <c r="B86" s="2953" t="s">
        <v>3110</v>
      </c>
      <c r="C86" s="2953">
        <v>6</v>
      </c>
      <c r="D86" s="2953" t="s">
        <v>3108</v>
      </c>
      <c r="E86" s="2953">
        <v>131.50129999999999</v>
      </c>
      <c r="F86" s="2957" t="s">
        <v>3118</v>
      </c>
    </row>
    <row r="87" spans="1:6">
      <c r="A87" s="2953" t="s">
        <v>3069</v>
      </c>
      <c r="B87" s="2953" t="s">
        <v>3110</v>
      </c>
      <c r="C87" s="2953">
        <v>6</v>
      </c>
      <c r="D87" s="2953" t="s">
        <v>3109</v>
      </c>
      <c r="E87" s="2953">
        <v>131.83160000000001</v>
      </c>
      <c r="F87" s="2957" t="s">
        <v>3118</v>
      </c>
    </row>
    <row r="88" spans="1:6">
      <c r="A88" s="2953" t="s">
        <v>3069</v>
      </c>
      <c r="B88" s="2953" t="s">
        <v>3115</v>
      </c>
      <c r="C88" s="2953">
        <v>6</v>
      </c>
      <c r="D88" s="2953" t="s">
        <v>3071</v>
      </c>
      <c r="E88" s="2953">
        <v>90.76</v>
      </c>
      <c r="F88" s="2957" t="s">
        <v>3118</v>
      </c>
    </row>
    <row r="89" spans="1:6">
      <c r="A89" s="2953" t="s">
        <v>3069</v>
      </c>
      <c r="B89" s="2953" t="s">
        <v>3115</v>
      </c>
      <c r="C89" s="2953">
        <v>6</v>
      </c>
      <c r="D89" s="2953" t="s">
        <v>3107</v>
      </c>
      <c r="E89" s="2953">
        <v>90.850399999999993</v>
      </c>
      <c r="F89" s="2957" t="s">
        <v>3118</v>
      </c>
    </row>
    <row r="90" spans="1:6">
      <c r="A90" s="2953" t="s">
        <v>3069</v>
      </c>
      <c r="B90" s="2953" t="s">
        <v>3115</v>
      </c>
      <c r="C90" s="2953">
        <v>6</v>
      </c>
      <c r="D90" s="2953" t="s">
        <v>3108</v>
      </c>
      <c r="E90" s="2953">
        <v>92.628600000000006</v>
      </c>
      <c r="F90" s="2957" t="s">
        <v>3118</v>
      </c>
    </row>
    <row r="91" spans="1:6">
      <c r="A91" s="2953" t="s">
        <v>3069</v>
      </c>
      <c r="B91" s="2953" t="s">
        <v>3115</v>
      </c>
      <c r="C91" s="2953">
        <v>6</v>
      </c>
      <c r="D91" s="2953" t="s">
        <v>3109</v>
      </c>
      <c r="E91" s="2953">
        <v>92.628600000000006</v>
      </c>
      <c r="F91" s="2957" t="s">
        <v>3118</v>
      </c>
    </row>
    <row r="92" spans="1:6">
      <c r="A92" s="2953" t="s">
        <v>3069</v>
      </c>
      <c r="B92" s="2953" t="s">
        <v>3106</v>
      </c>
      <c r="C92" s="2953">
        <v>7</v>
      </c>
      <c r="D92" s="2953" t="s">
        <v>3071</v>
      </c>
      <c r="E92" s="2953">
        <v>103.3899</v>
      </c>
      <c r="F92" s="2957" t="s">
        <v>3118</v>
      </c>
    </row>
    <row r="93" spans="1:6">
      <c r="A93" s="2953" t="s">
        <v>3069</v>
      </c>
      <c r="B93" s="2953" t="s">
        <v>3106</v>
      </c>
      <c r="C93" s="2953">
        <v>7</v>
      </c>
      <c r="D93" s="2953" t="s">
        <v>3107</v>
      </c>
      <c r="E93" s="2953">
        <v>103.489</v>
      </c>
      <c r="F93" s="2957" t="s">
        <v>3118</v>
      </c>
    </row>
    <row r="94" spans="1:6">
      <c r="A94" s="2953" t="s">
        <v>3069</v>
      </c>
      <c r="B94" s="2953" t="s">
        <v>3106</v>
      </c>
      <c r="C94" s="2953">
        <v>7</v>
      </c>
      <c r="D94" s="2953" t="s">
        <v>3108</v>
      </c>
      <c r="E94" s="2953">
        <v>131.26820000000001</v>
      </c>
      <c r="F94" s="2957" t="s">
        <v>3118</v>
      </c>
    </row>
    <row r="95" spans="1:6">
      <c r="A95" s="2953" t="s">
        <v>3069</v>
      </c>
      <c r="B95" s="2953" t="s">
        <v>3106</v>
      </c>
      <c r="C95" s="2953">
        <v>7</v>
      </c>
      <c r="D95" s="2953" t="s">
        <v>3109</v>
      </c>
      <c r="E95" s="2953">
        <v>131.11349999999999</v>
      </c>
      <c r="F95" s="2957" t="s">
        <v>3118</v>
      </c>
    </row>
    <row r="96" spans="1:6">
      <c r="A96" s="2953" t="s">
        <v>3069</v>
      </c>
      <c r="B96" s="2953" t="s">
        <v>3110</v>
      </c>
      <c r="C96" s="2953">
        <v>7</v>
      </c>
      <c r="D96" s="2953" t="s">
        <v>3071</v>
      </c>
      <c r="E96" s="2953">
        <v>103.489</v>
      </c>
      <c r="F96" s="2957" t="s">
        <v>3118</v>
      </c>
    </row>
    <row r="97" spans="1:6">
      <c r="A97" s="2953" t="s">
        <v>3069</v>
      </c>
      <c r="B97" s="2953" t="s">
        <v>3110</v>
      </c>
      <c r="C97" s="2953">
        <v>7</v>
      </c>
      <c r="D97" s="2953" t="s">
        <v>3107</v>
      </c>
      <c r="E97" s="2953">
        <v>103.489</v>
      </c>
      <c r="F97" s="2957" t="s">
        <v>3118</v>
      </c>
    </row>
    <row r="98" spans="1:6">
      <c r="A98" s="2953" t="s">
        <v>3069</v>
      </c>
      <c r="B98" s="2953" t="s">
        <v>3110</v>
      </c>
      <c r="C98" s="2953">
        <v>7</v>
      </c>
      <c r="D98" s="2953" t="s">
        <v>3108</v>
      </c>
      <c r="E98" s="2953">
        <v>130.92859999999999</v>
      </c>
      <c r="F98" s="2957" t="s">
        <v>3118</v>
      </c>
    </row>
    <row r="99" spans="1:6">
      <c r="A99" s="2953" t="s">
        <v>3069</v>
      </c>
      <c r="B99" s="2953" t="s">
        <v>3110</v>
      </c>
      <c r="C99" s="2953">
        <v>7</v>
      </c>
      <c r="D99" s="2953" t="s">
        <v>3109</v>
      </c>
      <c r="E99" s="2953">
        <v>131.39879999999999</v>
      </c>
      <c r="F99" s="2957" t="s">
        <v>3118</v>
      </c>
    </row>
    <row r="100" spans="1:6">
      <c r="A100" s="2953" t="s">
        <v>3069</v>
      </c>
      <c r="B100" s="2953" t="s">
        <v>3115</v>
      </c>
      <c r="C100" s="2953">
        <v>7</v>
      </c>
      <c r="D100" s="2953" t="s">
        <v>3071</v>
      </c>
      <c r="E100" s="2953">
        <v>90.76</v>
      </c>
      <c r="F100" s="2957" t="s">
        <v>3118</v>
      </c>
    </row>
    <row r="101" spans="1:6">
      <c r="A101" s="2953" t="s">
        <v>3069</v>
      </c>
      <c r="B101" s="2953" t="s">
        <v>3115</v>
      </c>
      <c r="C101" s="2953">
        <v>7</v>
      </c>
      <c r="D101" s="2953" t="s">
        <v>3107</v>
      </c>
      <c r="E101" s="2953">
        <v>90.850399999999993</v>
      </c>
      <c r="F101" s="2957" t="s">
        <v>3118</v>
      </c>
    </row>
    <row r="102" spans="1:6">
      <c r="A102" s="2953" t="s">
        <v>3069</v>
      </c>
      <c r="B102" s="2953" t="s">
        <v>3115</v>
      </c>
      <c r="C102" s="2953">
        <v>7</v>
      </c>
      <c r="D102" s="2953" t="s">
        <v>3108</v>
      </c>
      <c r="E102" s="2953">
        <v>92.628600000000006</v>
      </c>
      <c r="F102" s="2957" t="s">
        <v>3118</v>
      </c>
    </row>
    <row r="103" spans="1:6">
      <c r="A103" s="2953" t="s">
        <v>3069</v>
      </c>
      <c r="B103" s="2953" t="s">
        <v>3115</v>
      </c>
      <c r="C103" s="2953">
        <v>7</v>
      </c>
      <c r="D103" s="2953" t="s">
        <v>3109</v>
      </c>
      <c r="E103" s="2953">
        <v>92.628600000000006</v>
      </c>
      <c r="F103" s="2957" t="s">
        <v>3118</v>
      </c>
    </row>
    <row r="104" spans="1:6">
      <c r="A104" s="2953" t="s">
        <v>3069</v>
      </c>
      <c r="B104" s="2953" t="s">
        <v>3106</v>
      </c>
      <c r="C104" s="2953">
        <v>8</v>
      </c>
      <c r="D104" s="2953" t="s">
        <v>3071</v>
      </c>
      <c r="E104" s="2953">
        <v>103.6872</v>
      </c>
      <c r="F104" s="2957" t="s">
        <v>3118</v>
      </c>
    </row>
    <row r="105" spans="1:6">
      <c r="A105" s="2953" t="s">
        <v>3069</v>
      </c>
      <c r="B105" s="2953" t="s">
        <v>3106</v>
      </c>
      <c r="C105" s="2953">
        <v>8</v>
      </c>
      <c r="D105" s="2953" t="s">
        <v>3107</v>
      </c>
      <c r="E105" s="2953">
        <v>103.7864</v>
      </c>
      <c r="F105" s="2957" t="s">
        <v>3118</v>
      </c>
    </row>
    <row r="106" spans="1:6">
      <c r="A106" s="2953" t="s">
        <v>3069</v>
      </c>
      <c r="B106" s="2953" t="s">
        <v>3106</v>
      </c>
      <c r="C106" s="2953">
        <v>8</v>
      </c>
      <c r="D106" s="2953" t="s">
        <v>3108</v>
      </c>
      <c r="E106" s="2953">
        <v>131.83160000000001</v>
      </c>
      <c r="F106" s="2957" t="s">
        <v>3118</v>
      </c>
    </row>
    <row r="107" spans="1:6">
      <c r="A107" s="2953" t="s">
        <v>3069</v>
      </c>
      <c r="B107" s="2953" t="s">
        <v>3106</v>
      </c>
      <c r="C107" s="2953">
        <v>8</v>
      </c>
      <c r="D107" s="2953" t="s">
        <v>3109</v>
      </c>
      <c r="E107" s="2953">
        <v>131.6439</v>
      </c>
      <c r="F107" s="2957" t="s">
        <v>3118</v>
      </c>
    </row>
    <row r="108" spans="1:6">
      <c r="A108" s="2953" t="s">
        <v>3069</v>
      </c>
      <c r="B108" s="2953" t="s">
        <v>3110</v>
      </c>
      <c r="C108" s="2953">
        <v>8</v>
      </c>
      <c r="D108" s="2953" t="s">
        <v>3071</v>
      </c>
      <c r="E108" s="2953">
        <v>103.7864</v>
      </c>
      <c r="F108" s="2957" t="s">
        <v>3118</v>
      </c>
    </row>
    <row r="109" spans="1:6">
      <c r="A109" s="2953" t="s">
        <v>3069</v>
      </c>
      <c r="B109" s="2953" t="s">
        <v>3110</v>
      </c>
      <c r="C109" s="2953">
        <v>8</v>
      </c>
      <c r="D109" s="2953" t="s">
        <v>3107</v>
      </c>
      <c r="E109" s="2953">
        <v>103.7864</v>
      </c>
      <c r="F109" s="2957" t="s">
        <v>3118</v>
      </c>
    </row>
    <row r="110" spans="1:6">
      <c r="A110" s="2953" t="s">
        <v>3069</v>
      </c>
      <c r="B110" s="2953" t="s">
        <v>3110</v>
      </c>
      <c r="C110" s="2953">
        <v>8</v>
      </c>
      <c r="D110" s="2953" t="s">
        <v>3108</v>
      </c>
      <c r="E110" s="2953">
        <v>131.50129999999999</v>
      </c>
      <c r="F110" s="2957" t="s">
        <v>3118</v>
      </c>
    </row>
    <row r="111" spans="1:6">
      <c r="A111" s="2953" t="s">
        <v>3069</v>
      </c>
      <c r="B111" s="2953" t="s">
        <v>3110</v>
      </c>
      <c r="C111" s="2953">
        <v>8</v>
      </c>
      <c r="D111" s="2953" t="s">
        <v>3109</v>
      </c>
      <c r="E111" s="2953">
        <v>131.83160000000001</v>
      </c>
      <c r="F111" s="2957" t="s">
        <v>3118</v>
      </c>
    </row>
    <row r="112" spans="1:6">
      <c r="A112" s="2953" t="s">
        <v>3069</v>
      </c>
      <c r="B112" s="2953" t="s">
        <v>3115</v>
      </c>
      <c r="C112" s="2953">
        <v>8</v>
      </c>
      <c r="D112" s="2953" t="s">
        <v>3071</v>
      </c>
      <c r="E112" s="2953">
        <v>90.76</v>
      </c>
      <c r="F112" s="2957" t="s">
        <v>3118</v>
      </c>
    </row>
    <row r="113" spans="1:6">
      <c r="A113" s="2953" t="s">
        <v>3069</v>
      </c>
      <c r="B113" s="2953" t="s">
        <v>3115</v>
      </c>
      <c r="C113" s="2953">
        <v>8</v>
      </c>
      <c r="D113" s="2953" t="s">
        <v>3107</v>
      </c>
      <c r="E113" s="2953">
        <v>90.850399999999993</v>
      </c>
      <c r="F113" s="2957" t="s">
        <v>3118</v>
      </c>
    </row>
    <row r="114" spans="1:6">
      <c r="A114" s="2953" t="s">
        <v>3069</v>
      </c>
      <c r="B114" s="2953" t="s">
        <v>3115</v>
      </c>
      <c r="C114" s="2953">
        <v>8</v>
      </c>
      <c r="D114" s="2953" t="s">
        <v>3108</v>
      </c>
      <c r="E114" s="2953">
        <v>92.628600000000006</v>
      </c>
      <c r="F114" s="2957" t="s">
        <v>3118</v>
      </c>
    </row>
    <row r="115" spans="1:6">
      <c r="A115" s="2953" t="s">
        <v>3069</v>
      </c>
      <c r="B115" s="2953" t="s">
        <v>3115</v>
      </c>
      <c r="C115" s="2953">
        <v>8</v>
      </c>
      <c r="D115" s="2953" t="s">
        <v>3109</v>
      </c>
      <c r="E115" s="2953">
        <v>92.628600000000006</v>
      </c>
      <c r="F115" s="2957" t="s">
        <v>3118</v>
      </c>
    </row>
    <row r="116" spans="1:6">
      <c r="A116" s="2953" t="s">
        <v>3069</v>
      </c>
      <c r="B116" s="2953" t="s">
        <v>3106</v>
      </c>
      <c r="C116" s="2953">
        <v>9</v>
      </c>
      <c r="D116" s="2953" t="s">
        <v>3071</v>
      </c>
      <c r="E116" s="2953">
        <v>103.6872</v>
      </c>
      <c r="F116" s="2957" t="s">
        <v>3118</v>
      </c>
    </row>
    <row r="117" spans="1:6">
      <c r="A117" s="2953" t="s">
        <v>3069</v>
      </c>
      <c r="B117" s="2953" t="s">
        <v>3106</v>
      </c>
      <c r="C117" s="2953">
        <v>9</v>
      </c>
      <c r="D117" s="2953" t="s">
        <v>3107</v>
      </c>
      <c r="E117" s="2953">
        <v>103.7864</v>
      </c>
      <c r="F117" s="2957" t="s">
        <v>3118</v>
      </c>
    </row>
    <row r="118" spans="1:6">
      <c r="A118" s="2953" t="s">
        <v>3069</v>
      </c>
      <c r="B118" s="2953" t="s">
        <v>3106</v>
      </c>
      <c r="C118" s="2953">
        <v>9</v>
      </c>
      <c r="D118" s="2953" t="s">
        <v>3108</v>
      </c>
      <c r="E118" s="2953">
        <v>131.83160000000001</v>
      </c>
      <c r="F118" s="2957" t="s">
        <v>3118</v>
      </c>
    </row>
    <row r="119" spans="1:6">
      <c r="A119" s="2953" t="s">
        <v>3069</v>
      </c>
      <c r="B119" s="2953" t="s">
        <v>3106</v>
      </c>
      <c r="C119" s="2953">
        <v>9</v>
      </c>
      <c r="D119" s="2953" t="s">
        <v>3109</v>
      </c>
      <c r="E119" s="2953">
        <v>131.6439</v>
      </c>
      <c r="F119" s="2957" t="s">
        <v>3118</v>
      </c>
    </row>
    <row r="120" spans="1:6">
      <c r="A120" s="2953" t="s">
        <v>3069</v>
      </c>
      <c r="B120" s="2953" t="s">
        <v>3110</v>
      </c>
      <c r="C120" s="2953">
        <v>9</v>
      </c>
      <c r="D120" s="2953" t="s">
        <v>3071</v>
      </c>
      <c r="E120" s="2953">
        <v>103.7864</v>
      </c>
      <c r="F120" s="2957" t="s">
        <v>3118</v>
      </c>
    </row>
    <row r="121" spans="1:6">
      <c r="A121" s="2953" t="s">
        <v>3069</v>
      </c>
      <c r="B121" s="2953" t="s">
        <v>3110</v>
      </c>
      <c r="C121" s="2953">
        <v>9</v>
      </c>
      <c r="D121" s="2953" t="s">
        <v>3107</v>
      </c>
      <c r="E121" s="2953">
        <v>103.7864</v>
      </c>
      <c r="F121" s="2957" t="s">
        <v>3118</v>
      </c>
    </row>
    <row r="122" spans="1:6">
      <c r="A122" s="2953" t="s">
        <v>3069</v>
      </c>
      <c r="B122" s="2953" t="s">
        <v>3110</v>
      </c>
      <c r="C122" s="2953">
        <v>9</v>
      </c>
      <c r="D122" s="2953" t="s">
        <v>3108</v>
      </c>
      <c r="E122" s="2953">
        <v>131.50129999999999</v>
      </c>
      <c r="F122" s="2957" t="s">
        <v>3118</v>
      </c>
    </row>
    <row r="123" spans="1:6">
      <c r="A123" s="2953" t="s">
        <v>3069</v>
      </c>
      <c r="B123" s="2953" t="s">
        <v>3110</v>
      </c>
      <c r="C123" s="2953">
        <v>9</v>
      </c>
      <c r="D123" s="2953" t="s">
        <v>3109</v>
      </c>
      <c r="E123" s="2953">
        <v>131.83160000000001</v>
      </c>
      <c r="F123" s="2957" t="s">
        <v>3118</v>
      </c>
    </row>
    <row r="124" spans="1:6">
      <c r="A124" s="2953" t="s">
        <v>3069</v>
      </c>
      <c r="B124" s="2953" t="s">
        <v>3115</v>
      </c>
      <c r="C124" s="2953">
        <v>9</v>
      </c>
      <c r="D124" s="2953" t="s">
        <v>3071</v>
      </c>
      <c r="E124" s="2953">
        <v>90.76</v>
      </c>
      <c r="F124" s="2957" t="s">
        <v>3118</v>
      </c>
    </row>
    <row r="125" spans="1:6">
      <c r="A125" s="2953" t="s">
        <v>3069</v>
      </c>
      <c r="B125" s="2953" t="s">
        <v>3115</v>
      </c>
      <c r="C125" s="2953">
        <v>9</v>
      </c>
      <c r="D125" s="2953" t="s">
        <v>3107</v>
      </c>
      <c r="E125" s="2953">
        <v>90.850399999999993</v>
      </c>
      <c r="F125" s="2957" t="s">
        <v>3118</v>
      </c>
    </row>
    <row r="126" spans="1:6">
      <c r="A126" s="2953" t="s">
        <v>3069</v>
      </c>
      <c r="B126" s="2953" t="s">
        <v>3115</v>
      </c>
      <c r="C126" s="2953">
        <v>9</v>
      </c>
      <c r="D126" s="2953" t="s">
        <v>3108</v>
      </c>
      <c r="E126" s="2953">
        <v>92.628600000000006</v>
      </c>
      <c r="F126" s="2957" t="s">
        <v>3118</v>
      </c>
    </row>
    <row r="127" spans="1:6">
      <c r="A127" s="2953" t="s">
        <v>3069</v>
      </c>
      <c r="B127" s="2953" t="s">
        <v>3115</v>
      </c>
      <c r="C127" s="2953">
        <v>9</v>
      </c>
      <c r="D127" s="2953" t="s">
        <v>3109</v>
      </c>
      <c r="E127" s="2953">
        <v>92.628600000000006</v>
      </c>
      <c r="F127" s="2957" t="s">
        <v>3118</v>
      </c>
    </row>
    <row r="128" spans="1:6">
      <c r="A128" s="2953" t="s">
        <v>3069</v>
      </c>
      <c r="B128" s="2953" t="s">
        <v>3106</v>
      </c>
      <c r="C128" s="2953">
        <v>10</v>
      </c>
      <c r="D128" s="2953" t="s">
        <v>3071</v>
      </c>
      <c r="E128" s="2953">
        <v>103.6872</v>
      </c>
      <c r="F128" s="2957" t="s">
        <v>3118</v>
      </c>
    </row>
    <row r="129" spans="1:6">
      <c r="A129" s="2953" t="s">
        <v>3069</v>
      </c>
      <c r="B129" s="2953" t="s">
        <v>3106</v>
      </c>
      <c r="C129" s="2953">
        <v>10</v>
      </c>
      <c r="D129" s="2953" t="s">
        <v>3107</v>
      </c>
      <c r="E129" s="2953">
        <v>103.7864</v>
      </c>
      <c r="F129" s="2957" t="s">
        <v>3118</v>
      </c>
    </row>
    <row r="130" spans="1:6">
      <c r="A130" s="2953" t="s">
        <v>3069</v>
      </c>
      <c r="B130" s="2953" t="s">
        <v>3106</v>
      </c>
      <c r="C130" s="2953">
        <v>10</v>
      </c>
      <c r="D130" s="2953" t="s">
        <v>3108</v>
      </c>
      <c r="E130" s="2953">
        <v>131.83160000000001</v>
      </c>
      <c r="F130" s="2957" t="s">
        <v>3118</v>
      </c>
    </row>
    <row r="131" spans="1:6">
      <c r="A131" s="2953" t="s">
        <v>3069</v>
      </c>
      <c r="B131" s="2953" t="s">
        <v>3106</v>
      </c>
      <c r="C131" s="2953">
        <v>10</v>
      </c>
      <c r="D131" s="2953" t="s">
        <v>3109</v>
      </c>
      <c r="E131" s="2953">
        <v>131.6439</v>
      </c>
      <c r="F131" s="2957" t="s">
        <v>3118</v>
      </c>
    </row>
    <row r="132" spans="1:6">
      <c r="A132" s="2953" t="s">
        <v>3069</v>
      </c>
      <c r="B132" s="2953" t="s">
        <v>3110</v>
      </c>
      <c r="C132" s="2953">
        <v>10</v>
      </c>
      <c r="D132" s="2953" t="s">
        <v>3071</v>
      </c>
      <c r="E132" s="2953">
        <v>103.7864</v>
      </c>
      <c r="F132" s="2957" t="s">
        <v>3118</v>
      </c>
    </row>
    <row r="133" spans="1:6">
      <c r="A133" s="2953" t="s">
        <v>3069</v>
      </c>
      <c r="B133" s="2953" t="s">
        <v>3110</v>
      </c>
      <c r="C133" s="2953">
        <v>10</v>
      </c>
      <c r="D133" s="2953" t="s">
        <v>3107</v>
      </c>
      <c r="E133" s="2953">
        <v>103.7864</v>
      </c>
      <c r="F133" s="2957" t="s">
        <v>3118</v>
      </c>
    </row>
    <row r="134" spans="1:6">
      <c r="A134" s="2953" t="s">
        <v>3069</v>
      </c>
      <c r="B134" s="2953" t="s">
        <v>3110</v>
      </c>
      <c r="C134" s="2953">
        <v>10</v>
      </c>
      <c r="D134" s="2953" t="s">
        <v>3108</v>
      </c>
      <c r="E134" s="2953">
        <v>131.50129999999999</v>
      </c>
      <c r="F134" s="2957" t="s">
        <v>3118</v>
      </c>
    </row>
    <row r="135" spans="1:6">
      <c r="A135" s="2953" t="s">
        <v>3069</v>
      </c>
      <c r="B135" s="2953" t="s">
        <v>3110</v>
      </c>
      <c r="C135" s="2953">
        <v>10</v>
      </c>
      <c r="D135" s="2953" t="s">
        <v>3109</v>
      </c>
      <c r="E135" s="2953">
        <v>131.83160000000001</v>
      </c>
      <c r="F135" s="2957" t="s">
        <v>3118</v>
      </c>
    </row>
    <row r="136" spans="1:6">
      <c r="A136" s="2953" t="s">
        <v>3069</v>
      </c>
      <c r="B136" s="2953" t="s">
        <v>3115</v>
      </c>
      <c r="C136" s="2953">
        <v>10</v>
      </c>
      <c r="D136" s="2953" t="s">
        <v>3071</v>
      </c>
      <c r="E136" s="2953">
        <v>90.76</v>
      </c>
      <c r="F136" s="2957" t="s">
        <v>3118</v>
      </c>
    </row>
    <row r="137" spans="1:6">
      <c r="A137" s="2953" t="s">
        <v>3069</v>
      </c>
      <c r="B137" s="2953" t="s">
        <v>3115</v>
      </c>
      <c r="C137" s="2953">
        <v>10</v>
      </c>
      <c r="D137" s="2953" t="s">
        <v>3107</v>
      </c>
      <c r="E137" s="2953">
        <v>90.850399999999993</v>
      </c>
      <c r="F137" s="2957" t="s">
        <v>3118</v>
      </c>
    </row>
    <row r="138" spans="1:6">
      <c r="A138" s="2953" t="s">
        <v>3069</v>
      </c>
      <c r="B138" s="2953" t="s">
        <v>3115</v>
      </c>
      <c r="C138" s="2953">
        <v>10</v>
      </c>
      <c r="D138" s="2953" t="s">
        <v>3108</v>
      </c>
      <c r="E138" s="2953">
        <v>92.628600000000006</v>
      </c>
      <c r="F138" s="2957" t="s">
        <v>3118</v>
      </c>
    </row>
    <row r="139" spans="1:6">
      <c r="A139" s="2953" t="s">
        <v>3069</v>
      </c>
      <c r="B139" s="2953" t="s">
        <v>3115</v>
      </c>
      <c r="C139" s="2953">
        <v>10</v>
      </c>
      <c r="D139" s="2953" t="s">
        <v>3109</v>
      </c>
      <c r="E139" s="2953">
        <v>92.628600000000006</v>
      </c>
      <c r="F139" s="2957" t="s">
        <v>3118</v>
      </c>
    </row>
    <row r="140" spans="1:6">
      <c r="A140" s="2953" t="s">
        <v>3069</v>
      </c>
      <c r="B140" s="2953" t="s">
        <v>3106</v>
      </c>
      <c r="C140" s="2953">
        <v>11</v>
      </c>
      <c r="D140" s="2953" t="s">
        <v>3071</v>
      </c>
      <c r="E140" s="2953">
        <v>103.6872</v>
      </c>
      <c r="F140" s="2957" t="s">
        <v>3118</v>
      </c>
    </row>
    <row r="141" spans="1:6">
      <c r="A141" s="2953" t="s">
        <v>3069</v>
      </c>
      <c r="B141" s="2953" t="s">
        <v>3106</v>
      </c>
      <c r="C141" s="2953">
        <v>11</v>
      </c>
      <c r="D141" s="2953" t="s">
        <v>3107</v>
      </c>
      <c r="E141" s="2953">
        <v>103.7864</v>
      </c>
      <c r="F141" s="2957" t="s">
        <v>3118</v>
      </c>
    </row>
    <row r="142" spans="1:6">
      <c r="A142" s="2953" t="s">
        <v>3069</v>
      </c>
      <c r="B142" s="2953" t="s">
        <v>3106</v>
      </c>
      <c r="C142" s="2953">
        <v>11</v>
      </c>
      <c r="D142" s="2953" t="s">
        <v>3108</v>
      </c>
      <c r="E142" s="2953">
        <v>131.83160000000001</v>
      </c>
      <c r="F142" s="2957" t="s">
        <v>3118</v>
      </c>
    </row>
    <row r="143" spans="1:6">
      <c r="A143" s="2953" t="s">
        <v>3069</v>
      </c>
      <c r="B143" s="2953" t="s">
        <v>3106</v>
      </c>
      <c r="C143" s="2953">
        <v>11</v>
      </c>
      <c r="D143" s="2953" t="s">
        <v>3109</v>
      </c>
      <c r="E143" s="2953">
        <v>131.6439</v>
      </c>
      <c r="F143" s="2957" t="s">
        <v>3118</v>
      </c>
    </row>
    <row r="144" spans="1:6">
      <c r="A144" s="2953" t="s">
        <v>3069</v>
      </c>
      <c r="B144" s="2953" t="s">
        <v>3110</v>
      </c>
      <c r="C144" s="2953">
        <v>11</v>
      </c>
      <c r="D144" s="2953" t="s">
        <v>3071</v>
      </c>
      <c r="E144" s="2953">
        <v>103.7864</v>
      </c>
      <c r="F144" s="2957" t="s">
        <v>3118</v>
      </c>
    </row>
    <row r="145" spans="1:6">
      <c r="A145" s="2953" t="s">
        <v>3069</v>
      </c>
      <c r="B145" s="2953" t="s">
        <v>3110</v>
      </c>
      <c r="C145" s="2953">
        <v>11</v>
      </c>
      <c r="D145" s="2953" t="s">
        <v>3107</v>
      </c>
      <c r="E145" s="2953">
        <v>103.7864</v>
      </c>
      <c r="F145" s="2957" t="s">
        <v>3118</v>
      </c>
    </row>
    <row r="146" spans="1:6">
      <c r="A146" s="2953" t="s">
        <v>3069</v>
      </c>
      <c r="B146" s="2953" t="s">
        <v>3110</v>
      </c>
      <c r="C146" s="2953">
        <v>11</v>
      </c>
      <c r="D146" s="2953" t="s">
        <v>3108</v>
      </c>
      <c r="E146" s="2953">
        <v>131.50129999999999</v>
      </c>
      <c r="F146" s="2957" t="s">
        <v>3118</v>
      </c>
    </row>
    <row r="147" spans="1:6">
      <c r="A147" s="2953" t="s">
        <v>3069</v>
      </c>
      <c r="B147" s="2953" t="s">
        <v>3110</v>
      </c>
      <c r="C147" s="2953">
        <v>11</v>
      </c>
      <c r="D147" s="2953" t="s">
        <v>3109</v>
      </c>
      <c r="E147" s="2953">
        <v>131.83160000000001</v>
      </c>
      <c r="F147" s="2957" t="s">
        <v>3118</v>
      </c>
    </row>
    <row r="148" spans="1:6">
      <c r="A148" s="2953" t="s">
        <v>3069</v>
      </c>
      <c r="B148" s="2953" t="s">
        <v>3115</v>
      </c>
      <c r="C148" s="2953">
        <v>11</v>
      </c>
      <c r="D148" s="2953" t="s">
        <v>3071</v>
      </c>
      <c r="E148" s="2953">
        <v>90.76</v>
      </c>
      <c r="F148" s="2957" t="s">
        <v>3118</v>
      </c>
    </row>
    <row r="149" spans="1:6">
      <c r="A149" s="2953" t="s">
        <v>3069</v>
      </c>
      <c r="B149" s="2953" t="s">
        <v>3115</v>
      </c>
      <c r="C149" s="2953">
        <v>11</v>
      </c>
      <c r="D149" s="2953" t="s">
        <v>3107</v>
      </c>
      <c r="E149" s="2953">
        <v>90.850399999999993</v>
      </c>
      <c r="F149" s="2957" t="s">
        <v>3118</v>
      </c>
    </row>
    <row r="150" spans="1:6">
      <c r="A150" s="2953" t="s">
        <v>3069</v>
      </c>
      <c r="B150" s="2953" t="s">
        <v>3115</v>
      </c>
      <c r="C150" s="2953">
        <v>11</v>
      </c>
      <c r="D150" s="2953" t="s">
        <v>3108</v>
      </c>
      <c r="E150" s="2953">
        <v>92.628600000000006</v>
      </c>
      <c r="F150" s="2957" t="s">
        <v>3118</v>
      </c>
    </row>
    <row r="151" spans="1:6">
      <c r="A151" s="2953" t="s">
        <v>3069</v>
      </c>
      <c r="B151" s="2953" t="s">
        <v>3115</v>
      </c>
      <c r="C151" s="2953">
        <v>11</v>
      </c>
      <c r="D151" s="2953" t="s">
        <v>3109</v>
      </c>
      <c r="E151" s="2953">
        <v>92.628600000000006</v>
      </c>
      <c r="F151" s="2957" t="s">
        <v>3118</v>
      </c>
    </row>
    <row r="152" spans="1:6">
      <c r="A152" s="2953" t="s">
        <v>3069</v>
      </c>
      <c r="B152" s="2953" t="s">
        <v>3106</v>
      </c>
      <c r="C152" s="2953">
        <v>12</v>
      </c>
      <c r="D152" s="2953" t="s">
        <v>3071</v>
      </c>
      <c r="E152" s="2953">
        <v>103.6872</v>
      </c>
      <c r="F152" s="2957" t="s">
        <v>3118</v>
      </c>
    </row>
    <row r="153" spans="1:6">
      <c r="A153" s="2953" t="s">
        <v>3069</v>
      </c>
      <c r="B153" s="2953" t="s">
        <v>3106</v>
      </c>
      <c r="C153" s="2953">
        <v>12</v>
      </c>
      <c r="D153" s="2953" t="s">
        <v>3107</v>
      </c>
      <c r="E153" s="2953">
        <v>103.7864</v>
      </c>
      <c r="F153" s="2957" t="s">
        <v>3118</v>
      </c>
    </row>
    <row r="154" spans="1:6">
      <c r="A154" s="2953" t="s">
        <v>3069</v>
      </c>
      <c r="B154" s="2953" t="s">
        <v>3106</v>
      </c>
      <c r="C154" s="2953">
        <v>12</v>
      </c>
      <c r="D154" s="2953" t="s">
        <v>3108</v>
      </c>
      <c r="E154" s="2953">
        <v>131.83160000000001</v>
      </c>
      <c r="F154" s="2957" t="s">
        <v>3118</v>
      </c>
    </row>
    <row r="155" spans="1:6">
      <c r="A155" s="2953" t="s">
        <v>3069</v>
      </c>
      <c r="B155" s="2953" t="s">
        <v>3106</v>
      </c>
      <c r="C155" s="2953">
        <v>12</v>
      </c>
      <c r="D155" s="2953" t="s">
        <v>3109</v>
      </c>
      <c r="E155" s="2953">
        <v>131.6439</v>
      </c>
      <c r="F155" s="2957" t="s">
        <v>3118</v>
      </c>
    </row>
    <row r="156" spans="1:6">
      <c r="A156" s="2953" t="s">
        <v>3069</v>
      </c>
      <c r="B156" s="2953" t="s">
        <v>3110</v>
      </c>
      <c r="C156" s="2953">
        <v>12</v>
      </c>
      <c r="D156" s="2953" t="s">
        <v>3071</v>
      </c>
      <c r="E156" s="2953">
        <v>103.7864</v>
      </c>
      <c r="F156" s="2957" t="s">
        <v>3118</v>
      </c>
    </row>
    <row r="157" spans="1:6">
      <c r="A157" s="2953" t="s">
        <v>3069</v>
      </c>
      <c r="B157" s="2953" t="s">
        <v>3110</v>
      </c>
      <c r="C157" s="2953">
        <v>12</v>
      </c>
      <c r="D157" s="2953" t="s">
        <v>3107</v>
      </c>
      <c r="E157" s="2953">
        <v>103.7864</v>
      </c>
      <c r="F157" s="2957" t="s">
        <v>3118</v>
      </c>
    </row>
    <row r="158" spans="1:6">
      <c r="A158" s="2953" t="s">
        <v>3069</v>
      </c>
      <c r="B158" s="2953" t="s">
        <v>3110</v>
      </c>
      <c r="C158" s="2953">
        <v>12</v>
      </c>
      <c r="D158" s="2953" t="s">
        <v>3108</v>
      </c>
      <c r="E158" s="2953">
        <v>131.50129999999999</v>
      </c>
      <c r="F158" s="2957" t="s">
        <v>3118</v>
      </c>
    </row>
    <row r="159" spans="1:6">
      <c r="A159" s="2953" t="s">
        <v>3069</v>
      </c>
      <c r="B159" s="2953" t="s">
        <v>3110</v>
      </c>
      <c r="C159" s="2953">
        <v>12</v>
      </c>
      <c r="D159" s="2953" t="s">
        <v>3109</v>
      </c>
      <c r="E159" s="2953">
        <v>131.83160000000001</v>
      </c>
      <c r="F159" s="2957" t="s">
        <v>3118</v>
      </c>
    </row>
    <row r="160" spans="1:6">
      <c r="A160" s="2953" t="s">
        <v>3069</v>
      </c>
      <c r="B160" s="2953" t="s">
        <v>3115</v>
      </c>
      <c r="C160" s="2953">
        <v>12</v>
      </c>
      <c r="D160" s="2953" t="s">
        <v>3071</v>
      </c>
      <c r="E160" s="2953">
        <v>90.76</v>
      </c>
      <c r="F160" s="2957" t="s">
        <v>3118</v>
      </c>
    </row>
    <row r="161" spans="1:6">
      <c r="A161" s="2953" t="s">
        <v>3069</v>
      </c>
      <c r="B161" s="2953" t="s">
        <v>3115</v>
      </c>
      <c r="C161" s="2953">
        <v>12</v>
      </c>
      <c r="D161" s="2953" t="s">
        <v>3107</v>
      </c>
      <c r="E161" s="2953">
        <v>90.850399999999993</v>
      </c>
      <c r="F161" s="2957" t="s">
        <v>3118</v>
      </c>
    </row>
    <row r="162" spans="1:6">
      <c r="A162" s="2953" t="s">
        <v>3069</v>
      </c>
      <c r="B162" s="2953" t="s">
        <v>3115</v>
      </c>
      <c r="C162" s="2953">
        <v>12</v>
      </c>
      <c r="D162" s="2953" t="s">
        <v>3108</v>
      </c>
      <c r="E162" s="2953">
        <v>92.628600000000006</v>
      </c>
      <c r="F162" s="2957" t="s">
        <v>3118</v>
      </c>
    </row>
    <row r="163" spans="1:6">
      <c r="A163" s="2953" t="s">
        <v>3069</v>
      </c>
      <c r="B163" s="2953" t="s">
        <v>3115</v>
      </c>
      <c r="C163" s="2953">
        <v>12</v>
      </c>
      <c r="D163" s="2953" t="s">
        <v>3109</v>
      </c>
      <c r="E163" s="2953">
        <v>92.628600000000006</v>
      </c>
      <c r="F163" s="2957" t="s">
        <v>3118</v>
      </c>
    </row>
    <row r="164" spans="1:6">
      <c r="A164" s="2953" t="s">
        <v>3069</v>
      </c>
      <c r="B164" s="2953" t="s">
        <v>3106</v>
      </c>
      <c r="C164" s="2953">
        <v>13</v>
      </c>
      <c r="D164" s="2953" t="s">
        <v>3071</v>
      </c>
      <c r="E164" s="2953">
        <v>103.6872</v>
      </c>
      <c r="F164" s="2957" t="s">
        <v>3118</v>
      </c>
    </row>
    <row r="165" spans="1:6">
      <c r="A165" s="2953" t="s">
        <v>3069</v>
      </c>
      <c r="B165" s="2953" t="s">
        <v>3106</v>
      </c>
      <c r="C165" s="2953">
        <v>13</v>
      </c>
      <c r="D165" s="2953" t="s">
        <v>3107</v>
      </c>
      <c r="E165" s="2953">
        <v>103.7864</v>
      </c>
      <c r="F165" s="2957" t="s">
        <v>3118</v>
      </c>
    </row>
    <row r="166" spans="1:6">
      <c r="A166" s="2953" t="s">
        <v>3069</v>
      </c>
      <c r="B166" s="2953" t="s">
        <v>3106</v>
      </c>
      <c r="C166" s="2953">
        <v>13</v>
      </c>
      <c r="D166" s="2953" t="s">
        <v>3108</v>
      </c>
      <c r="E166" s="2953">
        <v>131.83160000000001</v>
      </c>
      <c r="F166" s="2957" t="s">
        <v>3118</v>
      </c>
    </row>
    <row r="167" spans="1:6">
      <c r="A167" s="2953" t="s">
        <v>3069</v>
      </c>
      <c r="B167" s="2953" t="s">
        <v>3106</v>
      </c>
      <c r="C167" s="2953">
        <v>13</v>
      </c>
      <c r="D167" s="2953" t="s">
        <v>3109</v>
      </c>
      <c r="E167" s="2953">
        <v>131.6439</v>
      </c>
      <c r="F167" s="2957" t="s">
        <v>3118</v>
      </c>
    </row>
    <row r="168" spans="1:6">
      <c r="A168" s="2953" t="s">
        <v>3069</v>
      </c>
      <c r="B168" s="2953" t="s">
        <v>3110</v>
      </c>
      <c r="C168" s="2953">
        <v>13</v>
      </c>
      <c r="D168" s="2953" t="s">
        <v>3071</v>
      </c>
      <c r="E168" s="2953">
        <v>103.7864</v>
      </c>
      <c r="F168" s="2957" t="s">
        <v>3118</v>
      </c>
    </row>
    <row r="169" spans="1:6">
      <c r="A169" s="2953" t="s">
        <v>3069</v>
      </c>
      <c r="B169" s="2953" t="s">
        <v>3110</v>
      </c>
      <c r="C169" s="2953">
        <v>13</v>
      </c>
      <c r="D169" s="2953" t="s">
        <v>3107</v>
      </c>
      <c r="E169" s="2953">
        <v>103.7864</v>
      </c>
      <c r="F169" s="2957" t="s">
        <v>3118</v>
      </c>
    </row>
    <row r="170" spans="1:6">
      <c r="A170" s="2953" t="s">
        <v>3069</v>
      </c>
      <c r="B170" s="2953" t="s">
        <v>3110</v>
      </c>
      <c r="C170" s="2953">
        <v>13</v>
      </c>
      <c r="D170" s="2953" t="s">
        <v>3108</v>
      </c>
      <c r="E170" s="2953">
        <v>131.50129999999999</v>
      </c>
      <c r="F170" s="2957" t="s">
        <v>3118</v>
      </c>
    </row>
    <row r="171" spans="1:6">
      <c r="A171" s="2953" t="s">
        <v>3069</v>
      </c>
      <c r="B171" s="2953" t="s">
        <v>3110</v>
      </c>
      <c r="C171" s="2953">
        <v>13</v>
      </c>
      <c r="D171" s="2953" t="s">
        <v>3109</v>
      </c>
      <c r="E171" s="2953">
        <v>131.83160000000001</v>
      </c>
      <c r="F171" s="2957" t="s">
        <v>3118</v>
      </c>
    </row>
    <row r="172" spans="1:6">
      <c r="A172" s="2953" t="s">
        <v>3069</v>
      </c>
      <c r="B172" s="2953" t="s">
        <v>3115</v>
      </c>
      <c r="C172" s="2953">
        <v>13</v>
      </c>
      <c r="D172" s="2953" t="s">
        <v>3071</v>
      </c>
      <c r="E172" s="2953">
        <v>90.76</v>
      </c>
      <c r="F172" s="2957" t="s">
        <v>3118</v>
      </c>
    </row>
    <row r="173" spans="1:6">
      <c r="A173" s="2953" t="s">
        <v>3069</v>
      </c>
      <c r="B173" s="2953" t="s">
        <v>3115</v>
      </c>
      <c r="C173" s="2953">
        <v>13</v>
      </c>
      <c r="D173" s="2953" t="s">
        <v>3107</v>
      </c>
      <c r="E173" s="2953">
        <v>90.850399999999993</v>
      </c>
      <c r="F173" s="2957" t="s">
        <v>3118</v>
      </c>
    </row>
    <row r="174" spans="1:6">
      <c r="A174" s="2953" t="s">
        <v>3069</v>
      </c>
      <c r="B174" s="2953" t="s">
        <v>3115</v>
      </c>
      <c r="C174" s="2953">
        <v>13</v>
      </c>
      <c r="D174" s="2953" t="s">
        <v>3108</v>
      </c>
      <c r="E174" s="2953">
        <v>92.628600000000006</v>
      </c>
      <c r="F174" s="2957" t="s">
        <v>3118</v>
      </c>
    </row>
    <row r="175" spans="1:6">
      <c r="A175" s="2953" t="s">
        <v>3069</v>
      </c>
      <c r="B175" s="2953" t="s">
        <v>3115</v>
      </c>
      <c r="C175" s="2953">
        <v>13</v>
      </c>
      <c r="D175" s="2953" t="s">
        <v>3109</v>
      </c>
      <c r="E175" s="2953">
        <v>92.628600000000006</v>
      </c>
      <c r="F175" s="2957" t="s">
        <v>3118</v>
      </c>
    </row>
    <row r="176" spans="1:6">
      <c r="A176" s="2953" t="s">
        <v>3069</v>
      </c>
      <c r="B176" s="2953" t="s">
        <v>3106</v>
      </c>
      <c r="C176" s="2953">
        <v>14</v>
      </c>
      <c r="D176" s="2953" t="s">
        <v>3071</v>
      </c>
      <c r="E176" s="2953">
        <v>103.6872</v>
      </c>
      <c r="F176" s="2957" t="s">
        <v>3118</v>
      </c>
    </row>
    <row r="177" spans="1:6">
      <c r="A177" s="2953" t="s">
        <v>3069</v>
      </c>
      <c r="B177" s="2953" t="s">
        <v>3106</v>
      </c>
      <c r="C177" s="2953">
        <v>14</v>
      </c>
      <c r="D177" s="2953" t="s">
        <v>3107</v>
      </c>
      <c r="E177" s="2953">
        <v>103.7864</v>
      </c>
      <c r="F177" s="2957" t="s">
        <v>3118</v>
      </c>
    </row>
    <row r="178" spans="1:6">
      <c r="A178" s="2953" t="s">
        <v>3069</v>
      </c>
      <c r="B178" s="2953" t="s">
        <v>3106</v>
      </c>
      <c r="C178" s="2953">
        <v>14</v>
      </c>
      <c r="D178" s="2953" t="s">
        <v>3108</v>
      </c>
      <c r="E178" s="2953">
        <v>131.83160000000001</v>
      </c>
      <c r="F178" s="2957" t="s">
        <v>3118</v>
      </c>
    </row>
    <row r="179" spans="1:6">
      <c r="A179" s="2953" t="s">
        <v>3069</v>
      </c>
      <c r="B179" s="2953" t="s">
        <v>3106</v>
      </c>
      <c r="C179" s="2953">
        <v>14</v>
      </c>
      <c r="D179" s="2953" t="s">
        <v>3109</v>
      </c>
      <c r="E179" s="2953">
        <v>131.6439</v>
      </c>
      <c r="F179" s="2957" t="s">
        <v>3118</v>
      </c>
    </row>
    <row r="180" spans="1:6">
      <c r="A180" s="2953" t="s">
        <v>3069</v>
      </c>
      <c r="B180" s="2953" t="s">
        <v>3110</v>
      </c>
      <c r="C180" s="2953">
        <v>14</v>
      </c>
      <c r="D180" s="2953" t="s">
        <v>3071</v>
      </c>
      <c r="E180" s="2953">
        <v>103.7864</v>
      </c>
      <c r="F180" s="2957" t="s">
        <v>3118</v>
      </c>
    </row>
    <row r="181" spans="1:6">
      <c r="A181" s="2953" t="s">
        <v>3069</v>
      </c>
      <c r="B181" s="2953" t="s">
        <v>3110</v>
      </c>
      <c r="C181" s="2953">
        <v>14</v>
      </c>
      <c r="D181" s="2953" t="s">
        <v>3107</v>
      </c>
      <c r="E181" s="2953">
        <v>103.7864</v>
      </c>
      <c r="F181" s="2957" t="s">
        <v>3118</v>
      </c>
    </row>
    <row r="182" spans="1:6">
      <c r="A182" s="2953" t="s">
        <v>3069</v>
      </c>
      <c r="B182" s="2953" t="s">
        <v>3110</v>
      </c>
      <c r="C182" s="2953">
        <v>14</v>
      </c>
      <c r="D182" s="2953" t="s">
        <v>3108</v>
      </c>
      <c r="E182" s="2953">
        <v>131.50129999999999</v>
      </c>
      <c r="F182" s="2957" t="s">
        <v>3118</v>
      </c>
    </row>
    <row r="183" spans="1:6">
      <c r="A183" s="2953" t="s">
        <v>3069</v>
      </c>
      <c r="B183" s="2953" t="s">
        <v>3110</v>
      </c>
      <c r="C183" s="2953">
        <v>14</v>
      </c>
      <c r="D183" s="2953" t="s">
        <v>3109</v>
      </c>
      <c r="E183" s="2953">
        <v>131.83160000000001</v>
      </c>
      <c r="F183" s="2957" t="s">
        <v>3118</v>
      </c>
    </row>
    <row r="184" spans="1:6">
      <c r="A184" s="2953" t="s">
        <v>3069</v>
      </c>
      <c r="B184" s="2953" t="s">
        <v>3115</v>
      </c>
      <c r="C184" s="2953">
        <v>14</v>
      </c>
      <c r="D184" s="2953" t="s">
        <v>3071</v>
      </c>
      <c r="E184" s="2953">
        <v>90.76</v>
      </c>
      <c r="F184" s="2957" t="s">
        <v>3118</v>
      </c>
    </row>
    <row r="185" spans="1:6">
      <c r="A185" s="2953" t="s">
        <v>3069</v>
      </c>
      <c r="B185" s="2953" t="s">
        <v>3115</v>
      </c>
      <c r="C185" s="2953">
        <v>14</v>
      </c>
      <c r="D185" s="2953" t="s">
        <v>3107</v>
      </c>
      <c r="E185" s="2953">
        <v>90.850399999999993</v>
      </c>
      <c r="F185" s="2957" t="s">
        <v>3118</v>
      </c>
    </row>
    <row r="186" spans="1:6">
      <c r="A186" s="2953" t="s">
        <v>3069</v>
      </c>
      <c r="B186" s="2953" t="s">
        <v>3115</v>
      </c>
      <c r="C186" s="2953">
        <v>14</v>
      </c>
      <c r="D186" s="2953" t="s">
        <v>3108</v>
      </c>
      <c r="E186" s="2953">
        <v>92.628600000000006</v>
      </c>
      <c r="F186" s="2957" t="s">
        <v>3118</v>
      </c>
    </row>
    <row r="187" spans="1:6">
      <c r="A187" s="2953" t="s">
        <v>3069</v>
      </c>
      <c r="B187" s="2953" t="s">
        <v>3115</v>
      </c>
      <c r="C187" s="2953">
        <v>14</v>
      </c>
      <c r="D187" s="2953" t="s">
        <v>3109</v>
      </c>
      <c r="E187" s="2953">
        <v>92.628600000000006</v>
      </c>
      <c r="F187" s="2957" t="s">
        <v>3118</v>
      </c>
    </row>
    <row r="188" spans="1:6">
      <c r="A188" s="2953" t="s">
        <v>3069</v>
      </c>
      <c r="B188" s="2953" t="s">
        <v>3106</v>
      </c>
      <c r="C188" s="2953">
        <v>15</v>
      </c>
      <c r="D188" s="2953" t="s">
        <v>3071</v>
      </c>
      <c r="E188" s="2953">
        <v>103.6872</v>
      </c>
      <c r="F188" s="2957" t="s">
        <v>3118</v>
      </c>
    </row>
    <row r="189" spans="1:6">
      <c r="A189" s="2953" t="s">
        <v>3069</v>
      </c>
      <c r="B189" s="2953" t="s">
        <v>3106</v>
      </c>
      <c r="C189" s="2953">
        <v>15</v>
      </c>
      <c r="D189" s="2953" t="s">
        <v>3107</v>
      </c>
      <c r="E189" s="2953">
        <v>103.7864</v>
      </c>
      <c r="F189" s="2957" t="s">
        <v>3118</v>
      </c>
    </row>
    <row r="190" spans="1:6">
      <c r="A190" s="2953" t="s">
        <v>3069</v>
      </c>
      <c r="B190" s="2953" t="s">
        <v>3106</v>
      </c>
      <c r="C190" s="2953">
        <v>15</v>
      </c>
      <c r="D190" s="2953" t="s">
        <v>3108</v>
      </c>
      <c r="E190" s="2953">
        <v>131.83160000000001</v>
      </c>
      <c r="F190" s="2957" t="s">
        <v>3118</v>
      </c>
    </row>
    <row r="191" spans="1:6">
      <c r="A191" s="2953" t="s">
        <v>3069</v>
      </c>
      <c r="B191" s="2953" t="s">
        <v>3106</v>
      </c>
      <c r="C191" s="2953">
        <v>15</v>
      </c>
      <c r="D191" s="2953" t="s">
        <v>3109</v>
      </c>
      <c r="E191" s="2953">
        <v>131.6439</v>
      </c>
      <c r="F191" s="2957" t="s">
        <v>3118</v>
      </c>
    </row>
    <row r="192" spans="1:6">
      <c r="A192" s="2953" t="s">
        <v>3069</v>
      </c>
      <c r="B192" s="2953" t="s">
        <v>3110</v>
      </c>
      <c r="C192" s="2953">
        <v>15</v>
      </c>
      <c r="D192" s="2953" t="s">
        <v>3071</v>
      </c>
      <c r="E192" s="2953">
        <v>103.7864</v>
      </c>
      <c r="F192" s="2957" t="s">
        <v>3118</v>
      </c>
    </row>
    <row r="193" spans="1:6">
      <c r="A193" s="2953" t="s">
        <v>3069</v>
      </c>
      <c r="B193" s="2953" t="s">
        <v>3110</v>
      </c>
      <c r="C193" s="2953">
        <v>15</v>
      </c>
      <c r="D193" s="2953" t="s">
        <v>3107</v>
      </c>
      <c r="E193" s="2953">
        <v>103.7864</v>
      </c>
      <c r="F193" s="2957" t="s">
        <v>3118</v>
      </c>
    </row>
    <row r="194" spans="1:6">
      <c r="A194" s="2953" t="s">
        <v>3069</v>
      </c>
      <c r="B194" s="2953" t="s">
        <v>3110</v>
      </c>
      <c r="C194" s="2953">
        <v>15</v>
      </c>
      <c r="D194" s="2953" t="s">
        <v>3108</v>
      </c>
      <c r="E194" s="2953">
        <v>131.50129999999999</v>
      </c>
      <c r="F194" s="2957" t="s">
        <v>3118</v>
      </c>
    </row>
    <row r="195" spans="1:6">
      <c r="A195" s="2953" t="s">
        <v>3069</v>
      </c>
      <c r="B195" s="2953" t="s">
        <v>3110</v>
      </c>
      <c r="C195" s="2953">
        <v>15</v>
      </c>
      <c r="D195" s="2953" t="s">
        <v>3109</v>
      </c>
      <c r="E195" s="2953">
        <v>131.83160000000001</v>
      </c>
      <c r="F195" s="2957" t="s">
        <v>3118</v>
      </c>
    </row>
    <row r="196" spans="1:6">
      <c r="A196" s="2953" t="s">
        <v>3069</v>
      </c>
      <c r="B196" s="2953" t="s">
        <v>3115</v>
      </c>
      <c r="C196" s="2953">
        <v>15</v>
      </c>
      <c r="D196" s="2953" t="s">
        <v>3071</v>
      </c>
      <c r="E196" s="2953">
        <v>90.76</v>
      </c>
      <c r="F196" s="2957" t="s">
        <v>3118</v>
      </c>
    </row>
    <row r="197" spans="1:6">
      <c r="A197" s="2953" t="s">
        <v>3069</v>
      </c>
      <c r="B197" s="2953" t="s">
        <v>3115</v>
      </c>
      <c r="C197" s="2953">
        <v>15</v>
      </c>
      <c r="D197" s="2953" t="s">
        <v>3107</v>
      </c>
      <c r="E197" s="2953">
        <v>90.850399999999993</v>
      </c>
      <c r="F197" s="2957" t="s">
        <v>3118</v>
      </c>
    </row>
    <row r="198" spans="1:6">
      <c r="A198" s="2953" t="s">
        <v>3069</v>
      </c>
      <c r="B198" s="2953" t="s">
        <v>3115</v>
      </c>
      <c r="C198" s="2953">
        <v>15</v>
      </c>
      <c r="D198" s="2953" t="s">
        <v>3108</v>
      </c>
      <c r="E198" s="2953">
        <v>92.628600000000006</v>
      </c>
      <c r="F198" s="2957" t="s">
        <v>3118</v>
      </c>
    </row>
    <row r="199" spans="1:6">
      <c r="A199" s="2953" t="s">
        <v>3069</v>
      </c>
      <c r="B199" s="2953" t="s">
        <v>3115</v>
      </c>
      <c r="C199" s="2953">
        <v>15</v>
      </c>
      <c r="D199" s="2953" t="s">
        <v>3109</v>
      </c>
      <c r="E199" s="2953">
        <v>92.628600000000006</v>
      </c>
      <c r="F199" s="2957" t="s">
        <v>3118</v>
      </c>
    </row>
    <row r="200" spans="1:6">
      <c r="A200" s="2953" t="s">
        <v>3069</v>
      </c>
      <c r="B200" s="2953" t="s">
        <v>3115</v>
      </c>
      <c r="C200" s="2953">
        <v>16</v>
      </c>
      <c r="D200" s="2953" t="s">
        <v>3071</v>
      </c>
      <c r="E200" s="2953">
        <v>90.76</v>
      </c>
      <c r="F200" s="2957" t="s">
        <v>3118</v>
      </c>
    </row>
    <row r="201" spans="1:6">
      <c r="A201" s="2953" t="s">
        <v>3069</v>
      </c>
      <c r="B201" s="2953" t="s">
        <v>3115</v>
      </c>
      <c r="C201" s="2953">
        <v>16</v>
      </c>
      <c r="D201" s="2953" t="s">
        <v>3107</v>
      </c>
      <c r="E201" s="2953">
        <v>90.850399999999993</v>
      </c>
      <c r="F201" s="2957" t="s">
        <v>3118</v>
      </c>
    </row>
    <row r="202" spans="1:6">
      <c r="A202" s="2953" t="s">
        <v>3069</v>
      </c>
      <c r="B202" s="2953" t="s">
        <v>3115</v>
      </c>
      <c r="C202" s="2953">
        <v>16</v>
      </c>
      <c r="D202" s="2953" t="s">
        <v>3108</v>
      </c>
      <c r="E202" s="2953">
        <v>92.628600000000006</v>
      </c>
      <c r="F202" s="2957" t="s">
        <v>3118</v>
      </c>
    </row>
    <row r="203" spans="1:6">
      <c r="A203" s="2953" t="s">
        <v>3069</v>
      </c>
      <c r="B203" s="2953" t="s">
        <v>3115</v>
      </c>
      <c r="C203" s="2953">
        <v>16</v>
      </c>
      <c r="D203" s="2953" t="s">
        <v>3109</v>
      </c>
      <c r="E203" s="2953">
        <v>92.628600000000006</v>
      </c>
      <c r="F203" s="2957" t="s">
        <v>3118</v>
      </c>
    </row>
    <row r="204" spans="1:6">
      <c r="A204" s="2953" t="s">
        <v>3069</v>
      </c>
      <c r="B204" s="2953" t="s">
        <v>3106</v>
      </c>
      <c r="C204" s="2953">
        <v>17</v>
      </c>
      <c r="D204" s="2953" t="s">
        <v>3071</v>
      </c>
      <c r="E204" s="2953">
        <v>103.8184</v>
      </c>
      <c r="F204" s="2957" t="s">
        <v>3118</v>
      </c>
    </row>
    <row r="205" spans="1:6">
      <c r="A205" s="2953" t="s">
        <v>3069</v>
      </c>
      <c r="B205" s="2953" t="s">
        <v>3106</v>
      </c>
      <c r="C205" s="2953">
        <v>17</v>
      </c>
      <c r="D205" s="2953" t="s">
        <v>3107</v>
      </c>
      <c r="E205" s="2953">
        <v>103.9188</v>
      </c>
      <c r="F205" s="2957" t="s">
        <v>3118</v>
      </c>
    </row>
    <row r="206" spans="1:6">
      <c r="A206" s="2953" t="s">
        <v>3069</v>
      </c>
      <c r="B206" s="2953" t="s">
        <v>3106</v>
      </c>
      <c r="C206" s="2953">
        <v>17</v>
      </c>
      <c r="D206" s="2953" t="s">
        <v>3108</v>
      </c>
      <c r="E206" s="2953">
        <v>132.40600000000001</v>
      </c>
      <c r="F206" s="2957" t="s">
        <v>3118</v>
      </c>
    </row>
    <row r="207" spans="1:6">
      <c r="A207" s="2953" t="s">
        <v>3069</v>
      </c>
      <c r="B207" s="2953" t="s">
        <v>3106</v>
      </c>
      <c r="C207" s="2953">
        <v>17</v>
      </c>
      <c r="D207" s="2953" t="s">
        <v>3109</v>
      </c>
      <c r="E207" s="2953">
        <v>132.20840000000001</v>
      </c>
      <c r="F207" s="2957" t="s">
        <v>3118</v>
      </c>
    </row>
    <row r="208" spans="1:6">
      <c r="A208" s="2953" t="s">
        <v>3069</v>
      </c>
      <c r="B208" s="2953" t="s">
        <v>3110</v>
      </c>
      <c r="C208" s="2953">
        <v>17</v>
      </c>
      <c r="D208" s="2953" t="s">
        <v>3071</v>
      </c>
      <c r="E208" s="2953">
        <v>103.9188</v>
      </c>
      <c r="F208" s="2957" t="s">
        <v>3118</v>
      </c>
    </row>
    <row r="209" spans="1:6">
      <c r="A209" s="2953" t="s">
        <v>3069</v>
      </c>
      <c r="B209" s="2953" t="s">
        <v>3110</v>
      </c>
      <c r="C209" s="2953">
        <v>17</v>
      </c>
      <c r="D209" s="2953" t="s">
        <v>3107</v>
      </c>
      <c r="E209" s="2953">
        <v>103.9188</v>
      </c>
      <c r="F209" s="2957" t="s">
        <v>3118</v>
      </c>
    </row>
    <row r="210" spans="1:6">
      <c r="A210" s="2953" t="s">
        <v>3069</v>
      </c>
      <c r="B210" s="2953" t="s">
        <v>3110</v>
      </c>
      <c r="C210" s="2953">
        <v>17</v>
      </c>
      <c r="D210" s="2953" t="s">
        <v>3108</v>
      </c>
      <c r="E210" s="2953">
        <v>132.20840000000001</v>
      </c>
      <c r="F210" s="2957" t="s">
        <v>3118</v>
      </c>
    </row>
    <row r="211" spans="1:6">
      <c r="A211" s="2953" t="s">
        <v>3069</v>
      </c>
      <c r="B211" s="2953" t="s">
        <v>3110</v>
      </c>
      <c r="C211" s="2953">
        <v>17</v>
      </c>
      <c r="D211" s="2953" t="s">
        <v>3109</v>
      </c>
      <c r="E211" s="2953">
        <v>132.40600000000001</v>
      </c>
      <c r="F211" s="2957" t="s">
        <v>3118</v>
      </c>
    </row>
    <row r="212" spans="1:6">
      <c r="A212" s="2953" t="s">
        <v>3069</v>
      </c>
      <c r="B212" s="2953" t="s">
        <v>3115</v>
      </c>
      <c r="C212" s="2953">
        <v>17</v>
      </c>
      <c r="D212" s="2953" t="s">
        <v>3071</v>
      </c>
      <c r="E212" s="2953">
        <v>90.76</v>
      </c>
      <c r="F212" s="2957" t="s">
        <v>3118</v>
      </c>
    </row>
    <row r="213" spans="1:6">
      <c r="A213" s="2953" t="s">
        <v>3069</v>
      </c>
      <c r="B213" s="2953" t="s">
        <v>3115</v>
      </c>
      <c r="C213" s="2953">
        <v>17</v>
      </c>
      <c r="D213" s="2953" t="s">
        <v>3107</v>
      </c>
      <c r="E213" s="2953">
        <v>90.850399999999993</v>
      </c>
      <c r="F213" s="2957" t="s">
        <v>3118</v>
      </c>
    </row>
    <row r="214" spans="1:6">
      <c r="A214" s="2953" t="s">
        <v>3069</v>
      </c>
      <c r="B214" s="2953" t="s">
        <v>3115</v>
      </c>
      <c r="C214" s="2953">
        <v>17</v>
      </c>
      <c r="D214" s="2953" t="s">
        <v>3108</v>
      </c>
      <c r="E214" s="2953">
        <v>92.628600000000006</v>
      </c>
      <c r="F214" s="2957" t="s">
        <v>3118</v>
      </c>
    </row>
    <row r="215" spans="1:6">
      <c r="A215" s="2953" t="s">
        <v>3069</v>
      </c>
      <c r="B215" s="2953" t="s">
        <v>3115</v>
      </c>
      <c r="C215" s="2953">
        <v>17</v>
      </c>
      <c r="D215" s="2953" t="s">
        <v>3109</v>
      </c>
      <c r="E215" s="2953">
        <v>92.628600000000006</v>
      </c>
      <c r="F215" s="2957" t="s">
        <v>3118</v>
      </c>
    </row>
    <row r="216" spans="1:6">
      <c r="A216" s="2953" t="s">
        <v>3069</v>
      </c>
      <c r="B216" s="2953" t="s">
        <v>3106</v>
      </c>
      <c r="C216" s="2953">
        <v>18</v>
      </c>
      <c r="D216" s="2953" t="s">
        <v>3071</v>
      </c>
      <c r="E216" s="2953">
        <v>103.6872</v>
      </c>
      <c r="F216" s="2957" t="s">
        <v>3118</v>
      </c>
    </row>
    <row r="217" spans="1:6">
      <c r="A217" s="2953" t="s">
        <v>3069</v>
      </c>
      <c r="B217" s="2953" t="s">
        <v>3106</v>
      </c>
      <c r="C217" s="2953">
        <v>18</v>
      </c>
      <c r="D217" s="2953" t="s">
        <v>3107</v>
      </c>
      <c r="E217" s="2953">
        <v>103.7864</v>
      </c>
      <c r="F217" s="2957" t="s">
        <v>3118</v>
      </c>
    </row>
    <row r="218" spans="1:6">
      <c r="A218" s="2953" t="s">
        <v>3069</v>
      </c>
      <c r="B218" s="2953" t="s">
        <v>3106</v>
      </c>
      <c r="C218" s="2953">
        <v>18</v>
      </c>
      <c r="D218" s="2953" t="s">
        <v>3108</v>
      </c>
      <c r="E218" s="2953">
        <v>131.83160000000001</v>
      </c>
      <c r="F218" s="2957" t="s">
        <v>3118</v>
      </c>
    </row>
    <row r="219" spans="1:6">
      <c r="A219" s="2953" t="s">
        <v>3069</v>
      </c>
      <c r="B219" s="2953" t="s">
        <v>3106</v>
      </c>
      <c r="C219" s="2953">
        <v>18</v>
      </c>
      <c r="D219" s="2953" t="s">
        <v>3109</v>
      </c>
      <c r="E219" s="2953">
        <v>131.6439</v>
      </c>
      <c r="F219" s="2957" t="s">
        <v>3118</v>
      </c>
    </row>
    <row r="220" spans="1:6">
      <c r="A220" s="2953" t="s">
        <v>3069</v>
      </c>
      <c r="B220" s="2953" t="s">
        <v>3110</v>
      </c>
      <c r="C220" s="2953">
        <v>18</v>
      </c>
      <c r="D220" s="2953" t="s">
        <v>3071</v>
      </c>
      <c r="E220" s="2953">
        <v>103.7864</v>
      </c>
      <c r="F220" s="2957" t="s">
        <v>3118</v>
      </c>
    </row>
    <row r="221" spans="1:6">
      <c r="A221" s="2953" t="s">
        <v>3069</v>
      </c>
      <c r="B221" s="2953" t="s">
        <v>3110</v>
      </c>
      <c r="C221" s="2953">
        <v>18</v>
      </c>
      <c r="D221" s="2953" t="s">
        <v>3107</v>
      </c>
      <c r="E221" s="2953">
        <v>103.7864</v>
      </c>
      <c r="F221" s="2957" t="s">
        <v>3118</v>
      </c>
    </row>
    <row r="222" spans="1:6">
      <c r="A222" s="2953" t="s">
        <v>3069</v>
      </c>
      <c r="B222" s="2953" t="s">
        <v>3110</v>
      </c>
      <c r="C222" s="2953">
        <v>18</v>
      </c>
      <c r="D222" s="2953" t="s">
        <v>3108</v>
      </c>
      <c r="E222" s="2953">
        <v>131.50129999999999</v>
      </c>
      <c r="F222" s="2957" t="s">
        <v>3118</v>
      </c>
    </row>
    <row r="223" spans="1:6">
      <c r="A223" s="2953" t="s">
        <v>3069</v>
      </c>
      <c r="B223" s="2953" t="s">
        <v>3110</v>
      </c>
      <c r="C223" s="2953">
        <v>18</v>
      </c>
      <c r="D223" s="2953" t="s">
        <v>3109</v>
      </c>
      <c r="E223" s="2953">
        <v>131.83160000000001</v>
      </c>
      <c r="F223" s="2957" t="s">
        <v>3118</v>
      </c>
    </row>
    <row r="224" spans="1:6">
      <c r="A224" s="2953" t="s">
        <v>3069</v>
      </c>
      <c r="B224" s="2953" t="s">
        <v>3115</v>
      </c>
      <c r="C224" s="2953">
        <v>18</v>
      </c>
      <c r="D224" s="2953" t="s">
        <v>3071</v>
      </c>
      <c r="E224" s="2953">
        <v>90.76</v>
      </c>
      <c r="F224" s="2957" t="s">
        <v>3118</v>
      </c>
    </row>
    <row r="225" spans="1:6">
      <c r="A225" s="2953" t="s">
        <v>3069</v>
      </c>
      <c r="B225" s="2953" t="s">
        <v>3115</v>
      </c>
      <c r="C225" s="2953">
        <v>18</v>
      </c>
      <c r="D225" s="2953" t="s">
        <v>3107</v>
      </c>
      <c r="E225" s="2953">
        <v>90.850399999999993</v>
      </c>
      <c r="F225" s="2957" t="s">
        <v>3118</v>
      </c>
    </row>
    <row r="226" spans="1:6">
      <c r="A226" s="2953" t="s">
        <v>3069</v>
      </c>
      <c r="B226" s="2953" t="s">
        <v>3115</v>
      </c>
      <c r="C226" s="2953">
        <v>18</v>
      </c>
      <c r="D226" s="2953" t="s">
        <v>3108</v>
      </c>
      <c r="E226" s="2953">
        <v>92.628600000000006</v>
      </c>
      <c r="F226" s="2957" t="s">
        <v>3118</v>
      </c>
    </row>
    <row r="227" spans="1:6">
      <c r="A227" s="2953" t="s">
        <v>3069</v>
      </c>
      <c r="B227" s="2953" t="s">
        <v>3115</v>
      </c>
      <c r="C227" s="2953">
        <v>18</v>
      </c>
      <c r="D227" s="2953" t="s">
        <v>3109</v>
      </c>
      <c r="E227" s="2953">
        <v>92.628600000000006</v>
      </c>
      <c r="F227" s="2957" t="s">
        <v>3118</v>
      </c>
    </row>
    <row r="228" spans="1:6">
      <c r="A228" s="2953" t="s">
        <v>3069</v>
      </c>
      <c r="B228" s="2953" t="s">
        <v>3106</v>
      </c>
      <c r="C228" s="2953">
        <v>19</v>
      </c>
      <c r="D228" s="2953" t="s">
        <v>3071</v>
      </c>
      <c r="E228" s="2953">
        <v>103.6872</v>
      </c>
      <c r="F228" s="2957" t="s">
        <v>3118</v>
      </c>
    </row>
    <row r="229" spans="1:6">
      <c r="A229" s="2953" t="s">
        <v>3069</v>
      </c>
      <c r="B229" s="2953" t="s">
        <v>3106</v>
      </c>
      <c r="C229" s="2953">
        <v>19</v>
      </c>
      <c r="D229" s="2953" t="s">
        <v>3107</v>
      </c>
      <c r="E229" s="2953">
        <v>103.7864</v>
      </c>
      <c r="F229" s="2957" t="s">
        <v>3118</v>
      </c>
    </row>
    <row r="230" spans="1:6">
      <c r="A230" s="2953" t="s">
        <v>3069</v>
      </c>
      <c r="B230" s="2953" t="s">
        <v>3106</v>
      </c>
      <c r="C230" s="2953">
        <v>19</v>
      </c>
      <c r="D230" s="2953" t="s">
        <v>3108</v>
      </c>
      <c r="E230" s="2953">
        <v>131.83160000000001</v>
      </c>
      <c r="F230" s="2957" t="s">
        <v>3118</v>
      </c>
    </row>
    <row r="231" spans="1:6">
      <c r="A231" s="2953" t="s">
        <v>3069</v>
      </c>
      <c r="B231" s="2953" t="s">
        <v>3106</v>
      </c>
      <c r="C231" s="2953">
        <v>19</v>
      </c>
      <c r="D231" s="2953" t="s">
        <v>3109</v>
      </c>
      <c r="E231" s="2953">
        <v>131.6439</v>
      </c>
      <c r="F231" s="2957" t="s">
        <v>3118</v>
      </c>
    </row>
    <row r="232" spans="1:6">
      <c r="A232" s="2953" t="s">
        <v>3069</v>
      </c>
      <c r="B232" s="2953" t="s">
        <v>3110</v>
      </c>
      <c r="C232" s="2953">
        <v>19</v>
      </c>
      <c r="D232" s="2953" t="s">
        <v>3071</v>
      </c>
      <c r="E232" s="2953">
        <v>103.7864</v>
      </c>
      <c r="F232" s="2957" t="s">
        <v>3118</v>
      </c>
    </row>
    <row r="233" spans="1:6">
      <c r="A233" s="2953" t="s">
        <v>3069</v>
      </c>
      <c r="B233" s="2953" t="s">
        <v>3110</v>
      </c>
      <c r="C233" s="2953">
        <v>19</v>
      </c>
      <c r="D233" s="2953" t="s">
        <v>3107</v>
      </c>
      <c r="E233" s="2953">
        <v>103.7864</v>
      </c>
      <c r="F233" s="2957" t="s">
        <v>3118</v>
      </c>
    </row>
    <row r="234" spans="1:6">
      <c r="A234" s="2953" t="s">
        <v>3069</v>
      </c>
      <c r="B234" s="2953" t="s">
        <v>3110</v>
      </c>
      <c r="C234" s="2953">
        <v>19</v>
      </c>
      <c r="D234" s="2953" t="s">
        <v>3108</v>
      </c>
      <c r="E234" s="2953">
        <v>131.50129999999999</v>
      </c>
      <c r="F234" s="2957" t="s">
        <v>3118</v>
      </c>
    </row>
    <row r="235" spans="1:6">
      <c r="A235" s="2953" t="s">
        <v>3069</v>
      </c>
      <c r="B235" s="2953" t="s">
        <v>3110</v>
      </c>
      <c r="C235" s="2953">
        <v>19</v>
      </c>
      <c r="D235" s="2953" t="s">
        <v>3109</v>
      </c>
      <c r="E235" s="2953">
        <v>131.83160000000001</v>
      </c>
      <c r="F235" s="2957" t="s">
        <v>3118</v>
      </c>
    </row>
    <row r="236" spans="1:6">
      <c r="A236" s="2953" t="s">
        <v>3069</v>
      </c>
      <c r="B236" s="2953" t="s">
        <v>3115</v>
      </c>
      <c r="C236" s="2953">
        <v>19</v>
      </c>
      <c r="D236" s="2953" t="s">
        <v>3071</v>
      </c>
      <c r="E236" s="2953">
        <v>90.76</v>
      </c>
      <c r="F236" s="2957" t="s">
        <v>3118</v>
      </c>
    </row>
    <row r="237" spans="1:6">
      <c r="A237" s="2953" t="s">
        <v>3069</v>
      </c>
      <c r="B237" s="2953" t="s">
        <v>3115</v>
      </c>
      <c r="C237" s="2953">
        <v>19</v>
      </c>
      <c r="D237" s="2953" t="s">
        <v>3107</v>
      </c>
      <c r="E237" s="2953">
        <v>90.850399999999993</v>
      </c>
      <c r="F237" s="2957" t="s">
        <v>3118</v>
      </c>
    </row>
    <row r="238" spans="1:6">
      <c r="A238" s="2953" t="s">
        <v>3069</v>
      </c>
      <c r="B238" s="2953" t="s">
        <v>3115</v>
      </c>
      <c r="C238" s="2953">
        <v>19</v>
      </c>
      <c r="D238" s="2953" t="s">
        <v>3108</v>
      </c>
      <c r="E238" s="2953">
        <v>92.628600000000006</v>
      </c>
      <c r="F238" s="2957" t="s">
        <v>3118</v>
      </c>
    </row>
    <row r="239" spans="1:6">
      <c r="A239" s="2953" t="s">
        <v>3069</v>
      </c>
      <c r="B239" s="2953" t="s">
        <v>3115</v>
      </c>
      <c r="C239" s="2953">
        <v>19</v>
      </c>
      <c r="D239" s="2953" t="s">
        <v>3109</v>
      </c>
      <c r="E239" s="2953">
        <v>92.628600000000006</v>
      </c>
      <c r="F239" s="2957" t="s">
        <v>3118</v>
      </c>
    </row>
    <row r="240" spans="1:6">
      <c r="A240" s="2953" t="s">
        <v>3069</v>
      </c>
      <c r="B240" s="2953" t="s">
        <v>3106</v>
      </c>
      <c r="C240" s="2953">
        <v>20</v>
      </c>
      <c r="D240" s="2953" t="s">
        <v>3071</v>
      </c>
      <c r="E240" s="2953">
        <v>103.6872</v>
      </c>
      <c r="F240" s="2957" t="s">
        <v>3118</v>
      </c>
    </row>
    <row r="241" spans="1:6">
      <c r="A241" s="2953" t="s">
        <v>3069</v>
      </c>
      <c r="B241" s="2953" t="s">
        <v>3106</v>
      </c>
      <c r="C241" s="2953">
        <v>20</v>
      </c>
      <c r="D241" s="2953" t="s">
        <v>3107</v>
      </c>
      <c r="E241" s="2953">
        <v>103.7864</v>
      </c>
      <c r="F241" s="2957" t="s">
        <v>3118</v>
      </c>
    </row>
    <row r="242" spans="1:6">
      <c r="A242" s="2953" t="s">
        <v>3069</v>
      </c>
      <c r="B242" s="2953" t="s">
        <v>3106</v>
      </c>
      <c r="C242" s="2953">
        <v>20</v>
      </c>
      <c r="D242" s="2953" t="s">
        <v>3108</v>
      </c>
      <c r="E242" s="2953">
        <v>131.83160000000001</v>
      </c>
      <c r="F242" s="2957" t="s">
        <v>3118</v>
      </c>
    </row>
    <row r="243" spans="1:6">
      <c r="A243" s="2953" t="s">
        <v>3069</v>
      </c>
      <c r="B243" s="2953" t="s">
        <v>3106</v>
      </c>
      <c r="C243" s="2953">
        <v>20</v>
      </c>
      <c r="D243" s="2953" t="s">
        <v>3109</v>
      </c>
      <c r="E243" s="2953">
        <v>131.6439</v>
      </c>
      <c r="F243" s="2957" t="s">
        <v>3118</v>
      </c>
    </row>
    <row r="244" spans="1:6">
      <c r="A244" s="2953" t="s">
        <v>3069</v>
      </c>
      <c r="B244" s="2953" t="s">
        <v>3110</v>
      </c>
      <c r="C244" s="2953">
        <v>20</v>
      </c>
      <c r="D244" s="2953" t="s">
        <v>3071</v>
      </c>
      <c r="E244" s="2953">
        <v>103.7864</v>
      </c>
      <c r="F244" s="2957" t="s">
        <v>3118</v>
      </c>
    </row>
    <row r="245" spans="1:6">
      <c r="A245" s="2953" t="s">
        <v>3069</v>
      </c>
      <c r="B245" s="2953" t="s">
        <v>3110</v>
      </c>
      <c r="C245" s="2953">
        <v>20</v>
      </c>
      <c r="D245" s="2953" t="s">
        <v>3107</v>
      </c>
      <c r="E245" s="2953">
        <v>103.7864</v>
      </c>
      <c r="F245" s="2957" t="s">
        <v>3118</v>
      </c>
    </row>
    <row r="246" spans="1:6">
      <c r="A246" s="2953" t="s">
        <v>3069</v>
      </c>
      <c r="B246" s="2953" t="s">
        <v>3110</v>
      </c>
      <c r="C246" s="2953">
        <v>20</v>
      </c>
      <c r="D246" s="2953" t="s">
        <v>3108</v>
      </c>
      <c r="E246" s="2953">
        <v>131.50129999999999</v>
      </c>
      <c r="F246" s="2957" t="s">
        <v>3118</v>
      </c>
    </row>
    <row r="247" spans="1:6">
      <c r="A247" s="2953" t="s">
        <v>3069</v>
      </c>
      <c r="B247" s="2953" t="s">
        <v>3110</v>
      </c>
      <c r="C247" s="2953">
        <v>20</v>
      </c>
      <c r="D247" s="2953" t="s">
        <v>3109</v>
      </c>
      <c r="E247" s="2953">
        <v>131.83160000000001</v>
      </c>
      <c r="F247" s="2957" t="s">
        <v>3118</v>
      </c>
    </row>
    <row r="248" spans="1:6">
      <c r="A248" s="2953" t="s">
        <v>3069</v>
      </c>
      <c r="B248" s="2953" t="s">
        <v>3115</v>
      </c>
      <c r="C248" s="2953">
        <v>20</v>
      </c>
      <c r="D248" s="2953" t="s">
        <v>3071</v>
      </c>
      <c r="E248" s="2953">
        <v>90.76</v>
      </c>
      <c r="F248" s="2957" t="s">
        <v>3118</v>
      </c>
    </row>
    <row r="249" spans="1:6">
      <c r="A249" s="2953" t="s">
        <v>3069</v>
      </c>
      <c r="B249" s="2953" t="s">
        <v>3115</v>
      </c>
      <c r="C249" s="2953">
        <v>20</v>
      </c>
      <c r="D249" s="2953" t="s">
        <v>3107</v>
      </c>
      <c r="E249" s="2953">
        <v>90.850399999999993</v>
      </c>
      <c r="F249" s="2957" t="s">
        <v>3118</v>
      </c>
    </row>
    <row r="250" spans="1:6">
      <c r="A250" s="2953" t="s">
        <v>3069</v>
      </c>
      <c r="B250" s="2953" t="s">
        <v>3115</v>
      </c>
      <c r="C250" s="2953">
        <v>20</v>
      </c>
      <c r="D250" s="2953" t="s">
        <v>3108</v>
      </c>
      <c r="E250" s="2953">
        <v>92.628600000000006</v>
      </c>
      <c r="F250" s="2957" t="s">
        <v>3118</v>
      </c>
    </row>
    <row r="251" spans="1:6">
      <c r="A251" s="2953" t="s">
        <v>3069</v>
      </c>
      <c r="B251" s="2953" t="s">
        <v>3115</v>
      </c>
      <c r="C251" s="2953">
        <v>20</v>
      </c>
      <c r="D251" s="2953" t="s">
        <v>3109</v>
      </c>
      <c r="E251" s="2953">
        <v>92.628600000000006</v>
      </c>
      <c r="F251" s="2957" t="s">
        <v>3118</v>
      </c>
    </row>
    <row r="252" spans="1:6">
      <c r="A252" s="2953" t="s">
        <v>3069</v>
      </c>
      <c r="B252" s="2953" t="s">
        <v>3106</v>
      </c>
      <c r="C252" s="2953">
        <v>21</v>
      </c>
      <c r="D252" s="2953" t="s">
        <v>3071</v>
      </c>
      <c r="E252" s="2953">
        <v>103.6872</v>
      </c>
      <c r="F252" s="2957" t="s">
        <v>3118</v>
      </c>
    </row>
    <row r="253" spans="1:6">
      <c r="A253" s="2953" t="s">
        <v>3069</v>
      </c>
      <c r="B253" s="2953" t="s">
        <v>3106</v>
      </c>
      <c r="C253" s="2953">
        <v>21</v>
      </c>
      <c r="D253" s="2953" t="s">
        <v>3107</v>
      </c>
      <c r="E253" s="2953">
        <v>103.7864</v>
      </c>
      <c r="F253" s="2957" t="s">
        <v>3118</v>
      </c>
    </row>
    <row r="254" spans="1:6">
      <c r="A254" s="2953" t="s">
        <v>3069</v>
      </c>
      <c r="B254" s="2953" t="s">
        <v>3106</v>
      </c>
      <c r="C254" s="2953">
        <v>21</v>
      </c>
      <c r="D254" s="2953" t="s">
        <v>3108</v>
      </c>
      <c r="E254" s="2953">
        <v>131.83160000000001</v>
      </c>
      <c r="F254" s="2957" t="s">
        <v>3118</v>
      </c>
    </row>
    <row r="255" spans="1:6">
      <c r="A255" s="2953" t="s">
        <v>3069</v>
      </c>
      <c r="B255" s="2953" t="s">
        <v>3106</v>
      </c>
      <c r="C255" s="2953">
        <v>21</v>
      </c>
      <c r="D255" s="2953" t="s">
        <v>3109</v>
      </c>
      <c r="E255" s="2953">
        <v>131.6439</v>
      </c>
      <c r="F255" s="2957" t="s">
        <v>3118</v>
      </c>
    </row>
    <row r="256" spans="1:6">
      <c r="A256" s="2953" t="s">
        <v>3069</v>
      </c>
      <c r="B256" s="2953" t="s">
        <v>3110</v>
      </c>
      <c r="C256" s="2953">
        <v>21</v>
      </c>
      <c r="D256" s="2953" t="s">
        <v>3071</v>
      </c>
      <c r="E256" s="2953">
        <v>103.7864</v>
      </c>
      <c r="F256" s="2957" t="s">
        <v>3118</v>
      </c>
    </row>
    <row r="257" spans="1:6">
      <c r="A257" s="2953" t="s">
        <v>3069</v>
      </c>
      <c r="B257" s="2953" t="s">
        <v>3110</v>
      </c>
      <c r="C257" s="2953">
        <v>21</v>
      </c>
      <c r="D257" s="2953" t="s">
        <v>3107</v>
      </c>
      <c r="E257" s="2953">
        <v>103.7864</v>
      </c>
      <c r="F257" s="2957" t="s">
        <v>3118</v>
      </c>
    </row>
    <row r="258" spans="1:6">
      <c r="A258" s="2953" t="s">
        <v>3069</v>
      </c>
      <c r="B258" s="2953" t="s">
        <v>3110</v>
      </c>
      <c r="C258" s="2953">
        <v>21</v>
      </c>
      <c r="D258" s="2953" t="s">
        <v>3108</v>
      </c>
      <c r="E258" s="2953">
        <v>131.50129999999999</v>
      </c>
      <c r="F258" s="2957" t="s">
        <v>3118</v>
      </c>
    </row>
    <row r="259" spans="1:6">
      <c r="A259" s="2953" t="s">
        <v>3069</v>
      </c>
      <c r="B259" s="2953" t="s">
        <v>3110</v>
      </c>
      <c r="C259" s="2953">
        <v>21</v>
      </c>
      <c r="D259" s="2953" t="s">
        <v>3109</v>
      </c>
      <c r="E259" s="2953">
        <v>131.83160000000001</v>
      </c>
      <c r="F259" s="2957" t="s">
        <v>3118</v>
      </c>
    </row>
    <row r="260" spans="1:6">
      <c r="A260" s="2953" t="s">
        <v>3069</v>
      </c>
      <c r="B260" s="2953" t="s">
        <v>3115</v>
      </c>
      <c r="C260" s="2953">
        <v>21</v>
      </c>
      <c r="D260" s="2953" t="s">
        <v>3071</v>
      </c>
      <c r="E260" s="2953">
        <v>90.76</v>
      </c>
      <c r="F260" s="2957" t="s">
        <v>3118</v>
      </c>
    </row>
    <row r="261" spans="1:6">
      <c r="A261" s="2953" t="s">
        <v>3069</v>
      </c>
      <c r="B261" s="2953" t="s">
        <v>3115</v>
      </c>
      <c r="C261" s="2953">
        <v>21</v>
      </c>
      <c r="D261" s="2953" t="s">
        <v>3107</v>
      </c>
      <c r="E261" s="2953">
        <v>90.850399999999993</v>
      </c>
      <c r="F261" s="2957" t="s">
        <v>3118</v>
      </c>
    </row>
    <row r="262" spans="1:6">
      <c r="A262" s="2953" t="s">
        <v>3069</v>
      </c>
      <c r="B262" s="2953" t="s">
        <v>3115</v>
      </c>
      <c r="C262" s="2953">
        <v>21</v>
      </c>
      <c r="D262" s="2953" t="s">
        <v>3108</v>
      </c>
      <c r="E262" s="2953">
        <v>92.628600000000006</v>
      </c>
      <c r="F262" s="2957" t="s">
        <v>3118</v>
      </c>
    </row>
    <row r="263" spans="1:6">
      <c r="A263" s="2953" t="s">
        <v>3069</v>
      </c>
      <c r="B263" s="2953" t="s">
        <v>3115</v>
      </c>
      <c r="C263" s="2953">
        <v>21</v>
      </c>
      <c r="D263" s="2953" t="s">
        <v>3109</v>
      </c>
      <c r="E263" s="2953">
        <v>92.628600000000006</v>
      </c>
      <c r="F263" s="2957" t="s">
        <v>3118</v>
      </c>
    </row>
    <row r="264" spans="1:6">
      <c r="A264" s="2953" t="s">
        <v>3069</v>
      </c>
      <c r="B264" s="2953" t="s">
        <v>3106</v>
      </c>
      <c r="C264" s="2953">
        <v>22</v>
      </c>
      <c r="D264" s="2953" t="s">
        <v>3071</v>
      </c>
      <c r="E264" s="2953">
        <v>103.6872</v>
      </c>
      <c r="F264" s="2957" t="s">
        <v>3118</v>
      </c>
    </row>
    <row r="265" spans="1:6">
      <c r="A265" s="2953" t="s">
        <v>3069</v>
      </c>
      <c r="B265" s="2953" t="s">
        <v>3106</v>
      </c>
      <c r="C265" s="2953">
        <v>22</v>
      </c>
      <c r="D265" s="2953" t="s">
        <v>3107</v>
      </c>
      <c r="E265" s="2953">
        <v>103.7864</v>
      </c>
      <c r="F265" s="2957" t="s">
        <v>3118</v>
      </c>
    </row>
    <row r="266" spans="1:6">
      <c r="A266" s="2953" t="s">
        <v>3069</v>
      </c>
      <c r="B266" s="2953" t="s">
        <v>3106</v>
      </c>
      <c r="C266" s="2953">
        <v>22</v>
      </c>
      <c r="D266" s="2953" t="s">
        <v>3108</v>
      </c>
      <c r="E266" s="2953">
        <v>131.83160000000001</v>
      </c>
      <c r="F266" s="2957" t="s">
        <v>3118</v>
      </c>
    </row>
    <row r="267" spans="1:6">
      <c r="A267" s="2953" t="s">
        <v>3069</v>
      </c>
      <c r="B267" s="2953" t="s">
        <v>3106</v>
      </c>
      <c r="C267" s="2953">
        <v>22</v>
      </c>
      <c r="D267" s="2953" t="s">
        <v>3109</v>
      </c>
      <c r="E267" s="2953">
        <v>131.6439</v>
      </c>
      <c r="F267" s="2957" t="s">
        <v>3118</v>
      </c>
    </row>
    <row r="268" spans="1:6">
      <c r="A268" s="2953" t="s">
        <v>3069</v>
      </c>
      <c r="B268" s="2953" t="s">
        <v>3110</v>
      </c>
      <c r="C268" s="2953">
        <v>22</v>
      </c>
      <c r="D268" s="2953" t="s">
        <v>3071</v>
      </c>
      <c r="E268" s="2953">
        <v>103.7864</v>
      </c>
      <c r="F268" s="2957" t="s">
        <v>3118</v>
      </c>
    </row>
    <row r="269" spans="1:6">
      <c r="A269" s="2953" t="s">
        <v>3069</v>
      </c>
      <c r="B269" s="2953" t="s">
        <v>3110</v>
      </c>
      <c r="C269" s="2953">
        <v>22</v>
      </c>
      <c r="D269" s="2953" t="s">
        <v>3107</v>
      </c>
      <c r="E269" s="2953">
        <v>103.7864</v>
      </c>
      <c r="F269" s="2957" t="s">
        <v>3118</v>
      </c>
    </row>
    <row r="270" spans="1:6">
      <c r="A270" s="2953" t="s">
        <v>3069</v>
      </c>
      <c r="B270" s="2953" t="s">
        <v>3110</v>
      </c>
      <c r="C270" s="2953">
        <v>22</v>
      </c>
      <c r="D270" s="2953" t="s">
        <v>3108</v>
      </c>
      <c r="E270" s="2953">
        <v>131.50129999999999</v>
      </c>
      <c r="F270" s="2957" t="s">
        <v>3118</v>
      </c>
    </row>
    <row r="271" spans="1:6">
      <c r="A271" s="2953" t="s">
        <v>3069</v>
      </c>
      <c r="B271" s="2953" t="s">
        <v>3110</v>
      </c>
      <c r="C271" s="2953">
        <v>22</v>
      </c>
      <c r="D271" s="2953" t="s">
        <v>3109</v>
      </c>
      <c r="E271" s="2953">
        <v>131.83160000000001</v>
      </c>
      <c r="F271" s="2957" t="s">
        <v>3118</v>
      </c>
    </row>
    <row r="272" spans="1:6">
      <c r="A272" s="2953" t="s">
        <v>3069</v>
      </c>
      <c r="B272" s="2953" t="s">
        <v>3115</v>
      </c>
      <c r="C272" s="2953">
        <v>22</v>
      </c>
      <c r="D272" s="2953" t="s">
        <v>3071</v>
      </c>
      <c r="E272" s="2953">
        <v>90.76</v>
      </c>
      <c r="F272" s="2957" t="s">
        <v>3118</v>
      </c>
    </row>
    <row r="273" spans="1:6">
      <c r="A273" s="2953" t="s">
        <v>3069</v>
      </c>
      <c r="B273" s="2953" t="s">
        <v>3115</v>
      </c>
      <c r="C273" s="2953">
        <v>22</v>
      </c>
      <c r="D273" s="2953" t="s">
        <v>3107</v>
      </c>
      <c r="E273" s="2953">
        <v>90.850399999999993</v>
      </c>
      <c r="F273" s="2957" t="s">
        <v>3118</v>
      </c>
    </row>
    <row r="274" spans="1:6">
      <c r="A274" s="2953" t="s">
        <v>3069</v>
      </c>
      <c r="B274" s="2953" t="s">
        <v>3115</v>
      </c>
      <c r="C274" s="2953">
        <v>22</v>
      </c>
      <c r="D274" s="2953" t="s">
        <v>3108</v>
      </c>
      <c r="E274" s="2953">
        <v>92.628600000000006</v>
      </c>
      <c r="F274" s="2957" t="s">
        <v>3118</v>
      </c>
    </row>
    <row r="275" spans="1:6">
      <c r="A275" s="2953" t="s">
        <v>3069</v>
      </c>
      <c r="B275" s="2953" t="s">
        <v>3115</v>
      </c>
      <c r="C275" s="2953">
        <v>22</v>
      </c>
      <c r="D275" s="2953" t="s">
        <v>3109</v>
      </c>
      <c r="E275" s="2953">
        <v>92.628600000000006</v>
      </c>
      <c r="F275" s="2957" t="s">
        <v>3118</v>
      </c>
    </row>
    <row r="276" spans="1:6">
      <c r="A276" s="2953" t="s">
        <v>3069</v>
      </c>
      <c r="B276" s="2953" t="s">
        <v>3106</v>
      </c>
      <c r="C276" s="2953">
        <v>23</v>
      </c>
      <c r="D276" s="2953" t="s">
        <v>3071</v>
      </c>
      <c r="E276" s="2953">
        <v>103.6872</v>
      </c>
      <c r="F276" s="2957" t="s">
        <v>3118</v>
      </c>
    </row>
    <row r="277" spans="1:6">
      <c r="A277" s="2953" t="s">
        <v>3069</v>
      </c>
      <c r="B277" s="2953" t="s">
        <v>3106</v>
      </c>
      <c r="C277" s="2953">
        <v>23</v>
      </c>
      <c r="D277" s="2953" t="s">
        <v>3107</v>
      </c>
      <c r="E277" s="2953">
        <v>103.7864</v>
      </c>
      <c r="F277" s="2957" t="s">
        <v>3118</v>
      </c>
    </row>
    <row r="278" spans="1:6">
      <c r="A278" s="2953" t="s">
        <v>3069</v>
      </c>
      <c r="B278" s="2953" t="s">
        <v>3106</v>
      </c>
      <c r="C278" s="2953">
        <v>23</v>
      </c>
      <c r="D278" s="2953" t="s">
        <v>3108</v>
      </c>
      <c r="E278" s="2953">
        <v>131.83160000000001</v>
      </c>
      <c r="F278" s="2957" t="s">
        <v>3118</v>
      </c>
    </row>
    <row r="279" spans="1:6">
      <c r="A279" s="2953" t="s">
        <v>3069</v>
      </c>
      <c r="B279" s="2953" t="s">
        <v>3106</v>
      </c>
      <c r="C279" s="2953">
        <v>23</v>
      </c>
      <c r="D279" s="2953" t="s">
        <v>3109</v>
      </c>
      <c r="E279" s="2953">
        <v>131.6439</v>
      </c>
      <c r="F279" s="2957" t="s">
        <v>3118</v>
      </c>
    </row>
    <row r="280" spans="1:6">
      <c r="A280" s="2953" t="s">
        <v>3069</v>
      </c>
      <c r="B280" s="2953" t="s">
        <v>3110</v>
      </c>
      <c r="C280" s="2953">
        <v>23</v>
      </c>
      <c r="D280" s="2953" t="s">
        <v>3071</v>
      </c>
      <c r="E280" s="2953">
        <v>103.7864</v>
      </c>
      <c r="F280" s="2957" t="s">
        <v>3118</v>
      </c>
    </row>
    <row r="281" spans="1:6">
      <c r="A281" s="2953" t="s">
        <v>3069</v>
      </c>
      <c r="B281" s="2953" t="s">
        <v>3110</v>
      </c>
      <c r="C281" s="2953">
        <v>23</v>
      </c>
      <c r="D281" s="2953" t="s">
        <v>3107</v>
      </c>
      <c r="E281" s="2953">
        <v>103.7864</v>
      </c>
      <c r="F281" s="2957" t="s">
        <v>3118</v>
      </c>
    </row>
    <row r="282" spans="1:6">
      <c r="A282" s="2953" t="s">
        <v>3069</v>
      </c>
      <c r="B282" s="2953" t="s">
        <v>3110</v>
      </c>
      <c r="C282" s="2953">
        <v>23</v>
      </c>
      <c r="D282" s="2953" t="s">
        <v>3108</v>
      </c>
      <c r="E282" s="2953">
        <v>131.50129999999999</v>
      </c>
      <c r="F282" s="2957" t="s">
        <v>3118</v>
      </c>
    </row>
    <row r="283" spans="1:6">
      <c r="A283" s="2953" t="s">
        <v>3069</v>
      </c>
      <c r="B283" s="2953" t="s">
        <v>3110</v>
      </c>
      <c r="C283" s="2953">
        <v>23</v>
      </c>
      <c r="D283" s="2953" t="s">
        <v>3109</v>
      </c>
      <c r="E283" s="2953">
        <v>131.83160000000001</v>
      </c>
      <c r="F283" s="2957" t="s">
        <v>3118</v>
      </c>
    </row>
    <row r="284" spans="1:6">
      <c r="A284" s="2953" t="s">
        <v>3069</v>
      </c>
      <c r="B284" s="2953" t="s">
        <v>3115</v>
      </c>
      <c r="C284" s="2953">
        <v>23</v>
      </c>
      <c r="D284" s="2953" t="s">
        <v>3071</v>
      </c>
      <c r="E284" s="2953">
        <v>90.76</v>
      </c>
      <c r="F284" s="2957" t="s">
        <v>3118</v>
      </c>
    </row>
    <row r="285" spans="1:6">
      <c r="A285" s="2953" t="s">
        <v>3069</v>
      </c>
      <c r="B285" s="2953" t="s">
        <v>3115</v>
      </c>
      <c r="C285" s="2953">
        <v>23</v>
      </c>
      <c r="D285" s="2953" t="s">
        <v>3107</v>
      </c>
      <c r="E285" s="2953">
        <v>90.850399999999993</v>
      </c>
      <c r="F285" s="2957" t="s">
        <v>3118</v>
      </c>
    </row>
    <row r="286" spans="1:6">
      <c r="A286" s="2953" t="s">
        <v>3069</v>
      </c>
      <c r="B286" s="2953" t="s">
        <v>3115</v>
      </c>
      <c r="C286" s="2953">
        <v>23</v>
      </c>
      <c r="D286" s="2953" t="s">
        <v>3108</v>
      </c>
      <c r="E286" s="2953">
        <v>92.628600000000006</v>
      </c>
      <c r="F286" s="2957" t="s">
        <v>3118</v>
      </c>
    </row>
    <row r="287" spans="1:6">
      <c r="A287" s="2953" t="s">
        <v>3069</v>
      </c>
      <c r="B287" s="2953" t="s">
        <v>3115</v>
      </c>
      <c r="C287" s="2953">
        <v>23</v>
      </c>
      <c r="D287" s="2953" t="s">
        <v>3109</v>
      </c>
      <c r="E287" s="2953">
        <v>92.628600000000006</v>
      </c>
      <c r="F287" s="2957" t="s">
        <v>3118</v>
      </c>
    </row>
    <row r="288" spans="1:6">
      <c r="A288" s="2953" t="s">
        <v>3069</v>
      </c>
      <c r="B288" s="2953" t="s">
        <v>3106</v>
      </c>
      <c r="C288" s="2953">
        <v>24</v>
      </c>
      <c r="D288" s="2953" t="s">
        <v>3071</v>
      </c>
      <c r="E288" s="2953">
        <v>103.6872</v>
      </c>
      <c r="F288" s="2957" t="s">
        <v>3118</v>
      </c>
    </row>
    <row r="289" spans="1:6">
      <c r="A289" s="2953" t="s">
        <v>3069</v>
      </c>
      <c r="B289" s="2953" t="s">
        <v>3106</v>
      </c>
      <c r="C289" s="2953">
        <v>24</v>
      </c>
      <c r="D289" s="2953" t="s">
        <v>3107</v>
      </c>
      <c r="E289" s="2953">
        <v>103.7864</v>
      </c>
      <c r="F289" s="2957" t="s">
        <v>3118</v>
      </c>
    </row>
    <row r="290" spans="1:6">
      <c r="A290" s="2953" t="s">
        <v>3069</v>
      </c>
      <c r="B290" s="2953" t="s">
        <v>3106</v>
      </c>
      <c r="C290" s="2953">
        <v>24</v>
      </c>
      <c r="D290" s="2953" t="s">
        <v>3108</v>
      </c>
      <c r="E290" s="2953">
        <v>131.83160000000001</v>
      </c>
      <c r="F290" s="2957" t="s">
        <v>3118</v>
      </c>
    </row>
    <row r="291" spans="1:6">
      <c r="A291" s="2953" t="s">
        <v>3069</v>
      </c>
      <c r="B291" s="2953" t="s">
        <v>3106</v>
      </c>
      <c r="C291" s="2953">
        <v>24</v>
      </c>
      <c r="D291" s="2953" t="s">
        <v>3109</v>
      </c>
      <c r="E291" s="2953">
        <v>131.6439</v>
      </c>
      <c r="F291" s="2957" t="s">
        <v>3118</v>
      </c>
    </row>
    <row r="292" spans="1:6">
      <c r="A292" s="2953" t="s">
        <v>3069</v>
      </c>
      <c r="B292" s="2953" t="s">
        <v>3110</v>
      </c>
      <c r="C292" s="2953">
        <v>24</v>
      </c>
      <c r="D292" s="2953" t="s">
        <v>3071</v>
      </c>
      <c r="E292" s="2953">
        <v>103.7864</v>
      </c>
      <c r="F292" s="2957" t="s">
        <v>3118</v>
      </c>
    </row>
    <row r="293" spans="1:6">
      <c r="A293" s="2953" t="s">
        <v>3069</v>
      </c>
      <c r="B293" s="2953" t="s">
        <v>3110</v>
      </c>
      <c r="C293" s="2953">
        <v>24</v>
      </c>
      <c r="D293" s="2953" t="s">
        <v>3107</v>
      </c>
      <c r="E293" s="2953">
        <v>103.7864</v>
      </c>
      <c r="F293" s="2957" t="s">
        <v>3118</v>
      </c>
    </row>
    <row r="294" spans="1:6">
      <c r="A294" s="2953" t="s">
        <v>3069</v>
      </c>
      <c r="B294" s="2953" t="s">
        <v>3110</v>
      </c>
      <c r="C294" s="2953">
        <v>24</v>
      </c>
      <c r="D294" s="2953" t="s">
        <v>3108</v>
      </c>
      <c r="E294" s="2953">
        <v>131.50129999999999</v>
      </c>
      <c r="F294" s="2957" t="s">
        <v>3118</v>
      </c>
    </row>
    <row r="295" spans="1:6">
      <c r="A295" s="2953" t="s">
        <v>3069</v>
      </c>
      <c r="B295" s="2953" t="s">
        <v>3110</v>
      </c>
      <c r="C295" s="2953">
        <v>24</v>
      </c>
      <c r="D295" s="2953" t="s">
        <v>3109</v>
      </c>
      <c r="E295" s="2953">
        <v>131.83160000000001</v>
      </c>
      <c r="F295" s="2957" t="s">
        <v>3118</v>
      </c>
    </row>
    <row r="296" spans="1:6">
      <c r="A296" s="2953" t="s">
        <v>3069</v>
      </c>
      <c r="B296" s="2953" t="s">
        <v>3115</v>
      </c>
      <c r="C296" s="2953">
        <v>24</v>
      </c>
      <c r="D296" s="2953" t="s">
        <v>3071</v>
      </c>
      <c r="E296" s="2953">
        <v>90.76</v>
      </c>
      <c r="F296" s="2957" t="s">
        <v>3118</v>
      </c>
    </row>
    <row r="297" spans="1:6">
      <c r="A297" s="2953" t="s">
        <v>3069</v>
      </c>
      <c r="B297" s="2953" t="s">
        <v>3115</v>
      </c>
      <c r="C297" s="2953">
        <v>24</v>
      </c>
      <c r="D297" s="2953" t="s">
        <v>3107</v>
      </c>
      <c r="E297" s="2953">
        <v>90.850399999999993</v>
      </c>
      <c r="F297" s="2957" t="s">
        <v>3118</v>
      </c>
    </row>
    <row r="298" spans="1:6">
      <c r="A298" s="2953" t="s">
        <v>3069</v>
      </c>
      <c r="B298" s="2953" t="s">
        <v>3115</v>
      </c>
      <c r="C298" s="2953">
        <v>24</v>
      </c>
      <c r="D298" s="2953" t="s">
        <v>3108</v>
      </c>
      <c r="E298" s="2953">
        <v>92.628600000000006</v>
      </c>
      <c r="F298" s="2957" t="s">
        <v>3118</v>
      </c>
    </row>
    <row r="299" spans="1:6">
      <c r="A299" s="2953" t="s">
        <v>3069</v>
      </c>
      <c r="B299" s="2953" t="s">
        <v>3115</v>
      </c>
      <c r="C299" s="2953">
        <v>24</v>
      </c>
      <c r="D299" s="2953" t="s">
        <v>3109</v>
      </c>
      <c r="E299" s="2953">
        <v>92.628600000000006</v>
      </c>
      <c r="F299" s="2957" t="s">
        <v>3118</v>
      </c>
    </row>
    <row r="300" spans="1:6">
      <c r="A300" s="2953" t="s">
        <v>3069</v>
      </c>
      <c r="B300" s="2953" t="s">
        <v>3106</v>
      </c>
      <c r="C300" s="2953">
        <v>25</v>
      </c>
      <c r="D300" s="2953" t="s">
        <v>3071</v>
      </c>
      <c r="E300" s="2953">
        <v>103.6872</v>
      </c>
      <c r="F300" s="2957" t="s">
        <v>3118</v>
      </c>
    </row>
    <row r="301" spans="1:6">
      <c r="A301" s="2953" t="s">
        <v>3069</v>
      </c>
      <c r="B301" s="2953" t="s">
        <v>3106</v>
      </c>
      <c r="C301" s="2953">
        <v>25</v>
      </c>
      <c r="D301" s="2953" t="s">
        <v>3107</v>
      </c>
      <c r="E301" s="2953">
        <v>103.7864</v>
      </c>
      <c r="F301" s="2957" t="s">
        <v>3118</v>
      </c>
    </row>
    <row r="302" spans="1:6">
      <c r="A302" s="2953" t="s">
        <v>3069</v>
      </c>
      <c r="B302" s="2953" t="s">
        <v>3106</v>
      </c>
      <c r="C302" s="2953">
        <v>25</v>
      </c>
      <c r="D302" s="2953" t="s">
        <v>3108</v>
      </c>
      <c r="E302" s="2953">
        <v>131.83160000000001</v>
      </c>
      <c r="F302" s="2957" t="s">
        <v>3118</v>
      </c>
    </row>
    <row r="303" spans="1:6">
      <c r="A303" s="2953" t="s">
        <v>3069</v>
      </c>
      <c r="B303" s="2953" t="s">
        <v>3106</v>
      </c>
      <c r="C303" s="2953">
        <v>25</v>
      </c>
      <c r="D303" s="2953" t="s">
        <v>3109</v>
      </c>
      <c r="E303" s="2953">
        <v>131.6439</v>
      </c>
      <c r="F303" s="2957" t="s">
        <v>3118</v>
      </c>
    </row>
    <row r="304" spans="1:6">
      <c r="A304" s="2953" t="s">
        <v>3069</v>
      </c>
      <c r="B304" s="2953" t="s">
        <v>3110</v>
      </c>
      <c r="C304" s="2953">
        <v>25</v>
      </c>
      <c r="D304" s="2953" t="s">
        <v>3071</v>
      </c>
      <c r="E304" s="2953">
        <v>103.7864</v>
      </c>
      <c r="F304" s="2957" t="s">
        <v>3118</v>
      </c>
    </row>
    <row r="305" spans="1:6">
      <c r="A305" s="2953" t="s">
        <v>3069</v>
      </c>
      <c r="B305" s="2953" t="s">
        <v>3110</v>
      </c>
      <c r="C305" s="2953">
        <v>25</v>
      </c>
      <c r="D305" s="2953" t="s">
        <v>3107</v>
      </c>
      <c r="E305" s="2953">
        <v>103.7864</v>
      </c>
      <c r="F305" s="2957" t="s">
        <v>3118</v>
      </c>
    </row>
    <row r="306" spans="1:6">
      <c r="A306" s="2953" t="s">
        <v>3069</v>
      </c>
      <c r="B306" s="2953" t="s">
        <v>3110</v>
      </c>
      <c r="C306" s="2953">
        <v>25</v>
      </c>
      <c r="D306" s="2953" t="s">
        <v>3108</v>
      </c>
      <c r="E306" s="2953">
        <v>131.50129999999999</v>
      </c>
      <c r="F306" s="2957" t="s">
        <v>3118</v>
      </c>
    </row>
    <row r="307" spans="1:6">
      <c r="A307" s="2953" t="s">
        <v>3069</v>
      </c>
      <c r="B307" s="2953" t="s">
        <v>3110</v>
      </c>
      <c r="C307" s="2953">
        <v>25</v>
      </c>
      <c r="D307" s="2953" t="s">
        <v>3109</v>
      </c>
      <c r="E307" s="2953">
        <v>131.83160000000001</v>
      </c>
      <c r="F307" s="2957" t="s">
        <v>3118</v>
      </c>
    </row>
    <row r="308" spans="1:6">
      <c r="A308" s="2953" t="s">
        <v>3069</v>
      </c>
      <c r="B308" s="2953" t="s">
        <v>3115</v>
      </c>
      <c r="C308" s="2953">
        <v>25</v>
      </c>
      <c r="D308" s="2953" t="s">
        <v>3071</v>
      </c>
      <c r="E308" s="2953">
        <v>90.76</v>
      </c>
      <c r="F308" s="2957" t="s">
        <v>3118</v>
      </c>
    </row>
    <row r="309" spans="1:6">
      <c r="A309" s="2953" t="s">
        <v>3069</v>
      </c>
      <c r="B309" s="2953" t="s">
        <v>3115</v>
      </c>
      <c r="C309" s="2953">
        <v>25</v>
      </c>
      <c r="D309" s="2953" t="s">
        <v>3107</v>
      </c>
      <c r="E309" s="2953">
        <v>90.850399999999993</v>
      </c>
      <c r="F309" s="2957" t="s">
        <v>3118</v>
      </c>
    </row>
    <row r="310" spans="1:6">
      <c r="A310" s="2953" t="s">
        <v>3069</v>
      </c>
      <c r="B310" s="2953" t="s">
        <v>3115</v>
      </c>
      <c r="C310" s="2953">
        <v>25</v>
      </c>
      <c r="D310" s="2953" t="s">
        <v>3108</v>
      </c>
      <c r="E310" s="2953">
        <v>92.628600000000006</v>
      </c>
      <c r="F310" s="2957" t="s">
        <v>3118</v>
      </c>
    </row>
    <row r="311" spans="1:6">
      <c r="A311" s="2953" t="s">
        <v>3069</v>
      </c>
      <c r="B311" s="2953" t="s">
        <v>3115</v>
      </c>
      <c r="C311" s="2953">
        <v>25</v>
      </c>
      <c r="D311" s="2953" t="s">
        <v>3109</v>
      </c>
      <c r="E311" s="2953">
        <v>92.628600000000006</v>
      </c>
      <c r="F311" s="2957" t="s">
        <v>3118</v>
      </c>
    </row>
    <row r="312" spans="1:6">
      <c r="A312" s="2953" t="s">
        <v>3069</v>
      </c>
      <c r="B312" s="2953" t="s">
        <v>3106</v>
      </c>
      <c r="C312" s="2953">
        <v>26</v>
      </c>
      <c r="D312" s="2953" t="s">
        <v>3071</v>
      </c>
      <c r="E312" s="2953">
        <v>103.6872</v>
      </c>
      <c r="F312" s="2957" t="s">
        <v>3118</v>
      </c>
    </row>
    <row r="313" spans="1:6">
      <c r="A313" s="2953" t="s">
        <v>3069</v>
      </c>
      <c r="B313" s="2953" t="s">
        <v>3106</v>
      </c>
      <c r="C313" s="2953">
        <v>26</v>
      </c>
      <c r="D313" s="2953" t="s">
        <v>3107</v>
      </c>
      <c r="E313" s="2953">
        <v>103.7864</v>
      </c>
      <c r="F313" s="2957" t="s">
        <v>3118</v>
      </c>
    </row>
    <row r="314" spans="1:6">
      <c r="A314" s="2953" t="s">
        <v>3069</v>
      </c>
      <c r="B314" s="2953" t="s">
        <v>3106</v>
      </c>
      <c r="C314" s="2953">
        <v>26</v>
      </c>
      <c r="D314" s="2953" t="s">
        <v>3108</v>
      </c>
      <c r="E314" s="2953">
        <v>131.83160000000001</v>
      </c>
      <c r="F314" s="2957" t="s">
        <v>3118</v>
      </c>
    </row>
    <row r="315" spans="1:6">
      <c r="A315" s="2953" t="s">
        <v>3069</v>
      </c>
      <c r="B315" s="2953" t="s">
        <v>3106</v>
      </c>
      <c r="C315" s="2953">
        <v>26</v>
      </c>
      <c r="D315" s="2953" t="s">
        <v>3109</v>
      </c>
      <c r="E315" s="2953">
        <v>131.6439</v>
      </c>
      <c r="F315" s="2957" t="s">
        <v>3118</v>
      </c>
    </row>
    <row r="316" spans="1:6">
      <c r="A316" s="2953" t="s">
        <v>3069</v>
      </c>
      <c r="B316" s="2953" t="s">
        <v>3110</v>
      </c>
      <c r="C316" s="2953">
        <v>26</v>
      </c>
      <c r="D316" s="2953" t="s">
        <v>3071</v>
      </c>
      <c r="E316" s="2953">
        <v>103.7864</v>
      </c>
      <c r="F316" s="2957" t="s">
        <v>3118</v>
      </c>
    </row>
    <row r="317" spans="1:6">
      <c r="A317" s="2953" t="s">
        <v>3069</v>
      </c>
      <c r="B317" s="2953" t="s">
        <v>3110</v>
      </c>
      <c r="C317" s="2953">
        <v>26</v>
      </c>
      <c r="D317" s="2953" t="s">
        <v>3107</v>
      </c>
      <c r="E317" s="2953">
        <v>103.7864</v>
      </c>
      <c r="F317" s="2957" t="s">
        <v>3118</v>
      </c>
    </row>
    <row r="318" spans="1:6">
      <c r="A318" s="2953" t="s">
        <v>3069</v>
      </c>
      <c r="B318" s="2953" t="s">
        <v>3110</v>
      </c>
      <c r="C318" s="2953">
        <v>26</v>
      </c>
      <c r="D318" s="2953" t="s">
        <v>3108</v>
      </c>
      <c r="E318" s="2953">
        <v>131.50129999999999</v>
      </c>
      <c r="F318" s="2957" t="s">
        <v>3118</v>
      </c>
    </row>
    <row r="319" spans="1:6">
      <c r="A319" s="2953" t="s">
        <v>3069</v>
      </c>
      <c r="B319" s="2953" t="s">
        <v>3110</v>
      </c>
      <c r="C319" s="2953">
        <v>26</v>
      </c>
      <c r="D319" s="2953" t="s">
        <v>3109</v>
      </c>
      <c r="E319" s="2953">
        <v>131.83160000000001</v>
      </c>
      <c r="F319" s="2957" t="s">
        <v>3118</v>
      </c>
    </row>
    <row r="320" spans="1:6">
      <c r="A320" s="2953" t="s">
        <v>3069</v>
      </c>
      <c r="B320" s="2953" t="s">
        <v>3115</v>
      </c>
      <c r="C320" s="2953">
        <v>26</v>
      </c>
      <c r="D320" s="2953" t="s">
        <v>3071</v>
      </c>
      <c r="E320" s="2953">
        <v>90.76</v>
      </c>
      <c r="F320" s="2957" t="s">
        <v>3118</v>
      </c>
    </row>
    <row r="321" spans="1:6">
      <c r="A321" s="2953" t="s">
        <v>3069</v>
      </c>
      <c r="B321" s="2953" t="s">
        <v>3115</v>
      </c>
      <c r="C321" s="2953">
        <v>26</v>
      </c>
      <c r="D321" s="2953" t="s">
        <v>3107</v>
      </c>
      <c r="E321" s="2953">
        <v>90.850399999999993</v>
      </c>
      <c r="F321" s="2957" t="s">
        <v>3118</v>
      </c>
    </row>
    <row r="322" spans="1:6">
      <c r="A322" s="2953" t="s">
        <v>3069</v>
      </c>
      <c r="B322" s="2953" t="s">
        <v>3115</v>
      </c>
      <c r="C322" s="2953">
        <v>26</v>
      </c>
      <c r="D322" s="2953" t="s">
        <v>3108</v>
      </c>
      <c r="E322" s="2953">
        <v>92.628600000000006</v>
      </c>
      <c r="F322" s="2957" t="s">
        <v>3118</v>
      </c>
    </row>
    <row r="323" spans="1:6">
      <c r="A323" s="2953" t="s">
        <v>3069</v>
      </c>
      <c r="B323" s="2953" t="s">
        <v>3115</v>
      </c>
      <c r="C323" s="2953">
        <v>26</v>
      </c>
      <c r="D323" s="2953" t="s">
        <v>3109</v>
      </c>
      <c r="E323" s="2953">
        <v>92.628600000000006</v>
      </c>
      <c r="F323" s="2957" t="s">
        <v>3118</v>
      </c>
    </row>
    <row r="324" spans="1:6">
      <c r="A324" s="2953" t="s">
        <v>3069</v>
      </c>
      <c r="B324" s="2953" t="s">
        <v>3106</v>
      </c>
      <c r="C324" s="2953">
        <v>27</v>
      </c>
      <c r="D324" s="2953" t="s">
        <v>3071</v>
      </c>
      <c r="E324" s="2953">
        <v>103.6872</v>
      </c>
      <c r="F324" s="2957" t="s">
        <v>3118</v>
      </c>
    </row>
    <row r="325" spans="1:6">
      <c r="A325" s="2953" t="s">
        <v>3069</v>
      </c>
      <c r="B325" s="2953" t="s">
        <v>3106</v>
      </c>
      <c r="C325" s="2953">
        <v>27</v>
      </c>
      <c r="D325" s="2953" t="s">
        <v>3107</v>
      </c>
      <c r="E325" s="2953">
        <v>103.7864</v>
      </c>
      <c r="F325" s="2957" t="s">
        <v>3118</v>
      </c>
    </row>
    <row r="326" spans="1:6">
      <c r="A326" s="2953" t="s">
        <v>3069</v>
      </c>
      <c r="B326" s="2953" t="s">
        <v>3106</v>
      </c>
      <c r="C326" s="2953">
        <v>27</v>
      </c>
      <c r="D326" s="2953" t="s">
        <v>3108</v>
      </c>
      <c r="E326" s="2953">
        <v>131.83160000000001</v>
      </c>
      <c r="F326" s="2957" t="s">
        <v>3118</v>
      </c>
    </row>
    <row r="327" spans="1:6">
      <c r="A327" s="2953" t="s">
        <v>3069</v>
      </c>
      <c r="B327" s="2953" t="s">
        <v>3106</v>
      </c>
      <c r="C327" s="2953">
        <v>27</v>
      </c>
      <c r="D327" s="2953" t="s">
        <v>3109</v>
      </c>
      <c r="E327" s="2953">
        <v>131.6439</v>
      </c>
      <c r="F327" s="2957" t="s">
        <v>3118</v>
      </c>
    </row>
    <row r="328" spans="1:6">
      <c r="A328" s="2953" t="s">
        <v>3069</v>
      </c>
      <c r="B328" s="2953" t="s">
        <v>3110</v>
      </c>
      <c r="C328" s="2953">
        <v>27</v>
      </c>
      <c r="D328" s="2953" t="s">
        <v>3071</v>
      </c>
      <c r="E328" s="2953">
        <v>103.7864</v>
      </c>
      <c r="F328" s="2957" t="s">
        <v>3118</v>
      </c>
    </row>
    <row r="329" spans="1:6">
      <c r="A329" s="2953" t="s">
        <v>3069</v>
      </c>
      <c r="B329" s="2953" t="s">
        <v>3110</v>
      </c>
      <c r="C329" s="2953">
        <v>27</v>
      </c>
      <c r="D329" s="2953" t="s">
        <v>3107</v>
      </c>
      <c r="E329" s="2953">
        <v>103.7864</v>
      </c>
      <c r="F329" s="2957" t="s">
        <v>3118</v>
      </c>
    </row>
    <row r="330" spans="1:6">
      <c r="A330" s="2953" t="s">
        <v>3069</v>
      </c>
      <c r="B330" s="2953" t="s">
        <v>3110</v>
      </c>
      <c r="C330" s="2953">
        <v>27</v>
      </c>
      <c r="D330" s="2953" t="s">
        <v>3108</v>
      </c>
      <c r="E330" s="2953">
        <v>131.50129999999999</v>
      </c>
      <c r="F330" s="2957" t="s">
        <v>3118</v>
      </c>
    </row>
    <row r="331" spans="1:6">
      <c r="A331" s="2953" t="s">
        <v>3069</v>
      </c>
      <c r="B331" s="2953" t="s">
        <v>3110</v>
      </c>
      <c r="C331" s="2953">
        <v>27</v>
      </c>
      <c r="D331" s="2953" t="s">
        <v>3109</v>
      </c>
      <c r="E331" s="2953">
        <v>131.83160000000001</v>
      </c>
      <c r="F331" s="2957" t="s">
        <v>3118</v>
      </c>
    </row>
    <row r="332" spans="1:6">
      <c r="A332" s="2953" t="s">
        <v>3069</v>
      </c>
      <c r="B332" s="2953" t="s">
        <v>3115</v>
      </c>
      <c r="C332" s="2953">
        <v>27</v>
      </c>
      <c r="D332" s="2953" t="s">
        <v>3071</v>
      </c>
      <c r="E332" s="2953">
        <v>90.76</v>
      </c>
      <c r="F332" s="2957" t="s">
        <v>3118</v>
      </c>
    </row>
    <row r="333" spans="1:6">
      <c r="A333" s="2953" t="s">
        <v>3069</v>
      </c>
      <c r="B333" s="2953" t="s">
        <v>3115</v>
      </c>
      <c r="C333" s="2953">
        <v>27</v>
      </c>
      <c r="D333" s="2953" t="s">
        <v>3107</v>
      </c>
      <c r="E333" s="2953">
        <v>90.850399999999993</v>
      </c>
      <c r="F333" s="2957" t="s">
        <v>3118</v>
      </c>
    </row>
    <row r="334" spans="1:6">
      <c r="A334" s="2953" t="s">
        <v>3069</v>
      </c>
      <c r="B334" s="2953" t="s">
        <v>3115</v>
      </c>
      <c r="C334" s="2953">
        <v>27</v>
      </c>
      <c r="D334" s="2953" t="s">
        <v>3108</v>
      </c>
      <c r="E334" s="2953">
        <v>92.628600000000006</v>
      </c>
      <c r="F334" s="2957" t="s">
        <v>3118</v>
      </c>
    </row>
    <row r="335" spans="1:6">
      <c r="A335" s="2953" t="s">
        <v>3069</v>
      </c>
      <c r="B335" s="2953" t="s">
        <v>3115</v>
      </c>
      <c r="C335" s="2953">
        <v>27</v>
      </c>
      <c r="D335" s="2953" t="s">
        <v>3109</v>
      </c>
      <c r="E335" s="2953">
        <v>92.628600000000006</v>
      </c>
      <c r="F335" s="2957" t="s">
        <v>3118</v>
      </c>
    </row>
    <row r="336" spans="1:6">
      <c r="A336" s="2953" t="s">
        <v>3069</v>
      </c>
      <c r="B336" s="2953" t="s">
        <v>3106</v>
      </c>
      <c r="C336" s="2953">
        <v>28</v>
      </c>
      <c r="D336" s="2953" t="s">
        <v>3071</v>
      </c>
      <c r="E336" s="2953">
        <v>103.6872</v>
      </c>
      <c r="F336" s="2957" t="s">
        <v>3118</v>
      </c>
    </row>
    <row r="337" spans="1:6">
      <c r="A337" s="2953" t="s">
        <v>3069</v>
      </c>
      <c r="B337" s="2953" t="s">
        <v>3106</v>
      </c>
      <c r="C337" s="2953">
        <v>28</v>
      </c>
      <c r="D337" s="2953" t="s">
        <v>3107</v>
      </c>
      <c r="E337" s="2953">
        <v>103.7864</v>
      </c>
      <c r="F337" s="2957" t="s">
        <v>3118</v>
      </c>
    </row>
    <row r="338" spans="1:6">
      <c r="A338" s="2953" t="s">
        <v>3069</v>
      </c>
      <c r="B338" s="2953" t="s">
        <v>3106</v>
      </c>
      <c r="C338" s="2953">
        <v>28</v>
      </c>
      <c r="D338" s="2953" t="s">
        <v>3108</v>
      </c>
      <c r="E338" s="2953">
        <v>131.83160000000001</v>
      </c>
      <c r="F338" s="2957" t="s">
        <v>3118</v>
      </c>
    </row>
    <row r="339" spans="1:6">
      <c r="A339" s="2953" t="s">
        <v>3069</v>
      </c>
      <c r="B339" s="2953" t="s">
        <v>3106</v>
      </c>
      <c r="C339" s="2953">
        <v>28</v>
      </c>
      <c r="D339" s="2953" t="s">
        <v>3109</v>
      </c>
      <c r="E339" s="2953">
        <v>131.6439</v>
      </c>
      <c r="F339" s="2957" t="s">
        <v>3118</v>
      </c>
    </row>
    <row r="340" spans="1:6">
      <c r="A340" s="2953" t="s">
        <v>3069</v>
      </c>
      <c r="B340" s="2953" t="s">
        <v>3110</v>
      </c>
      <c r="C340" s="2953">
        <v>28</v>
      </c>
      <c r="D340" s="2953" t="s">
        <v>3071</v>
      </c>
      <c r="E340" s="2953">
        <v>103.7864</v>
      </c>
      <c r="F340" s="2957" t="s">
        <v>3118</v>
      </c>
    </row>
    <row r="341" spans="1:6">
      <c r="A341" s="2953" t="s">
        <v>3069</v>
      </c>
      <c r="B341" s="2953" t="s">
        <v>3110</v>
      </c>
      <c r="C341" s="2953">
        <v>28</v>
      </c>
      <c r="D341" s="2953" t="s">
        <v>3107</v>
      </c>
      <c r="E341" s="2953">
        <v>103.7864</v>
      </c>
      <c r="F341" s="2957" t="s">
        <v>3118</v>
      </c>
    </row>
    <row r="342" spans="1:6">
      <c r="A342" s="2953" t="s">
        <v>3069</v>
      </c>
      <c r="B342" s="2953" t="s">
        <v>3110</v>
      </c>
      <c r="C342" s="2953">
        <v>28</v>
      </c>
      <c r="D342" s="2953" t="s">
        <v>3108</v>
      </c>
      <c r="E342" s="2953">
        <v>131.50129999999999</v>
      </c>
      <c r="F342" s="2957" t="s">
        <v>3118</v>
      </c>
    </row>
    <row r="343" spans="1:6">
      <c r="A343" s="2953" t="s">
        <v>3069</v>
      </c>
      <c r="B343" s="2953" t="s">
        <v>3110</v>
      </c>
      <c r="C343" s="2953">
        <v>28</v>
      </c>
      <c r="D343" s="2953" t="s">
        <v>3109</v>
      </c>
      <c r="E343" s="2953">
        <v>131.83160000000001</v>
      </c>
      <c r="F343" s="2957" t="s">
        <v>3118</v>
      </c>
    </row>
    <row r="344" spans="1:6">
      <c r="A344" s="2953" t="s">
        <v>3069</v>
      </c>
      <c r="B344" s="2953" t="s">
        <v>3115</v>
      </c>
      <c r="C344" s="2953">
        <v>28</v>
      </c>
      <c r="D344" s="2953" t="s">
        <v>3071</v>
      </c>
      <c r="E344" s="2953">
        <v>90.76</v>
      </c>
      <c r="F344" s="2957" t="s">
        <v>3118</v>
      </c>
    </row>
    <row r="345" spans="1:6">
      <c r="A345" s="2953" t="s">
        <v>3069</v>
      </c>
      <c r="B345" s="2953" t="s">
        <v>3115</v>
      </c>
      <c r="C345" s="2953">
        <v>28</v>
      </c>
      <c r="D345" s="2953" t="s">
        <v>3107</v>
      </c>
      <c r="E345" s="2953">
        <v>90.850399999999993</v>
      </c>
      <c r="F345" s="2957" t="s">
        <v>3118</v>
      </c>
    </row>
    <row r="346" spans="1:6">
      <c r="A346" s="2953" t="s">
        <v>3069</v>
      </c>
      <c r="B346" s="2953" t="s">
        <v>3115</v>
      </c>
      <c r="C346" s="2953">
        <v>28</v>
      </c>
      <c r="D346" s="2953" t="s">
        <v>3108</v>
      </c>
      <c r="E346" s="2953">
        <v>92.628600000000006</v>
      </c>
      <c r="F346" s="2957" t="s">
        <v>3118</v>
      </c>
    </row>
    <row r="347" spans="1:6">
      <c r="A347" s="2953" t="s">
        <v>3069</v>
      </c>
      <c r="B347" s="2953" t="s">
        <v>3115</v>
      </c>
      <c r="C347" s="2953">
        <v>28</v>
      </c>
      <c r="D347" s="2953" t="s">
        <v>3109</v>
      </c>
      <c r="E347" s="2953">
        <v>92.628600000000006</v>
      </c>
      <c r="F347" s="2957" t="s">
        <v>3118</v>
      </c>
    </row>
    <row r="348" spans="1:6">
      <c r="A348" s="2953" t="s">
        <v>3069</v>
      </c>
      <c r="B348" s="2953" t="s">
        <v>3106</v>
      </c>
      <c r="C348" s="2953">
        <v>29</v>
      </c>
      <c r="D348" s="2953" t="s">
        <v>3071</v>
      </c>
      <c r="E348" s="2953">
        <v>103.6872</v>
      </c>
      <c r="F348" s="2957" t="s">
        <v>3118</v>
      </c>
    </row>
    <row r="349" spans="1:6">
      <c r="A349" s="2953" t="s">
        <v>3069</v>
      </c>
      <c r="B349" s="2953" t="s">
        <v>3106</v>
      </c>
      <c r="C349" s="2953">
        <v>29</v>
      </c>
      <c r="D349" s="2953" t="s">
        <v>3107</v>
      </c>
      <c r="E349" s="2953">
        <v>103.7864</v>
      </c>
      <c r="F349" s="2957" t="s">
        <v>3118</v>
      </c>
    </row>
    <row r="350" spans="1:6">
      <c r="A350" s="2953" t="s">
        <v>3069</v>
      </c>
      <c r="B350" s="2953" t="s">
        <v>3106</v>
      </c>
      <c r="C350" s="2953">
        <v>29</v>
      </c>
      <c r="D350" s="2953" t="s">
        <v>3108</v>
      </c>
      <c r="E350" s="2953">
        <v>131.83160000000001</v>
      </c>
      <c r="F350" s="2957" t="s">
        <v>3118</v>
      </c>
    </row>
    <row r="351" spans="1:6">
      <c r="A351" s="2953" t="s">
        <v>3069</v>
      </c>
      <c r="B351" s="2953" t="s">
        <v>3106</v>
      </c>
      <c r="C351" s="2953">
        <v>29</v>
      </c>
      <c r="D351" s="2953" t="s">
        <v>3109</v>
      </c>
      <c r="E351" s="2953">
        <v>131.6439</v>
      </c>
      <c r="F351" s="2957" t="s">
        <v>3118</v>
      </c>
    </row>
    <row r="352" spans="1:6">
      <c r="A352" s="2953" t="s">
        <v>3069</v>
      </c>
      <c r="B352" s="2953" t="s">
        <v>3110</v>
      </c>
      <c r="C352" s="2953">
        <v>29</v>
      </c>
      <c r="D352" s="2953" t="s">
        <v>3071</v>
      </c>
      <c r="E352" s="2953">
        <v>103.7864</v>
      </c>
      <c r="F352" s="2957" t="s">
        <v>3118</v>
      </c>
    </row>
    <row r="353" spans="1:6">
      <c r="A353" s="2953" t="s">
        <v>3069</v>
      </c>
      <c r="B353" s="2953" t="s">
        <v>3110</v>
      </c>
      <c r="C353" s="2953">
        <v>29</v>
      </c>
      <c r="D353" s="2953" t="s">
        <v>3107</v>
      </c>
      <c r="E353" s="2953">
        <v>103.7864</v>
      </c>
      <c r="F353" s="2957" t="s">
        <v>3118</v>
      </c>
    </row>
    <row r="354" spans="1:6">
      <c r="A354" s="2953" t="s">
        <v>3069</v>
      </c>
      <c r="B354" s="2953" t="s">
        <v>3110</v>
      </c>
      <c r="C354" s="2953">
        <v>29</v>
      </c>
      <c r="D354" s="2953" t="s">
        <v>3108</v>
      </c>
      <c r="E354" s="2953">
        <v>131.50129999999999</v>
      </c>
      <c r="F354" s="2957" t="s">
        <v>3118</v>
      </c>
    </row>
    <row r="355" spans="1:6">
      <c r="A355" s="2953" t="s">
        <v>3069</v>
      </c>
      <c r="B355" s="2953" t="s">
        <v>3110</v>
      </c>
      <c r="C355" s="2953">
        <v>29</v>
      </c>
      <c r="D355" s="2953" t="s">
        <v>3109</v>
      </c>
      <c r="E355" s="2953">
        <v>131.83160000000001</v>
      </c>
      <c r="F355" s="2957" t="s">
        <v>3118</v>
      </c>
    </row>
    <row r="356" spans="1:6">
      <c r="A356" s="2953" t="s">
        <v>3069</v>
      </c>
      <c r="B356" s="2953" t="s">
        <v>3115</v>
      </c>
      <c r="C356" s="2953">
        <v>29</v>
      </c>
      <c r="D356" s="2953" t="s">
        <v>3071</v>
      </c>
      <c r="E356" s="2953">
        <v>90.76</v>
      </c>
      <c r="F356" s="2957" t="s">
        <v>3118</v>
      </c>
    </row>
    <row r="357" spans="1:6">
      <c r="A357" s="2953" t="s">
        <v>3069</v>
      </c>
      <c r="B357" s="2953" t="s">
        <v>3115</v>
      </c>
      <c r="C357" s="2953">
        <v>29</v>
      </c>
      <c r="D357" s="2953" t="s">
        <v>3107</v>
      </c>
      <c r="E357" s="2953">
        <v>90.850399999999993</v>
      </c>
      <c r="F357" s="2957" t="s">
        <v>3118</v>
      </c>
    </row>
    <row r="358" spans="1:6">
      <c r="A358" s="2953" t="s">
        <v>3069</v>
      </c>
      <c r="B358" s="2953" t="s">
        <v>3115</v>
      </c>
      <c r="C358" s="2953">
        <v>29</v>
      </c>
      <c r="D358" s="2953" t="s">
        <v>3108</v>
      </c>
      <c r="E358" s="2953">
        <v>92.628600000000006</v>
      </c>
      <c r="F358" s="2957" t="s">
        <v>3118</v>
      </c>
    </row>
    <row r="359" spans="1:6">
      <c r="A359" s="2953" t="s">
        <v>3069</v>
      </c>
      <c r="B359" s="2953" t="s">
        <v>3115</v>
      </c>
      <c r="C359" s="2953">
        <v>29</v>
      </c>
      <c r="D359" s="2953" t="s">
        <v>3109</v>
      </c>
      <c r="E359" s="2953">
        <v>92.628600000000006</v>
      </c>
      <c r="F359" s="2957" t="s">
        <v>3118</v>
      </c>
    </row>
    <row r="360" spans="1:6">
      <c r="A360" s="2953" t="s">
        <v>3069</v>
      </c>
      <c r="B360" s="2953" t="s">
        <v>3106</v>
      </c>
      <c r="C360" s="2953">
        <v>30</v>
      </c>
      <c r="D360" s="2953" t="s">
        <v>3071</v>
      </c>
      <c r="E360" s="2953">
        <v>103.6872</v>
      </c>
      <c r="F360" s="2957" t="s">
        <v>3118</v>
      </c>
    </row>
    <row r="361" spans="1:6">
      <c r="A361" s="2953" t="s">
        <v>3069</v>
      </c>
      <c r="B361" s="2953" t="s">
        <v>3106</v>
      </c>
      <c r="C361" s="2953">
        <v>30</v>
      </c>
      <c r="D361" s="2953" t="s">
        <v>3107</v>
      </c>
      <c r="E361" s="2953">
        <v>103.7864</v>
      </c>
      <c r="F361" s="2957" t="s">
        <v>3118</v>
      </c>
    </row>
    <row r="362" spans="1:6">
      <c r="A362" s="2953" t="s">
        <v>3069</v>
      </c>
      <c r="B362" s="2953" t="s">
        <v>3106</v>
      </c>
      <c r="C362" s="2953">
        <v>30</v>
      </c>
      <c r="D362" s="2953" t="s">
        <v>3108</v>
      </c>
      <c r="E362" s="2953">
        <v>131.83160000000001</v>
      </c>
      <c r="F362" s="2957" t="s">
        <v>3118</v>
      </c>
    </row>
    <row r="363" spans="1:6">
      <c r="A363" s="2953" t="s">
        <v>3069</v>
      </c>
      <c r="B363" s="2953" t="s">
        <v>3106</v>
      </c>
      <c r="C363" s="2953">
        <v>30</v>
      </c>
      <c r="D363" s="2953" t="s">
        <v>3109</v>
      </c>
      <c r="E363" s="2953">
        <v>131.6439</v>
      </c>
      <c r="F363" s="2957" t="s">
        <v>3118</v>
      </c>
    </row>
    <row r="364" spans="1:6">
      <c r="A364" s="2953" t="s">
        <v>3069</v>
      </c>
      <c r="B364" s="2953" t="s">
        <v>3110</v>
      </c>
      <c r="C364" s="2953">
        <v>30</v>
      </c>
      <c r="D364" s="2953" t="s">
        <v>3071</v>
      </c>
      <c r="E364" s="2953">
        <v>103.7864</v>
      </c>
      <c r="F364" s="2957" t="s">
        <v>3118</v>
      </c>
    </row>
    <row r="365" spans="1:6">
      <c r="A365" s="2953" t="s">
        <v>3069</v>
      </c>
      <c r="B365" s="2953" t="s">
        <v>3110</v>
      </c>
      <c r="C365" s="2953">
        <v>30</v>
      </c>
      <c r="D365" s="2953" t="s">
        <v>3107</v>
      </c>
      <c r="E365" s="2953">
        <v>103.7864</v>
      </c>
      <c r="F365" s="2957" t="s">
        <v>3118</v>
      </c>
    </row>
    <row r="366" spans="1:6">
      <c r="A366" s="2953" t="s">
        <v>3069</v>
      </c>
      <c r="B366" s="2953" t="s">
        <v>3110</v>
      </c>
      <c r="C366" s="2953">
        <v>30</v>
      </c>
      <c r="D366" s="2953" t="s">
        <v>3108</v>
      </c>
      <c r="E366" s="2953">
        <v>131.50129999999999</v>
      </c>
      <c r="F366" s="2957" t="s">
        <v>3118</v>
      </c>
    </row>
    <row r="367" spans="1:6">
      <c r="A367" s="2953" t="s">
        <v>3069</v>
      </c>
      <c r="B367" s="2953" t="s">
        <v>3110</v>
      </c>
      <c r="C367" s="2953">
        <v>30</v>
      </c>
      <c r="D367" s="2953" t="s">
        <v>3109</v>
      </c>
      <c r="E367" s="2953">
        <v>131.83160000000001</v>
      </c>
      <c r="F367" s="2957" t="s">
        <v>3118</v>
      </c>
    </row>
    <row r="368" spans="1:6">
      <c r="A368" s="2953" t="s">
        <v>3069</v>
      </c>
      <c r="B368" s="2953" t="s">
        <v>3115</v>
      </c>
      <c r="C368" s="2953">
        <v>30</v>
      </c>
      <c r="D368" s="2953" t="s">
        <v>3071</v>
      </c>
      <c r="E368" s="2953">
        <v>90.76</v>
      </c>
      <c r="F368" s="2957" t="s">
        <v>3118</v>
      </c>
    </row>
    <row r="369" spans="1:6">
      <c r="A369" s="2953" t="s">
        <v>3069</v>
      </c>
      <c r="B369" s="2953" t="s">
        <v>3115</v>
      </c>
      <c r="C369" s="2953">
        <v>30</v>
      </c>
      <c r="D369" s="2953" t="s">
        <v>3107</v>
      </c>
      <c r="E369" s="2953">
        <v>90.850399999999993</v>
      </c>
      <c r="F369" s="2957" t="s">
        <v>3118</v>
      </c>
    </row>
    <row r="370" spans="1:6">
      <c r="A370" s="2953" t="s">
        <v>3069</v>
      </c>
      <c r="B370" s="2953" t="s">
        <v>3115</v>
      </c>
      <c r="C370" s="2953">
        <v>30</v>
      </c>
      <c r="D370" s="2953" t="s">
        <v>3108</v>
      </c>
      <c r="E370" s="2953">
        <v>92.628600000000006</v>
      </c>
      <c r="F370" s="2957" t="s">
        <v>3118</v>
      </c>
    </row>
    <row r="371" spans="1:6">
      <c r="A371" s="2953" t="s">
        <v>3069</v>
      </c>
      <c r="B371" s="2953" t="s">
        <v>3115</v>
      </c>
      <c r="C371" s="2953">
        <v>30</v>
      </c>
      <c r="D371" s="2953" t="s">
        <v>3109</v>
      </c>
      <c r="E371" s="2953">
        <v>92.628600000000006</v>
      </c>
      <c r="F371" s="2957" t="s">
        <v>3118</v>
      </c>
    </row>
    <row r="372" spans="1:6">
      <c r="A372" s="2953" t="s">
        <v>3069</v>
      </c>
      <c r="B372" s="2953" t="s">
        <v>3106</v>
      </c>
      <c r="C372" s="2953">
        <v>31</v>
      </c>
      <c r="D372" s="2953" t="s">
        <v>3071</v>
      </c>
      <c r="E372" s="2953">
        <v>103.6872</v>
      </c>
      <c r="F372" s="2957" t="s">
        <v>3118</v>
      </c>
    </row>
    <row r="373" spans="1:6">
      <c r="A373" s="2953" t="s">
        <v>3069</v>
      </c>
      <c r="B373" s="2953" t="s">
        <v>3106</v>
      </c>
      <c r="C373" s="2953">
        <v>31</v>
      </c>
      <c r="D373" s="2953" t="s">
        <v>3107</v>
      </c>
      <c r="E373" s="2953">
        <v>103.7864</v>
      </c>
      <c r="F373" s="2957" t="s">
        <v>3118</v>
      </c>
    </row>
    <row r="374" spans="1:6">
      <c r="A374" s="2953" t="s">
        <v>3069</v>
      </c>
      <c r="B374" s="2953" t="s">
        <v>3106</v>
      </c>
      <c r="C374" s="2953">
        <v>31</v>
      </c>
      <c r="D374" s="2953" t="s">
        <v>3108</v>
      </c>
      <c r="E374" s="2953">
        <v>131.83160000000001</v>
      </c>
      <c r="F374" s="2957" t="s">
        <v>3118</v>
      </c>
    </row>
    <row r="375" spans="1:6">
      <c r="A375" s="2953" t="s">
        <v>3069</v>
      </c>
      <c r="B375" s="2953" t="s">
        <v>3106</v>
      </c>
      <c r="C375" s="2953">
        <v>31</v>
      </c>
      <c r="D375" s="2953" t="s">
        <v>3109</v>
      </c>
      <c r="E375" s="2953">
        <v>131.6439</v>
      </c>
      <c r="F375" s="2957" t="s">
        <v>3118</v>
      </c>
    </row>
    <row r="376" spans="1:6">
      <c r="A376" s="2953" t="s">
        <v>3069</v>
      </c>
      <c r="B376" s="2953" t="s">
        <v>3110</v>
      </c>
      <c r="C376" s="2953">
        <v>31</v>
      </c>
      <c r="D376" s="2953" t="s">
        <v>3071</v>
      </c>
      <c r="E376" s="2953">
        <v>103.7864</v>
      </c>
      <c r="F376" s="2957" t="s">
        <v>3118</v>
      </c>
    </row>
    <row r="377" spans="1:6">
      <c r="A377" s="2953" t="s">
        <v>3069</v>
      </c>
      <c r="B377" s="2953" t="s">
        <v>3110</v>
      </c>
      <c r="C377" s="2953">
        <v>31</v>
      </c>
      <c r="D377" s="2953" t="s">
        <v>3107</v>
      </c>
      <c r="E377" s="2953">
        <v>103.7864</v>
      </c>
      <c r="F377" s="2957" t="s">
        <v>3118</v>
      </c>
    </row>
    <row r="378" spans="1:6">
      <c r="A378" s="2953" t="s">
        <v>3069</v>
      </c>
      <c r="B378" s="2953" t="s">
        <v>3110</v>
      </c>
      <c r="C378" s="2953">
        <v>31</v>
      </c>
      <c r="D378" s="2953" t="s">
        <v>3108</v>
      </c>
      <c r="E378" s="2953">
        <v>131.50129999999999</v>
      </c>
      <c r="F378" s="2957" t="s">
        <v>3118</v>
      </c>
    </row>
    <row r="379" spans="1:6">
      <c r="A379" s="2953" t="s">
        <v>3069</v>
      </c>
      <c r="B379" s="2953" t="s">
        <v>3110</v>
      </c>
      <c r="C379" s="2953">
        <v>31</v>
      </c>
      <c r="D379" s="2953" t="s">
        <v>3109</v>
      </c>
      <c r="E379" s="2953">
        <v>131.83160000000001</v>
      </c>
      <c r="F379" s="2957" t="s">
        <v>3118</v>
      </c>
    </row>
    <row r="380" spans="1:6" s="2985" customFormat="1">
      <c r="A380" s="2982" t="s">
        <v>3069</v>
      </c>
      <c r="B380" s="2982" t="s">
        <v>3115</v>
      </c>
      <c r="C380" s="2982">
        <v>31</v>
      </c>
      <c r="D380" s="2982" t="s">
        <v>3071</v>
      </c>
      <c r="E380" s="2982">
        <v>90.76</v>
      </c>
      <c r="F380" s="2984" t="s">
        <v>3118</v>
      </c>
    </row>
    <row r="381" spans="1:6" s="2985" customFormat="1">
      <c r="A381" s="2982" t="s">
        <v>3069</v>
      </c>
      <c r="B381" s="2982" t="s">
        <v>3115</v>
      </c>
      <c r="C381" s="2982">
        <v>31</v>
      </c>
      <c r="D381" s="2982" t="s">
        <v>3107</v>
      </c>
      <c r="E381" s="2982">
        <v>90.850399999999993</v>
      </c>
      <c r="F381" s="2984" t="s">
        <v>3118</v>
      </c>
    </row>
    <row r="382" spans="1:6" s="2985" customFormat="1">
      <c r="A382" s="2982" t="s">
        <v>3069</v>
      </c>
      <c r="B382" s="2982" t="s">
        <v>3115</v>
      </c>
      <c r="C382" s="2982">
        <v>31</v>
      </c>
      <c r="D382" s="2982" t="s">
        <v>3108</v>
      </c>
      <c r="E382" s="2982">
        <v>92.628600000000006</v>
      </c>
      <c r="F382" s="2984" t="s">
        <v>3118</v>
      </c>
    </row>
    <row r="383" spans="1:6" s="2985" customFormat="1">
      <c r="A383" s="2982" t="s">
        <v>3069</v>
      </c>
      <c r="B383" s="2982" t="s">
        <v>3115</v>
      </c>
      <c r="C383" s="2982">
        <v>31</v>
      </c>
      <c r="D383" s="2982" t="s">
        <v>3109</v>
      </c>
      <c r="E383" s="2982">
        <v>92.628600000000006</v>
      </c>
      <c r="F383" s="2984" t="s">
        <v>3118</v>
      </c>
    </row>
    <row r="384" spans="1:6">
      <c r="A384" s="2953" t="s">
        <v>3069</v>
      </c>
      <c r="B384" s="2953" t="s">
        <v>3106</v>
      </c>
      <c r="C384" s="2953">
        <v>32</v>
      </c>
      <c r="D384" s="2953" t="s">
        <v>3071</v>
      </c>
      <c r="E384" s="2953">
        <v>103.6872</v>
      </c>
      <c r="F384" s="2957" t="s">
        <v>3118</v>
      </c>
    </row>
    <row r="385" spans="1:6">
      <c r="A385" s="2953" t="s">
        <v>3069</v>
      </c>
      <c r="B385" s="2953" t="s">
        <v>3106</v>
      </c>
      <c r="C385" s="2953">
        <v>32</v>
      </c>
      <c r="D385" s="2953" t="s">
        <v>3107</v>
      </c>
      <c r="E385" s="2953">
        <v>103.7864</v>
      </c>
      <c r="F385" s="2957" t="s">
        <v>3118</v>
      </c>
    </row>
    <row r="386" spans="1:6">
      <c r="A386" s="2953" t="s">
        <v>3069</v>
      </c>
      <c r="B386" s="2953" t="s">
        <v>3106</v>
      </c>
      <c r="C386" s="2953">
        <v>32</v>
      </c>
      <c r="D386" s="2953" t="s">
        <v>3108</v>
      </c>
      <c r="E386" s="2953">
        <v>131.83160000000001</v>
      </c>
      <c r="F386" s="2957" t="s">
        <v>3118</v>
      </c>
    </row>
    <row r="387" spans="1:6">
      <c r="A387" s="2953" t="s">
        <v>3069</v>
      </c>
      <c r="B387" s="2953" t="s">
        <v>3106</v>
      </c>
      <c r="C387" s="2953">
        <v>32</v>
      </c>
      <c r="D387" s="2953" t="s">
        <v>3109</v>
      </c>
      <c r="E387" s="2953">
        <v>131.6439</v>
      </c>
      <c r="F387" s="2957" t="s">
        <v>3118</v>
      </c>
    </row>
    <row r="388" spans="1:6">
      <c r="A388" s="2953" t="s">
        <v>3069</v>
      </c>
      <c r="B388" s="2953" t="s">
        <v>3110</v>
      </c>
      <c r="C388" s="2953">
        <v>32</v>
      </c>
      <c r="D388" s="2953" t="s">
        <v>3071</v>
      </c>
      <c r="E388" s="2953">
        <v>103.7864</v>
      </c>
      <c r="F388" s="2957" t="s">
        <v>3118</v>
      </c>
    </row>
    <row r="389" spans="1:6">
      <c r="A389" s="2953" t="s">
        <v>3069</v>
      </c>
      <c r="B389" s="2953" t="s">
        <v>3110</v>
      </c>
      <c r="C389" s="2953">
        <v>32</v>
      </c>
      <c r="D389" s="2953" t="s">
        <v>3107</v>
      </c>
      <c r="E389" s="2953">
        <v>103.7864</v>
      </c>
      <c r="F389" s="2957" t="s">
        <v>3118</v>
      </c>
    </row>
    <row r="390" spans="1:6">
      <c r="A390" s="2953" t="s">
        <v>3069</v>
      </c>
      <c r="B390" s="2953" t="s">
        <v>3110</v>
      </c>
      <c r="C390" s="2953">
        <v>32</v>
      </c>
      <c r="D390" s="2953" t="s">
        <v>3108</v>
      </c>
      <c r="E390" s="2953">
        <v>131.50129999999999</v>
      </c>
      <c r="F390" s="2957" t="s">
        <v>3118</v>
      </c>
    </row>
    <row r="391" spans="1:6">
      <c r="A391" s="2953" t="s">
        <v>3069</v>
      </c>
      <c r="B391" s="2953" t="s">
        <v>3110</v>
      </c>
      <c r="C391" s="2953">
        <v>32</v>
      </c>
      <c r="D391" s="2953" t="s">
        <v>3109</v>
      </c>
      <c r="E391" s="2953">
        <v>131.83160000000001</v>
      </c>
      <c r="F391" s="2957" t="s">
        <v>3118</v>
      </c>
    </row>
    <row r="392" spans="1:6" s="2963" customFormat="1">
      <c r="A392" s="2961" t="s">
        <v>3069</v>
      </c>
      <c r="B392" s="2961" t="s">
        <v>3115</v>
      </c>
      <c r="C392" s="2961">
        <v>32</v>
      </c>
      <c r="D392" s="2961" t="s">
        <v>3071</v>
      </c>
      <c r="E392" s="2961">
        <v>90.76</v>
      </c>
      <c r="F392" s="2962" t="s">
        <v>3118</v>
      </c>
    </row>
    <row r="393" spans="1:6" s="2963" customFormat="1">
      <c r="A393" s="2961" t="s">
        <v>3069</v>
      </c>
      <c r="B393" s="2961" t="s">
        <v>3115</v>
      </c>
      <c r="C393" s="2961">
        <v>32</v>
      </c>
      <c r="D393" s="2961" t="s">
        <v>3107</v>
      </c>
      <c r="E393" s="2961">
        <v>90.850399999999993</v>
      </c>
      <c r="F393" s="2962" t="s">
        <v>3118</v>
      </c>
    </row>
    <row r="394" spans="1:6" s="2963" customFormat="1">
      <c r="A394" s="2961" t="s">
        <v>3069</v>
      </c>
      <c r="B394" s="2961" t="s">
        <v>3115</v>
      </c>
      <c r="C394" s="2961">
        <v>32</v>
      </c>
      <c r="D394" s="2961" t="s">
        <v>3108</v>
      </c>
      <c r="E394" s="2961">
        <v>92.628600000000006</v>
      </c>
      <c r="F394" s="2962" t="s">
        <v>3118</v>
      </c>
    </row>
    <row r="395" spans="1:6" s="2963" customFormat="1">
      <c r="A395" s="2961" t="s">
        <v>3069</v>
      </c>
      <c r="B395" s="2961" t="s">
        <v>3115</v>
      </c>
      <c r="C395" s="2961">
        <v>32</v>
      </c>
      <c r="D395" s="2961" t="s">
        <v>3109</v>
      </c>
      <c r="E395" s="2961">
        <v>92.628600000000006</v>
      </c>
      <c r="F395" s="2962" t="s">
        <v>3118</v>
      </c>
    </row>
    <row r="396" spans="1:6" s="2963" customFormat="1">
      <c r="A396" s="2961" t="s">
        <v>3069</v>
      </c>
      <c r="B396" s="2961" t="s">
        <v>3106</v>
      </c>
      <c r="C396" s="2961">
        <v>34</v>
      </c>
      <c r="D396" s="2961" t="s">
        <v>3071</v>
      </c>
      <c r="E396" s="2961">
        <v>103.8184</v>
      </c>
      <c r="F396" s="2962" t="s">
        <v>3118</v>
      </c>
    </row>
    <row r="397" spans="1:6" s="2963" customFormat="1">
      <c r="A397" s="2961" t="s">
        <v>3069</v>
      </c>
      <c r="B397" s="2961" t="s">
        <v>3106</v>
      </c>
      <c r="C397" s="2961">
        <v>34</v>
      </c>
      <c r="D397" s="2961" t="s">
        <v>3107</v>
      </c>
      <c r="E397" s="2961">
        <v>103.9188</v>
      </c>
      <c r="F397" s="2962" t="s">
        <v>3118</v>
      </c>
    </row>
    <row r="398" spans="1:6" s="2963" customFormat="1">
      <c r="A398" s="2961" t="s">
        <v>3069</v>
      </c>
      <c r="B398" s="2961" t="s">
        <v>3106</v>
      </c>
      <c r="C398" s="2961">
        <v>34</v>
      </c>
      <c r="D398" s="2961" t="s">
        <v>3108</v>
      </c>
      <c r="E398" s="2961">
        <v>132.40600000000001</v>
      </c>
      <c r="F398" s="2962" t="s">
        <v>3118</v>
      </c>
    </row>
    <row r="399" spans="1:6" s="2963" customFormat="1">
      <c r="A399" s="2961" t="s">
        <v>3069</v>
      </c>
      <c r="B399" s="2961" t="s">
        <v>3106</v>
      </c>
      <c r="C399" s="2961">
        <v>34</v>
      </c>
      <c r="D399" s="2961" t="s">
        <v>3109</v>
      </c>
      <c r="E399" s="2961">
        <v>132.20840000000001</v>
      </c>
      <c r="F399" s="2962" t="s">
        <v>3118</v>
      </c>
    </row>
    <row r="400" spans="1:6" s="2963" customFormat="1">
      <c r="A400" s="2961" t="s">
        <v>3069</v>
      </c>
      <c r="B400" s="2961" t="s">
        <v>3110</v>
      </c>
      <c r="C400" s="2961">
        <v>34</v>
      </c>
      <c r="D400" s="2961" t="s">
        <v>3071</v>
      </c>
      <c r="E400" s="2961">
        <v>103.9188</v>
      </c>
      <c r="F400" s="2962" t="s">
        <v>3118</v>
      </c>
    </row>
    <row r="401" spans="1:7" s="2963" customFormat="1">
      <c r="A401" s="2961" t="s">
        <v>3069</v>
      </c>
      <c r="B401" s="2961" t="s">
        <v>3110</v>
      </c>
      <c r="C401" s="2961">
        <v>34</v>
      </c>
      <c r="D401" s="2961" t="s">
        <v>3107</v>
      </c>
      <c r="E401" s="2961">
        <v>103.9188</v>
      </c>
      <c r="F401" s="2962" t="s">
        <v>3118</v>
      </c>
    </row>
    <row r="402" spans="1:7" s="2963" customFormat="1">
      <c r="A402" s="2961" t="s">
        <v>3069</v>
      </c>
      <c r="B402" s="2961" t="s">
        <v>3110</v>
      </c>
      <c r="C402" s="2961">
        <v>34</v>
      </c>
      <c r="D402" s="2961" t="s">
        <v>3108</v>
      </c>
      <c r="E402" s="2961">
        <v>132.20840000000001</v>
      </c>
      <c r="F402" s="2962" t="s">
        <v>3118</v>
      </c>
    </row>
    <row r="403" spans="1:7" s="2963" customFormat="1">
      <c r="A403" s="2961" t="s">
        <v>3069</v>
      </c>
      <c r="B403" s="2961" t="s">
        <v>3110</v>
      </c>
      <c r="C403" s="2961">
        <v>34</v>
      </c>
      <c r="D403" s="2961" t="s">
        <v>3109</v>
      </c>
      <c r="E403" s="2961">
        <v>132.40600000000001</v>
      </c>
      <c r="F403" s="2962" t="s">
        <v>3118</v>
      </c>
    </row>
    <row r="404" spans="1:7" s="2963" customFormat="1">
      <c r="A404" s="2961" t="s">
        <v>3069</v>
      </c>
      <c r="B404" s="2961" t="s">
        <v>3106</v>
      </c>
      <c r="C404" s="2961">
        <v>35</v>
      </c>
      <c r="D404" s="2961" t="s">
        <v>3071</v>
      </c>
      <c r="E404" s="2961">
        <v>103.8184</v>
      </c>
      <c r="F404" s="2962" t="s">
        <v>3118</v>
      </c>
      <c r="G404" s="2961"/>
    </row>
    <row r="405" spans="1:7" s="2963" customFormat="1">
      <c r="A405" s="2961" t="s">
        <v>3069</v>
      </c>
      <c r="B405" s="2961" t="s">
        <v>3106</v>
      </c>
      <c r="C405" s="2961">
        <v>35</v>
      </c>
      <c r="D405" s="2961" t="s">
        <v>3107</v>
      </c>
      <c r="E405" s="2961">
        <v>103.9188</v>
      </c>
      <c r="F405" s="2962" t="s">
        <v>3118</v>
      </c>
      <c r="G405" s="2961"/>
    </row>
    <row r="406" spans="1:7" s="2963" customFormat="1">
      <c r="A406" s="2961" t="s">
        <v>3069</v>
      </c>
      <c r="B406" s="2961" t="s">
        <v>3106</v>
      </c>
      <c r="C406" s="2961">
        <v>35</v>
      </c>
      <c r="D406" s="2961" t="s">
        <v>3108</v>
      </c>
      <c r="E406" s="2961">
        <v>132.40600000000001</v>
      </c>
      <c r="F406" s="2962" t="s">
        <v>3118</v>
      </c>
      <c r="G406" s="2961"/>
    </row>
    <row r="407" spans="1:7" s="2963" customFormat="1">
      <c r="A407" s="2961" t="s">
        <v>3069</v>
      </c>
      <c r="B407" s="2961" t="s">
        <v>3106</v>
      </c>
      <c r="C407" s="2961">
        <v>35</v>
      </c>
      <c r="D407" s="2961" t="s">
        <v>3109</v>
      </c>
      <c r="E407" s="2961">
        <v>132.20840000000001</v>
      </c>
      <c r="F407" s="2962" t="s">
        <v>3118</v>
      </c>
      <c r="G407" s="2961"/>
    </row>
    <row r="408" spans="1:7" s="2963" customFormat="1">
      <c r="A408" s="2961" t="s">
        <v>3069</v>
      </c>
      <c r="B408" s="2961" t="s">
        <v>3110</v>
      </c>
      <c r="C408" s="2961">
        <v>35</v>
      </c>
      <c r="D408" s="2961" t="s">
        <v>3071</v>
      </c>
      <c r="E408" s="2961">
        <v>103.9188</v>
      </c>
      <c r="F408" s="2962" t="s">
        <v>3118</v>
      </c>
      <c r="G408" s="2961"/>
    </row>
    <row r="409" spans="1:7" s="2963" customFormat="1">
      <c r="A409" s="2961" t="s">
        <v>3069</v>
      </c>
      <c r="B409" s="2961" t="s">
        <v>3110</v>
      </c>
      <c r="C409" s="2961">
        <v>35</v>
      </c>
      <c r="D409" s="2961" t="s">
        <v>3107</v>
      </c>
      <c r="E409" s="2961">
        <v>103.9188</v>
      </c>
      <c r="F409" s="2962" t="s">
        <v>3118</v>
      </c>
      <c r="G409" s="2961"/>
    </row>
    <row r="410" spans="1:7" s="2963" customFormat="1">
      <c r="A410" s="2961" t="s">
        <v>3069</v>
      </c>
      <c r="B410" s="2961" t="s">
        <v>3110</v>
      </c>
      <c r="C410" s="2961">
        <v>35</v>
      </c>
      <c r="D410" s="2961" t="s">
        <v>3108</v>
      </c>
      <c r="E410" s="2961">
        <v>132.20840000000001</v>
      </c>
      <c r="F410" s="2962" t="s">
        <v>3118</v>
      </c>
      <c r="G410" s="2961"/>
    </row>
    <row r="411" spans="1:7" s="2963" customFormat="1">
      <c r="A411" s="2961" t="s">
        <v>3069</v>
      </c>
      <c r="B411" s="2961" t="s">
        <v>3110</v>
      </c>
      <c r="C411" s="2961">
        <v>35</v>
      </c>
      <c r="D411" s="2961" t="s">
        <v>3109</v>
      </c>
      <c r="E411" s="2961">
        <v>132.40600000000001</v>
      </c>
      <c r="F411" s="2962" t="s">
        <v>3118</v>
      </c>
      <c r="G411" s="2961"/>
    </row>
    <row r="412" spans="1:7" s="2963" customFormat="1">
      <c r="A412" s="2961" t="s">
        <v>3069</v>
      </c>
      <c r="B412" s="2961" t="s">
        <v>3106</v>
      </c>
      <c r="C412" s="2961">
        <v>36</v>
      </c>
      <c r="D412" s="2961" t="s">
        <v>3071</v>
      </c>
      <c r="E412" s="2961">
        <v>103.8184</v>
      </c>
      <c r="F412" s="2962" t="s">
        <v>3118</v>
      </c>
      <c r="G412" s="2961"/>
    </row>
    <row r="413" spans="1:7" s="2963" customFormat="1">
      <c r="A413" s="2961" t="s">
        <v>3069</v>
      </c>
      <c r="B413" s="2961" t="s">
        <v>3106</v>
      </c>
      <c r="C413" s="2961">
        <v>36</v>
      </c>
      <c r="D413" s="2961" t="s">
        <v>3107</v>
      </c>
      <c r="E413" s="2961">
        <v>103.9188</v>
      </c>
      <c r="F413" s="2962" t="s">
        <v>3118</v>
      </c>
      <c r="G413" s="2961"/>
    </row>
    <row r="414" spans="1:7" s="2963" customFormat="1">
      <c r="A414" s="2961" t="s">
        <v>3069</v>
      </c>
      <c r="B414" s="2961" t="s">
        <v>3106</v>
      </c>
      <c r="C414" s="2961">
        <v>36</v>
      </c>
      <c r="D414" s="2961" t="s">
        <v>3108</v>
      </c>
      <c r="E414" s="2961">
        <v>132.40600000000001</v>
      </c>
      <c r="F414" s="2962" t="s">
        <v>3118</v>
      </c>
      <c r="G414" s="2961"/>
    </row>
    <row r="415" spans="1:7" s="2963" customFormat="1">
      <c r="A415" s="2961" t="s">
        <v>3069</v>
      </c>
      <c r="B415" s="2961" t="s">
        <v>3106</v>
      </c>
      <c r="C415" s="2961">
        <v>36</v>
      </c>
      <c r="D415" s="2961" t="s">
        <v>3109</v>
      </c>
      <c r="E415" s="2961">
        <v>132.20840000000001</v>
      </c>
      <c r="F415" s="2962" t="s">
        <v>3118</v>
      </c>
      <c r="G415" s="2961"/>
    </row>
    <row r="416" spans="1:7" s="2963" customFormat="1">
      <c r="A416" s="2961" t="s">
        <v>3069</v>
      </c>
      <c r="B416" s="2961" t="s">
        <v>3110</v>
      </c>
      <c r="C416" s="2961">
        <v>36</v>
      </c>
      <c r="D416" s="2961" t="s">
        <v>3071</v>
      </c>
      <c r="E416" s="2961">
        <v>103.9188</v>
      </c>
      <c r="F416" s="2962" t="s">
        <v>3118</v>
      </c>
      <c r="G416" s="2961"/>
    </row>
    <row r="417" spans="1:7" s="2963" customFormat="1">
      <c r="A417" s="2961" t="s">
        <v>3069</v>
      </c>
      <c r="B417" s="2961" t="s">
        <v>3110</v>
      </c>
      <c r="C417" s="2961">
        <v>36</v>
      </c>
      <c r="D417" s="2961" t="s">
        <v>3107</v>
      </c>
      <c r="E417" s="2961">
        <v>103.9188</v>
      </c>
      <c r="F417" s="2962" t="s">
        <v>3118</v>
      </c>
      <c r="G417" s="2961"/>
    </row>
    <row r="418" spans="1:7" s="2963" customFormat="1">
      <c r="A418" s="2961" t="s">
        <v>3069</v>
      </c>
      <c r="B418" s="2961" t="s">
        <v>3110</v>
      </c>
      <c r="C418" s="2961">
        <v>36</v>
      </c>
      <c r="D418" s="2961" t="s">
        <v>3108</v>
      </c>
      <c r="E418" s="2961">
        <v>132.20840000000001</v>
      </c>
      <c r="F418" s="2962" t="s">
        <v>3118</v>
      </c>
      <c r="G418" s="2961"/>
    </row>
    <row r="419" spans="1:7" s="2963" customFormat="1">
      <c r="A419" s="2961" t="s">
        <v>3069</v>
      </c>
      <c r="B419" s="2961" t="s">
        <v>3110</v>
      </c>
      <c r="C419" s="2961">
        <v>36</v>
      </c>
      <c r="D419" s="2961" t="s">
        <v>3109</v>
      </c>
      <c r="E419" s="2961">
        <v>132.40600000000001</v>
      </c>
      <c r="F419" s="2962" t="s">
        <v>3118</v>
      </c>
      <c r="G419" s="2961"/>
    </row>
    <row r="420" spans="1:7" s="2963" customFormat="1">
      <c r="A420" s="2961" t="s">
        <v>3069</v>
      </c>
      <c r="B420" s="2961" t="s">
        <v>3106</v>
      </c>
      <c r="C420" s="2961">
        <v>37</v>
      </c>
      <c r="D420" s="2961" t="s">
        <v>3071</v>
      </c>
      <c r="E420" s="2961">
        <v>103.8184</v>
      </c>
      <c r="F420" s="2962" t="s">
        <v>3118</v>
      </c>
      <c r="G420" s="2961"/>
    </row>
    <row r="421" spans="1:7" s="2963" customFormat="1">
      <c r="A421" s="2961" t="s">
        <v>3069</v>
      </c>
      <c r="B421" s="2961" t="s">
        <v>3106</v>
      </c>
      <c r="C421" s="2961">
        <v>37</v>
      </c>
      <c r="D421" s="2961" t="s">
        <v>3107</v>
      </c>
      <c r="E421" s="2961">
        <v>103.9188</v>
      </c>
      <c r="F421" s="2962" t="s">
        <v>3118</v>
      </c>
      <c r="G421" s="2961"/>
    </row>
    <row r="422" spans="1:7" s="2963" customFormat="1">
      <c r="A422" s="2961" t="s">
        <v>3069</v>
      </c>
      <c r="B422" s="2961" t="s">
        <v>3106</v>
      </c>
      <c r="C422" s="2961">
        <v>37</v>
      </c>
      <c r="D422" s="2961" t="s">
        <v>3108</v>
      </c>
      <c r="E422" s="2961">
        <v>132.40600000000001</v>
      </c>
      <c r="F422" s="2962" t="s">
        <v>3118</v>
      </c>
      <c r="G422" s="2961"/>
    </row>
    <row r="423" spans="1:7" s="2963" customFormat="1">
      <c r="A423" s="2961" t="s">
        <v>3069</v>
      </c>
      <c r="B423" s="2961" t="s">
        <v>3106</v>
      </c>
      <c r="C423" s="2961">
        <v>37</v>
      </c>
      <c r="D423" s="2961" t="s">
        <v>3109</v>
      </c>
      <c r="E423" s="2961">
        <v>132.20840000000001</v>
      </c>
      <c r="F423" s="2962" t="s">
        <v>3118</v>
      </c>
      <c r="G423" s="2961"/>
    </row>
    <row r="424" spans="1:7" s="2963" customFormat="1">
      <c r="A424" s="2961" t="s">
        <v>3069</v>
      </c>
      <c r="B424" s="2961" t="s">
        <v>3110</v>
      </c>
      <c r="C424" s="2961">
        <v>37</v>
      </c>
      <c r="D424" s="2961" t="s">
        <v>3071</v>
      </c>
      <c r="E424" s="2961">
        <v>103.9188</v>
      </c>
      <c r="F424" s="2962" t="s">
        <v>3118</v>
      </c>
      <c r="G424" s="2961"/>
    </row>
    <row r="425" spans="1:7" s="2963" customFormat="1">
      <c r="A425" s="2961" t="s">
        <v>3069</v>
      </c>
      <c r="B425" s="2961" t="s">
        <v>3110</v>
      </c>
      <c r="C425" s="2961">
        <v>37</v>
      </c>
      <c r="D425" s="2961" t="s">
        <v>3107</v>
      </c>
      <c r="E425" s="2961">
        <v>103.9188</v>
      </c>
      <c r="F425" s="2962" t="s">
        <v>3118</v>
      </c>
      <c r="G425" s="2961"/>
    </row>
    <row r="426" spans="1:7" s="2963" customFormat="1">
      <c r="A426" s="2961" t="s">
        <v>3069</v>
      </c>
      <c r="B426" s="2961" t="s">
        <v>3110</v>
      </c>
      <c r="C426" s="2961">
        <v>37</v>
      </c>
      <c r="D426" s="2961" t="s">
        <v>3108</v>
      </c>
      <c r="E426" s="2961">
        <v>132.20840000000001</v>
      </c>
      <c r="F426" s="2962" t="s">
        <v>3118</v>
      </c>
      <c r="G426" s="2961"/>
    </row>
    <row r="427" spans="1:7" s="2963" customFormat="1">
      <c r="A427" s="2961" t="s">
        <v>3069</v>
      </c>
      <c r="B427" s="2961" t="s">
        <v>3110</v>
      </c>
      <c r="C427" s="2961">
        <v>37</v>
      </c>
      <c r="D427" s="2961" t="s">
        <v>3109</v>
      </c>
      <c r="E427" s="2961">
        <v>132.40600000000001</v>
      </c>
      <c r="F427" s="2962" t="s">
        <v>3118</v>
      </c>
      <c r="G427" s="2961"/>
    </row>
    <row r="428" spans="1:7" s="2963" customFormat="1">
      <c r="A428" s="2961" t="s">
        <v>3069</v>
      </c>
      <c r="B428" s="2961" t="s">
        <v>3106</v>
      </c>
      <c r="C428" s="2961">
        <v>38</v>
      </c>
      <c r="D428" s="2961" t="s">
        <v>3071</v>
      </c>
      <c r="E428" s="2961">
        <v>103.8184</v>
      </c>
      <c r="F428" s="2962" t="s">
        <v>3118</v>
      </c>
      <c r="G428" s="2961"/>
    </row>
    <row r="429" spans="1:7" s="2963" customFormat="1">
      <c r="A429" s="2961" t="s">
        <v>3069</v>
      </c>
      <c r="B429" s="2961" t="s">
        <v>3106</v>
      </c>
      <c r="C429" s="2961">
        <v>38</v>
      </c>
      <c r="D429" s="2961" t="s">
        <v>3107</v>
      </c>
      <c r="E429" s="2961">
        <v>103.9188</v>
      </c>
      <c r="F429" s="2962" t="s">
        <v>3118</v>
      </c>
      <c r="G429" s="2961"/>
    </row>
    <row r="430" spans="1:7" s="2963" customFormat="1">
      <c r="A430" s="2961" t="s">
        <v>3069</v>
      </c>
      <c r="B430" s="2961" t="s">
        <v>3106</v>
      </c>
      <c r="C430" s="2961">
        <v>38</v>
      </c>
      <c r="D430" s="2961" t="s">
        <v>3108</v>
      </c>
      <c r="E430" s="2961">
        <v>132.40600000000001</v>
      </c>
      <c r="F430" s="2962" t="s">
        <v>3118</v>
      </c>
      <c r="G430" s="2961"/>
    </row>
    <row r="431" spans="1:7" s="2963" customFormat="1">
      <c r="A431" s="2961" t="s">
        <v>3069</v>
      </c>
      <c r="B431" s="2961" t="s">
        <v>3106</v>
      </c>
      <c r="C431" s="2961">
        <v>38</v>
      </c>
      <c r="D431" s="2961" t="s">
        <v>3109</v>
      </c>
      <c r="E431" s="2961">
        <v>132.20840000000001</v>
      </c>
      <c r="F431" s="2962" t="s">
        <v>3118</v>
      </c>
      <c r="G431" s="2961"/>
    </row>
    <row r="432" spans="1:7" s="2963" customFormat="1">
      <c r="A432" s="2961" t="s">
        <v>3069</v>
      </c>
      <c r="B432" s="2961" t="s">
        <v>3110</v>
      </c>
      <c r="C432" s="2961">
        <v>38</v>
      </c>
      <c r="D432" s="2961" t="s">
        <v>3071</v>
      </c>
      <c r="E432" s="2961">
        <v>103.9188</v>
      </c>
      <c r="F432" s="2962" t="s">
        <v>3118</v>
      </c>
      <c r="G432" s="2961"/>
    </row>
    <row r="433" spans="1:7" s="2963" customFormat="1">
      <c r="A433" s="2961" t="s">
        <v>3069</v>
      </c>
      <c r="B433" s="2961" t="s">
        <v>3110</v>
      </c>
      <c r="C433" s="2961">
        <v>38</v>
      </c>
      <c r="D433" s="2961" t="s">
        <v>3107</v>
      </c>
      <c r="E433" s="2961">
        <v>103.9188</v>
      </c>
      <c r="F433" s="2962" t="s">
        <v>3118</v>
      </c>
      <c r="G433" s="2961"/>
    </row>
    <row r="434" spans="1:7" s="2963" customFormat="1">
      <c r="A434" s="2961" t="s">
        <v>3069</v>
      </c>
      <c r="B434" s="2961" t="s">
        <v>3110</v>
      </c>
      <c r="C434" s="2961">
        <v>38</v>
      </c>
      <c r="D434" s="2961" t="s">
        <v>3108</v>
      </c>
      <c r="E434" s="2961">
        <v>132.20840000000001</v>
      </c>
      <c r="F434" s="2962" t="s">
        <v>3118</v>
      </c>
      <c r="G434" s="2961"/>
    </row>
    <row r="435" spans="1:7" s="2963" customFormat="1">
      <c r="A435" s="2961" t="s">
        <v>3069</v>
      </c>
      <c r="B435" s="2961" t="s">
        <v>3110</v>
      </c>
      <c r="C435" s="2961">
        <v>38</v>
      </c>
      <c r="D435" s="2961" t="s">
        <v>3109</v>
      </c>
      <c r="E435" s="2961">
        <v>132.40600000000001</v>
      </c>
      <c r="F435" s="2962" t="s">
        <v>3118</v>
      </c>
      <c r="G435" s="2961"/>
    </row>
    <row r="436" spans="1:7" s="2963" customFormat="1">
      <c r="A436" s="2961" t="s">
        <v>3069</v>
      </c>
      <c r="B436" s="2961" t="s">
        <v>3106</v>
      </c>
      <c r="C436" s="2961">
        <v>39</v>
      </c>
      <c r="D436" s="2961" t="s">
        <v>3071</v>
      </c>
      <c r="E436" s="2961">
        <v>103.8184</v>
      </c>
      <c r="F436" s="2962" t="s">
        <v>3118</v>
      </c>
      <c r="G436" s="2961"/>
    </row>
    <row r="437" spans="1:7" s="2963" customFormat="1">
      <c r="A437" s="2961" t="s">
        <v>3069</v>
      </c>
      <c r="B437" s="2961" t="s">
        <v>3106</v>
      </c>
      <c r="C437" s="2961">
        <v>39</v>
      </c>
      <c r="D437" s="2961" t="s">
        <v>3107</v>
      </c>
      <c r="E437" s="2961">
        <v>103.9188</v>
      </c>
      <c r="F437" s="2962" t="s">
        <v>3118</v>
      </c>
      <c r="G437" s="2961"/>
    </row>
    <row r="438" spans="1:7" s="2963" customFormat="1">
      <c r="A438" s="2961" t="s">
        <v>3069</v>
      </c>
      <c r="B438" s="2961" t="s">
        <v>3106</v>
      </c>
      <c r="C438" s="2961">
        <v>39</v>
      </c>
      <c r="D438" s="2961" t="s">
        <v>3108</v>
      </c>
      <c r="E438" s="2961">
        <v>132.40600000000001</v>
      </c>
      <c r="F438" s="2962" t="s">
        <v>3118</v>
      </c>
      <c r="G438" s="2961"/>
    </row>
    <row r="439" spans="1:7" s="2963" customFormat="1">
      <c r="A439" s="2961" t="s">
        <v>3069</v>
      </c>
      <c r="B439" s="2961" t="s">
        <v>3106</v>
      </c>
      <c r="C439" s="2961">
        <v>39</v>
      </c>
      <c r="D439" s="2961" t="s">
        <v>3109</v>
      </c>
      <c r="E439" s="2961">
        <v>132.20840000000001</v>
      </c>
      <c r="F439" s="2962" t="s">
        <v>3118</v>
      </c>
      <c r="G439" s="2961"/>
    </row>
    <row r="440" spans="1:7" s="2963" customFormat="1">
      <c r="A440" s="2961" t="s">
        <v>3069</v>
      </c>
      <c r="B440" s="2961" t="s">
        <v>3110</v>
      </c>
      <c r="C440" s="2961">
        <v>39</v>
      </c>
      <c r="D440" s="2961" t="s">
        <v>3071</v>
      </c>
      <c r="E440" s="2961">
        <v>103.9188</v>
      </c>
      <c r="F440" s="2962" t="s">
        <v>3118</v>
      </c>
      <c r="G440" s="2961"/>
    </row>
    <row r="441" spans="1:7" s="2963" customFormat="1">
      <c r="A441" s="2961" t="s">
        <v>3069</v>
      </c>
      <c r="B441" s="2961" t="s">
        <v>3110</v>
      </c>
      <c r="C441" s="2961">
        <v>39</v>
      </c>
      <c r="D441" s="2961" t="s">
        <v>3107</v>
      </c>
      <c r="E441" s="2961">
        <v>103.9188</v>
      </c>
      <c r="F441" s="2962" t="s">
        <v>3118</v>
      </c>
      <c r="G441" s="2961"/>
    </row>
    <row r="442" spans="1:7" s="2963" customFormat="1">
      <c r="A442" s="2961" t="s">
        <v>3069</v>
      </c>
      <c r="B442" s="2961" t="s">
        <v>3110</v>
      </c>
      <c r="C442" s="2961">
        <v>39</v>
      </c>
      <c r="D442" s="2961" t="s">
        <v>3108</v>
      </c>
      <c r="E442" s="2961">
        <v>132.20840000000001</v>
      </c>
      <c r="F442" s="2962" t="s">
        <v>3118</v>
      </c>
      <c r="G442" s="2961"/>
    </row>
    <row r="443" spans="1:7" s="2963" customFormat="1">
      <c r="A443" s="2961" t="s">
        <v>3069</v>
      </c>
      <c r="B443" s="2961" t="s">
        <v>3110</v>
      </c>
      <c r="C443" s="2961">
        <v>39</v>
      </c>
      <c r="D443" s="2961" t="s">
        <v>3109</v>
      </c>
      <c r="E443" s="2961">
        <v>132.40600000000001</v>
      </c>
      <c r="F443" s="2962" t="s">
        <v>3118</v>
      </c>
      <c r="G443" s="2961"/>
    </row>
    <row r="444" spans="1:7" s="2963" customFormat="1">
      <c r="A444" s="2961" t="s">
        <v>3069</v>
      </c>
      <c r="B444" s="2961" t="s">
        <v>3106</v>
      </c>
      <c r="C444" s="2961">
        <v>40</v>
      </c>
      <c r="D444" s="2961" t="s">
        <v>3071</v>
      </c>
      <c r="E444" s="2961">
        <v>103.8184</v>
      </c>
      <c r="F444" s="2962" t="s">
        <v>3118</v>
      </c>
      <c r="G444" s="2961"/>
    </row>
    <row r="445" spans="1:7" s="2963" customFormat="1">
      <c r="A445" s="2961" t="s">
        <v>3069</v>
      </c>
      <c r="B445" s="2961" t="s">
        <v>3106</v>
      </c>
      <c r="C445" s="2961">
        <v>40</v>
      </c>
      <c r="D445" s="2961" t="s">
        <v>3107</v>
      </c>
      <c r="E445" s="2961">
        <v>103.9188</v>
      </c>
      <c r="F445" s="2962" t="s">
        <v>3118</v>
      </c>
      <c r="G445" s="2961"/>
    </row>
    <row r="446" spans="1:7" s="2963" customFormat="1">
      <c r="A446" s="2961" t="s">
        <v>3069</v>
      </c>
      <c r="B446" s="2961" t="s">
        <v>3106</v>
      </c>
      <c r="C446" s="2961">
        <v>40</v>
      </c>
      <c r="D446" s="2961" t="s">
        <v>3108</v>
      </c>
      <c r="E446" s="2961">
        <v>132.40600000000001</v>
      </c>
      <c r="F446" s="2962" t="s">
        <v>3118</v>
      </c>
      <c r="G446" s="2961"/>
    </row>
    <row r="447" spans="1:7" s="2963" customFormat="1">
      <c r="A447" s="2961" t="s">
        <v>3069</v>
      </c>
      <c r="B447" s="2961" t="s">
        <v>3106</v>
      </c>
      <c r="C447" s="2961">
        <v>40</v>
      </c>
      <c r="D447" s="2961" t="s">
        <v>3109</v>
      </c>
      <c r="E447" s="2961">
        <v>132.20840000000001</v>
      </c>
      <c r="F447" s="2962" t="s">
        <v>3118</v>
      </c>
      <c r="G447" s="2961"/>
    </row>
    <row r="448" spans="1:7" s="2963" customFormat="1">
      <c r="A448" s="2961" t="s">
        <v>3069</v>
      </c>
      <c r="B448" s="2961" t="s">
        <v>3110</v>
      </c>
      <c r="C448" s="2961">
        <v>40</v>
      </c>
      <c r="D448" s="2961" t="s">
        <v>3071</v>
      </c>
      <c r="E448" s="2961">
        <v>103.9188</v>
      </c>
      <c r="F448" s="2962" t="s">
        <v>3118</v>
      </c>
      <c r="G448" s="2961"/>
    </row>
    <row r="449" spans="1:7" s="2963" customFormat="1">
      <c r="A449" s="2961" t="s">
        <v>3069</v>
      </c>
      <c r="B449" s="2961" t="s">
        <v>3110</v>
      </c>
      <c r="C449" s="2961">
        <v>40</v>
      </c>
      <c r="D449" s="2961" t="s">
        <v>3107</v>
      </c>
      <c r="E449" s="2961">
        <v>103.9188</v>
      </c>
      <c r="F449" s="2962" t="s">
        <v>3118</v>
      </c>
      <c r="G449" s="2961"/>
    </row>
    <row r="450" spans="1:7" s="2963" customFormat="1">
      <c r="A450" s="2961" t="s">
        <v>3069</v>
      </c>
      <c r="B450" s="2961" t="s">
        <v>3110</v>
      </c>
      <c r="C450" s="2961">
        <v>40</v>
      </c>
      <c r="D450" s="2961" t="s">
        <v>3108</v>
      </c>
      <c r="E450" s="2961">
        <v>132.20840000000001</v>
      </c>
      <c r="F450" s="2962" t="s">
        <v>3118</v>
      </c>
      <c r="G450" s="2961"/>
    </row>
    <row r="451" spans="1:7" s="2963" customFormat="1">
      <c r="A451" s="2961" t="s">
        <v>3069</v>
      </c>
      <c r="B451" s="2961" t="s">
        <v>3110</v>
      </c>
      <c r="C451" s="2961">
        <v>40</v>
      </c>
      <c r="D451" s="2961" t="s">
        <v>3109</v>
      </c>
      <c r="E451" s="2961">
        <v>132.40600000000001</v>
      </c>
      <c r="F451" s="2962" t="s">
        <v>3118</v>
      </c>
      <c r="G451" s="2961"/>
    </row>
    <row r="452" spans="1:7" s="2963" customFormat="1">
      <c r="A452" s="2961" t="s">
        <v>3069</v>
      </c>
      <c r="B452" s="2961" t="s">
        <v>3106</v>
      </c>
      <c r="C452" s="2961">
        <v>41</v>
      </c>
      <c r="D452" s="2961" t="s">
        <v>3071</v>
      </c>
      <c r="E452" s="2961">
        <v>103.8184</v>
      </c>
      <c r="F452" s="2962" t="s">
        <v>3118</v>
      </c>
      <c r="G452" s="2961"/>
    </row>
    <row r="453" spans="1:7" s="2963" customFormat="1">
      <c r="A453" s="2961" t="s">
        <v>3069</v>
      </c>
      <c r="B453" s="2961" t="s">
        <v>3106</v>
      </c>
      <c r="C453" s="2961">
        <v>41</v>
      </c>
      <c r="D453" s="2961" t="s">
        <v>3107</v>
      </c>
      <c r="E453" s="2961">
        <v>103.9188</v>
      </c>
      <c r="F453" s="2962" t="s">
        <v>3118</v>
      </c>
      <c r="G453" s="2961"/>
    </row>
    <row r="454" spans="1:7" s="2963" customFormat="1">
      <c r="A454" s="2961" t="s">
        <v>3069</v>
      </c>
      <c r="B454" s="2961" t="s">
        <v>3106</v>
      </c>
      <c r="C454" s="2961">
        <v>41</v>
      </c>
      <c r="D454" s="2961" t="s">
        <v>3108</v>
      </c>
      <c r="E454" s="2961">
        <v>132.40600000000001</v>
      </c>
      <c r="F454" s="2962" t="s">
        <v>3118</v>
      </c>
      <c r="G454" s="2961"/>
    </row>
    <row r="455" spans="1:7" s="2963" customFormat="1">
      <c r="A455" s="2961" t="s">
        <v>3069</v>
      </c>
      <c r="B455" s="2961" t="s">
        <v>3106</v>
      </c>
      <c r="C455" s="2961">
        <v>41</v>
      </c>
      <c r="D455" s="2961" t="s">
        <v>3109</v>
      </c>
      <c r="E455" s="2961">
        <v>132.20840000000001</v>
      </c>
      <c r="F455" s="2962" t="s">
        <v>3118</v>
      </c>
      <c r="G455" s="2961"/>
    </row>
    <row r="456" spans="1:7" s="2963" customFormat="1">
      <c r="A456" s="2961" t="s">
        <v>3069</v>
      </c>
      <c r="B456" s="2961" t="s">
        <v>3110</v>
      </c>
      <c r="C456" s="2961">
        <v>41</v>
      </c>
      <c r="D456" s="2961" t="s">
        <v>3071</v>
      </c>
      <c r="E456" s="2961">
        <v>103.9188</v>
      </c>
      <c r="F456" s="2962" t="s">
        <v>3118</v>
      </c>
      <c r="G456" s="2961"/>
    </row>
    <row r="457" spans="1:7" s="2963" customFormat="1">
      <c r="A457" s="2961" t="s">
        <v>3069</v>
      </c>
      <c r="B457" s="2961" t="s">
        <v>3110</v>
      </c>
      <c r="C457" s="2961">
        <v>41</v>
      </c>
      <c r="D457" s="2961" t="s">
        <v>3107</v>
      </c>
      <c r="E457" s="2961">
        <v>103.9188</v>
      </c>
      <c r="F457" s="2962" t="s">
        <v>3118</v>
      </c>
      <c r="G457" s="2961"/>
    </row>
    <row r="458" spans="1:7" s="2963" customFormat="1">
      <c r="A458" s="2961" t="s">
        <v>3069</v>
      </c>
      <c r="B458" s="2961" t="s">
        <v>3110</v>
      </c>
      <c r="C458" s="2961">
        <v>41</v>
      </c>
      <c r="D458" s="2961" t="s">
        <v>3108</v>
      </c>
      <c r="E458" s="2961">
        <v>132.20840000000001</v>
      </c>
      <c r="F458" s="2962" t="s">
        <v>3118</v>
      </c>
      <c r="G458" s="2961"/>
    </row>
    <row r="459" spans="1:7" s="2963" customFormat="1">
      <c r="A459" s="2961" t="s">
        <v>3069</v>
      </c>
      <c r="B459" s="2961" t="s">
        <v>3110</v>
      </c>
      <c r="C459" s="2961">
        <v>41</v>
      </c>
      <c r="D459" s="2961" t="s">
        <v>3109</v>
      </c>
      <c r="E459" s="2961">
        <v>132.40600000000001</v>
      </c>
      <c r="F459" s="2962" t="s">
        <v>3118</v>
      </c>
      <c r="G459" s="2961"/>
    </row>
    <row r="460" spans="1:7" s="2963" customFormat="1">
      <c r="A460" s="2961" t="s">
        <v>3069</v>
      </c>
      <c r="B460" s="2961" t="s">
        <v>3106</v>
      </c>
      <c r="C460" s="2961">
        <v>42</v>
      </c>
      <c r="D460" s="2961" t="s">
        <v>3071</v>
      </c>
      <c r="E460" s="2961">
        <v>103.8184</v>
      </c>
      <c r="F460" s="2962" t="s">
        <v>3118</v>
      </c>
      <c r="G460" s="2961"/>
    </row>
    <row r="461" spans="1:7" s="2963" customFormat="1">
      <c r="A461" s="2961" t="s">
        <v>3069</v>
      </c>
      <c r="B461" s="2961" t="s">
        <v>3106</v>
      </c>
      <c r="C461" s="2961">
        <v>42</v>
      </c>
      <c r="D461" s="2961" t="s">
        <v>3107</v>
      </c>
      <c r="E461" s="2961">
        <v>103.9188</v>
      </c>
      <c r="F461" s="2962" t="s">
        <v>3118</v>
      </c>
      <c r="G461" s="2961"/>
    </row>
    <row r="462" spans="1:7" s="2963" customFormat="1">
      <c r="A462" s="2961" t="s">
        <v>3069</v>
      </c>
      <c r="B462" s="2961" t="s">
        <v>3106</v>
      </c>
      <c r="C462" s="2961">
        <v>42</v>
      </c>
      <c r="D462" s="2961" t="s">
        <v>3108</v>
      </c>
      <c r="E462" s="2961">
        <v>132.40600000000001</v>
      </c>
      <c r="F462" s="2962" t="s">
        <v>3118</v>
      </c>
      <c r="G462" s="2961"/>
    </row>
    <row r="463" spans="1:7" s="2963" customFormat="1">
      <c r="A463" s="2961" t="s">
        <v>3069</v>
      </c>
      <c r="B463" s="2961" t="s">
        <v>3106</v>
      </c>
      <c r="C463" s="2961">
        <v>42</v>
      </c>
      <c r="D463" s="2961" t="s">
        <v>3109</v>
      </c>
      <c r="E463" s="2961">
        <v>132.20840000000001</v>
      </c>
      <c r="F463" s="2962" t="s">
        <v>3118</v>
      </c>
      <c r="G463" s="2961"/>
    </row>
    <row r="464" spans="1:7" s="2963" customFormat="1">
      <c r="A464" s="2961" t="s">
        <v>3069</v>
      </c>
      <c r="B464" s="2961" t="s">
        <v>3110</v>
      </c>
      <c r="C464" s="2961">
        <v>42</v>
      </c>
      <c r="D464" s="2961" t="s">
        <v>3071</v>
      </c>
      <c r="E464" s="2961">
        <v>103.9188</v>
      </c>
      <c r="F464" s="2962" t="s">
        <v>3118</v>
      </c>
      <c r="G464" s="2961"/>
    </row>
    <row r="465" spans="1:7" s="2963" customFormat="1">
      <c r="A465" s="2961" t="s">
        <v>3069</v>
      </c>
      <c r="B465" s="2961" t="s">
        <v>3110</v>
      </c>
      <c r="C465" s="2961">
        <v>42</v>
      </c>
      <c r="D465" s="2961" t="s">
        <v>3107</v>
      </c>
      <c r="E465" s="2961">
        <v>103.9188</v>
      </c>
      <c r="F465" s="2962" t="s">
        <v>3118</v>
      </c>
      <c r="G465" s="2961"/>
    </row>
    <row r="466" spans="1:7" s="2963" customFormat="1">
      <c r="A466" s="2961" t="s">
        <v>3069</v>
      </c>
      <c r="B466" s="2961" t="s">
        <v>3110</v>
      </c>
      <c r="C466" s="2961">
        <v>42</v>
      </c>
      <c r="D466" s="2961" t="s">
        <v>3108</v>
      </c>
      <c r="E466" s="2961">
        <v>132.20840000000001</v>
      </c>
      <c r="F466" s="2962" t="s">
        <v>3118</v>
      </c>
      <c r="G466" s="2961"/>
    </row>
    <row r="467" spans="1:7" s="2963" customFormat="1">
      <c r="A467" s="2961" t="s">
        <v>3069</v>
      </c>
      <c r="B467" s="2961" t="s">
        <v>3110</v>
      </c>
      <c r="C467" s="2961">
        <v>42</v>
      </c>
      <c r="D467" s="2961" t="s">
        <v>3109</v>
      </c>
      <c r="E467" s="2961">
        <v>132.40600000000001</v>
      </c>
      <c r="F467" s="2962" t="s">
        <v>3118</v>
      </c>
      <c r="G467" s="2961"/>
    </row>
    <row r="468" spans="1:7" s="2963" customFormat="1">
      <c r="A468" s="2961" t="s">
        <v>3120</v>
      </c>
      <c r="B468" s="2961" t="s">
        <v>3144</v>
      </c>
      <c r="C468" s="2963" t="s">
        <v>3145</v>
      </c>
      <c r="D468" s="2961" t="s">
        <v>3071</v>
      </c>
      <c r="E468" s="2961">
        <v>3652.3667</v>
      </c>
      <c r="F468" s="2962" t="s">
        <v>3121</v>
      </c>
    </row>
    <row r="469" spans="1:7" s="2963" customFormat="1">
      <c r="A469" s="2961" t="s">
        <v>3120</v>
      </c>
      <c r="B469" s="2961" t="s">
        <v>3144</v>
      </c>
      <c r="C469" s="2963" t="s">
        <v>3145</v>
      </c>
      <c r="D469" s="2961" t="s">
        <v>3107</v>
      </c>
      <c r="E469" s="2961">
        <v>502.70780000000002</v>
      </c>
      <c r="F469" s="2962" t="s">
        <v>3122</v>
      </c>
    </row>
    <row r="470" spans="1:7" s="2963" customFormat="1">
      <c r="A470" s="2961" t="s">
        <v>3120</v>
      </c>
      <c r="B470" s="2961" t="s">
        <v>3144</v>
      </c>
      <c r="C470" s="2963" t="s">
        <v>3145</v>
      </c>
      <c r="D470" s="2961" t="s">
        <v>3108</v>
      </c>
      <c r="E470" s="2961">
        <v>122.09</v>
      </c>
      <c r="F470" s="2962" t="s">
        <v>3123</v>
      </c>
    </row>
    <row r="471" spans="1:7" s="2963" customFormat="1">
      <c r="A471" s="2961" t="s">
        <v>3120</v>
      </c>
      <c r="B471" s="2961" t="s">
        <v>3144</v>
      </c>
      <c r="C471" s="2963" t="s">
        <v>3145</v>
      </c>
      <c r="D471" s="2961" t="s">
        <v>3109</v>
      </c>
      <c r="E471" s="2961">
        <v>338.35300000000001</v>
      </c>
      <c r="F471" s="2962" t="s">
        <v>3124</v>
      </c>
    </row>
    <row r="472" spans="1:7" s="2963" customFormat="1">
      <c r="A472" s="2961" t="s">
        <v>3120</v>
      </c>
      <c r="B472" s="2961" t="s">
        <v>3144</v>
      </c>
      <c r="C472" s="2963" t="s">
        <v>3145</v>
      </c>
      <c r="D472" s="2961" t="s">
        <v>3111</v>
      </c>
      <c r="E472" s="2961">
        <v>503.10019999999997</v>
      </c>
      <c r="F472" s="2962" t="s">
        <v>3125</v>
      </c>
    </row>
    <row r="473" spans="1:7" s="2963" customFormat="1">
      <c r="A473" s="2961" t="s">
        <v>3069</v>
      </c>
      <c r="B473" s="2961" t="s">
        <v>3126</v>
      </c>
      <c r="C473" s="2963">
        <v>1</v>
      </c>
      <c r="D473" s="2961" t="s">
        <v>3071</v>
      </c>
      <c r="E473" s="2961">
        <v>69.730199999999996</v>
      </c>
      <c r="F473" s="2962" t="s">
        <v>3128</v>
      </c>
    </row>
    <row r="474" spans="1:7" s="2963" customFormat="1">
      <c r="A474" s="2961" t="s">
        <v>3069</v>
      </c>
      <c r="B474" s="2961" t="s">
        <v>3127</v>
      </c>
      <c r="C474" s="2963">
        <v>1</v>
      </c>
      <c r="D474" s="2961" t="s">
        <v>3071</v>
      </c>
      <c r="E474" s="2961">
        <v>101.553</v>
      </c>
      <c r="F474" s="2962" t="s">
        <v>3128</v>
      </c>
    </row>
    <row r="475" spans="1:7" s="2963" customFormat="1">
      <c r="A475" s="2961" t="s">
        <v>3120</v>
      </c>
      <c r="B475" s="2961" t="s">
        <v>3129</v>
      </c>
      <c r="C475" s="2963">
        <v>1</v>
      </c>
      <c r="D475" s="2961" t="s">
        <v>3107</v>
      </c>
      <c r="E475" s="2961">
        <v>502.31169999999997</v>
      </c>
      <c r="F475" s="2962" t="s">
        <v>3130</v>
      </c>
    </row>
    <row r="476" spans="1:7" s="2963" customFormat="1">
      <c r="A476" s="2961" t="s">
        <v>3069</v>
      </c>
      <c r="B476" s="2961" t="s">
        <v>3131</v>
      </c>
      <c r="C476" s="2963">
        <v>16</v>
      </c>
      <c r="D476" s="2961" t="s">
        <v>3071</v>
      </c>
      <c r="E476" s="2961">
        <v>231.6634</v>
      </c>
      <c r="F476" s="2962" t="s">
        <v>3133</v>
      </c>
    </row>
    <row r="477" spans="1:7" s="2963" customFormat="1">
      <c r="A477" s="2961" t="s">
        <v>3069</v>
      </c>
      <c r="B477" s="2961" t="s">
        <v>3132</v>
      </c>
      <c r="C477" s="2963">
        <v>16</v>
      </c>
      <c r="D477" s="2961" t="s">
        <v>3071</v>
      </c>
      <c r="E477" s="2961">
        <v>231.79169999999999</v>
      </c>
      <c r="F477" s="2962" t="s">
        <v>3133</v>
      </c>
    </row>
    <row r="478" spans="1:7" s="2963" customFormat="1">
      <c r="A478" s="2961" t="s">
        <v>3069</v>
      </c>
      <c r="B478" s="2961" t="s">
        <v>3131</v>
      </c>
      <c r="C478" s="2963">
        <v>33</v>
      </c>
      <c r="D478" s="2961" t="s">
        <v>3071</v>
      </c>
      <c r="E478" s="2961">
        <v>232.6883</v>
      </c>
      <c r="F478" s="2962" t="s">
        <v>3133</v>
      </c>
    </row>
    <row r="479" spans="1:7" s="2963" customFormat="1">
      <c r="A479" s="2961" t="s">
        <v>3069</v>
      </c>
      <c r="B479" s="2961" t="s">
        <v>3132</v>
      </c>
      <c r="C479" s="2963">
        <v>33</v>
      </c>
      <c r="D479" s="2961" t="s">
        <v>3071</v>
      </c>
      <c r="E479" s="2961">
        <v>232.6883</v>
      </c>
      <c r="F479" s="2962" t="s">
        <v>3133</v>
      </c>
    </row>
    <row r="480" spans="1:7">
      <c r="E480">
        <f>SUM(E2:E479)</f>
        <v>57258.498200000067</v>
      </c>
    </row>
  </sheetData>
  <autoFilter ref="A1:G480"/>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92"/>
  <sheetViews>
    <sheetView workbookViewId="0">
      <selection activeCell="I27" sqref="I27"/>
    </sheetView>
  </sheetViews>
  <sheetFormatPr defaultRowHeight="14.4"/>
  <cols>
    <col min="1" max="1" width="16.6640625" style="2953" customWidth="1"/>
    <col min="2" max="2" width="8.88671875" style="2953"/>
    <col min="3" max="3" width="9.21875" style="2953" customWidth="1"/>
    <col min="4" max="5" width="8.88671875" style="2953"/>
    <col min="6" max="6" width="19.109375" style="2953" customWidth="1"/>
    <col min="7" max="7" width="12.77734375" style="2953" bestFit="1" customWidth="1"/>
    <col min="8" max="8" width="16.109375" style="2953" bestFit="1" customWidth="1"/>
    <col min="9" max="9" width="8.88671875" style="2953"/>
    <col min="10" max="10" width="13.5546875" style="2953" customWidth="1"/>
    <col min="11" max="16384" width="8.88671875" style="2953"/>
  </cols>
  <sheetData>
    <row r="1" spans="1:12">
      <c r="A1" s="2953" t="s">
        <v>3064</v>
      </c>
      <c r="B1" s="2953" t="s">
        <v>3065</v>
      </c>
      <c r="C1" s="2953" t="s">
        <v>3066</v>
      </c>
      <c r="D1" s="2953" t="s">
        <v>3067</v>
      </c>
      <c r="E1" s="2953" t="s">
        <v>3068</v>
      </c>
      <c r="F1" s="2953" t="s">
        <v>3665</v>
      </c>
      <c r="G1" s="2953" t="s">
        <v>3666</v>
      </c>
    </row>
    <row r="2" spans="1:12">
      <c r="A2" s="2953" t="s">
        <v>3069</v>
      </c>
      <c r="B2" s="2954" t="s">
        <v>3070</v>
      </c>
      <c r="C2" s="2954">
        <v>1</v>
      </c>
      <c r="D2" s="2954" t="s">
        <v>3071</v>
      </c>
      <c r="E2" s="2954">
        <v>106.04</v>
      </c>
      <c r="F2" s="2953">
        <f ca="1">ROUND(G2*E2,0)</f>
        <v>5640904</v>
      </c>
      <c r="G2" s="2953">
        <f ca="1">ROUND(L13/L10*10000,0)</f>
        <v>53196</v>
      </c>
    </row>
    <row r="3" spans="1:12">
      <c r="A3" s="2953" t="s">
        <v>3069</v>
      </c>
      <c r="B3" s="2954" t="s">
        <v>3072</v>
      </c>
      <c r="C3" s="2954">
        <v>1</v>
      </c>
      <c r="D3" s="2954" t="s">
        <v>3071</v>
      </c>
      <c r="E3" s="2954">
        <v>26.703900000000001</v>
      </c>
      <c r="F3" s="2953">
        <f t="shared" ref="F3:F34" ca="1" si="0">ROUND(G3*E3,0)</f>
        <v>1420541</v>
      </c>
      <c r="G3" s="2953">
        <f ca="1">G2</f>
        <v>53196</v>
      </c>
    </row>
    <row r="4" spans="1:12">
      <c r="A4" s="2953" t="s">
        <v>3069</v>
      </c>
      <c r="B4" s="2954" t="s">
        <v>3073</v>
      </c>
      <c r="C4" s="2954">
        <v>1</v>
      </c>
      <c r="D4" s="2954" t="s">
        <v>3071</v>
      </c>
      <c r="E4" s="2954">
        <v>21.8947</v>
      </c>
      <c r="F4" s="2953">
        <f t="shared" ca="1" si="0"/>
        <v>1164710</v>
      </c>
      <c r="G4" s="2953">
        <f t="shared" ref="G4:G35" ca="1" si="1">G3</f>
        <v>53196</v>
      </c>
    </row>
    <row r="5" spans="1:12">
      <c r="A5" s="2953" t="s">
        <v>3069</v>
      </c>
      <c r="B5" s="2954" t="s">
        <v>3074</v>
      </c>
      <c r="C5" s="2954">
        <v>1</v>
      </c>
      <c r="D5" s="2954" t="s">
        <v>3071</v>
      </c>
      <c r="E5" s="2954">
        <v>21.8947</v>
      </c>
      <c r="F5" s="2953">
        <f t="shared" ca="1" si="0"/>
        <v>1164710</v>
      </c>
      <c r="G5" s="2953">
        <f t="shared" ca="1" si="1"/>
        <v>53196</v>
      </c>
      <c r="I5" s="2959" t="s">
        <v>3667</v>
      </c>
      <c r="J5" s="2953">
        <f ca="1">结果表!G19</f>
        <v>208676</v>
      </c>
    </row>
    <row r="6" spans="1:12">
      <c r="A6" s="2953" t="s">
        <v>3069</v>
      </c>
      <c r="B6" s="2954" t="s">
        <v>3075</v>
      </c>
      <c r="C6" s="2954">
        <v>1</v>
      </c>
      <c r="D6" s="2954" t="s">
        <v>3071</v>
      </c>
      <c r="E6" s="2954">
        <v>26.703900000000001</v>
      </c>
      <c r="F6" s="2953">
        <f t="shared" ca="1" si="0"/>
        <v>1420541</v>
      </c>
      <c r="G6" s="2953">
        <f t="shared" ca="1" si="1"/>
        <v>53196</v>
      </c>
    </row>
    <row r="7" spans="1:12">
      <c r="A7" s="2953" t="s">
        <v>3069</v>
      </c>
      <c r="B7" s="2953" t="s">
        <v>3076</v>
      </c>
      <c r="C7" s="2953">
        <v>1</v>
      </c>
      <c r="D7" s="2953" t="s">
        <v>3071</v>
      </c>
      <c r="E7" s="2953">
        <v>18.966100000000001</v>
      </c>
      <c r="F7" s="2953">
        <f t="shared" ca="1" si="0"/>
        <v>1008921</v>
      </c>
      <c r="G7" s="2953">
        <f t="shared" ca="1" si="1"/>
        <v>53196</v>
      </c>
      <c r="I7" s="2953" t="s">
        <v>3668</v>
      </c>
      <c r="K7" s="2953">
        <f ca="1">假设开发法!C4</f>
        <v>242748</v>
      </c>
    </row>
    <row r="8" spans="1:12">
      <c r="A8" s="2953" t="s">
        <v>3069</v>
      </c>
      <c r="B8" s="2953" t="s">
        <v>3077</v>
      </c>
      <c r="C8" s="2953">
        <v>1</v>
      </c>
      <c r="D8" s="2953" t="s">
        <v>3071</v>
      </c>
      <c r="E8" s="2953">
        <v>53.774500000000003</v>
      </c>
      <c r="F8" s="2953">
        <f t="shared" ca="1" si="0"/>
        <v>2860588</v>
      </c>
      <c r="G8" s="2953">
        <f t="shared" ca="1" si="1"/>
        <v>53196</v>
      </c>
      <c r="I8" s="2953" t="s">
        <v>3669</v>
      </c>
      <c r="J8" s="2953" t="s">
        <v>3670</v>
      </c>
      <c r="K8" s="2953" t="s">
        <v>3117</v>
      </c>
      <c r="L8" s="2953" t="s">
        <v>1373</v>
      </c>
    </row>
    <row r="9" spans="1:12">
      <c r="A9" s="2953" t="s">
        <v>3078</v>
      </c>
      <c r="B9" s="2953" t="s">
        <v>3079</v>
      </c>
      <c r="C9" s="2953">
        <v>1</v>
      </c>
      <c r="D9" s="2953" t="s">
        <v>3071</v>
      </c>
      <c r="E9" s="2953">
        <v>176.24340000000001</v>
      </c>
      <c r="F9" s="2953">
        <f t="shared" ca="1" si="0"/>
        <v>9375444</v>
      </c>
      <c r="G9" s="2953">
        <f t="shared" ca="1" si="1"/>
        <v>53196</v>
      </c>
      <c r="I9" s="2953" t="s">
        <v>3671</v>
      </c>
      <c r="J9" s="2953" t="s">
        <v>3672</v>
      </c>
      <c r="K9" s="2953">
        <f>假设开发法!C6</f>
        <v>57997</v>
      </c>
      <c r="L9" s="2953">
        <f ca="1">假设开发法!D6</f>
        <v>61882</v>
      </c>
    </row>
    <row r="10" spans="1:12">
      <c r="A10" s="2953" t="s">
        <v>3078</v>
      </c>
      <c r="B10" s="2953" t="s">
        <v>3080</v>
      </c>
      <c r="C10" s="2953">
        <v>1</v>
      </c>
      <c r="D10" s="2953" t="s">
        <v>3071</v>
      </c>
      <c r="E10" s="2953">
        <v>140.1352</v>
      </c>
      <c r="F10" s="2953">
        <f t="shared" ca="1" si="0"/>
        <v>7454632</v>
      </c>
      <c r="G10" s="2953">
        <f t="shared" ca="1" si="1"/>
        <v>53196</v>
      </c>
      <c r="I10" s="2953" t="s">
        <v>3673</v>
      </c>
      <c r="J10" s="2953" t="s">
        <v>3674</v>
      </c>
      <c r="K10" s="2953">
        <f>假设开发法!C7</f>
        <v>38862.989800000003</v>
      </c>
      <c r="L10" s="2953">
        <f>假设开发法!D7</f>
        <v>2804.3640999999993</v>
      </c>
    </row>
    <row r="11" spans="1:12">
      <c r="A11" s="2953" t="s">
        <v>3078</v>
      </c>
      <c r="B11" s="2953" t="s">
        <v>3081</v>
      </c>
      <c r="C11" s="2953">
        <v>1</v>
      </c>
      <c r="D11" s="2953" t="s">
        <v>3071</v>
      </c>
      <c r="E11" s="2953">
        <v>202.7688</v>
      </c>
      <c r="F11" s="2953">
        <f t="shared" ca="1" si="0"/>
        <v>10786489</v>
      </c>
      <c r="G11" s="2953">
        <f t="shared" ca="1" si="1"/>
        <v>53196</v>
      </c>
      <c r="I11" s="2953" t="s">
        <v>3675</v>
      </c>
      <c r="J11" s="2953" t="s">
        <v>3676</v>
      </c>
      <c r="K11" s="2953">
        <f>假设开发法!C8</f>
        <v>225394</v>
      </c>
      <c r="L11" s="2953">
        <f ca="1">假设开发法!D8</f>
        <v>17354</v>
      </c>
    </row>
    <row r="12" spans="1:12">
      <c r="A12" s="2953" t="s">
        <v>3078</v>
      </c>
      <c r="B12" s="2953" t="s">
        <v>3082</v>
      </c>
      <c r="C12" s="2953">
        <v>1</v>
      </c>
      <c r="D12" s="2953" t="s">
        <v>3071</v>
      </c>
      <c r="E12" s="2953">
        <v>202.03460000000001</v>
      </c>
      <c r="F12" s="2953">
        <f t="shared" ca="1" si="0"/>
        <v>10747433</v>
      </c>
      <c r="G12" s="2953">
        <f t="shared" ca="1" si="1"/>
        <v>53196</v>
      </c>
      <c r="J12" s="2956"/>
    </row>
    <row r="13" spans="1:12">
      <c r="A13" s="2953" t="s">
        <v>3078</v>
      </c>
      <c r="B13" s="2953" t="s">
        <v>3083</v>
      </c>
      <c r="C13" s="2953">
        <v>1</v>
      </c>
      <c r="D13" s="2953" t="s">
        <v>3071</v>
      </c>
      <c r="E13" s="2953">
        <v>235.77869999999999</v>
      </c>
      <c r="F13" s="2953">
        <f t="shared" ca="1" si="0"/>
        <v>12542484</v>
      </c>
      <c r="G13" s="2953">
        <f t="shared" ca="1" si="1"/>
        <v>53196</v>
      </c>
      <c r="J13" s="2956" t="s">
        <v>3677</v>
      </c>
      <c r="K13" s="2953">
        <f ca="1">ROUND(K11/K7*J5,0)</f>
        <v>193758</v>
      </c>
      <c r="L13" s="2953">
        <f ca="1">ROUND(L11/K7*J5,0)</f>
        <v>14918</v>
      </c>
    </row>
    <row r="14" spans="1:12">
      <c r="A14" s="2953" t="s">
        <v>3078</v>
      </c>
      <c r="B14" s="2953" t="s">
        <v>3084</v>
      </c>
      <c r="C14" s="2953">
        <v>1</v>
      </c>
      <c r="D14" s="2953" t="s">
        <v>3071</v>
      </c>
      <c r="E14" s="2953">
        <v>129.88579999999999</v>
      </c>
      <c r="F14" s="2953">
        <f t="shared" ca="1" si="0"/>
        <v>6909405</v>
      </c>
      <c r="G14" s="2953">
        <f t="shared" ca="1" si="1"/>
        <v>53196</v>
      </c>
    </row>
    <row r="15" spans="1:12">
      <c r="A15" s="2953" t="s">
        <v>3078</v>
      </c>
      <c r="B15" s="2953" t="s">
        <v>3085</v>
      </c>
      <c r="C15" s="2953">
        <v>1</v>
      </c>
      <c r="D15" s="2953" t="s">
        <v>3071</v>
      </c>
      <c r="E15" s="2953">
        <v>166.09620000000001</v>
      </c>
      <c r="F15" s="2953">
        <f t="shared" ca="1" si="0"/>
        <v>8835653</v>
      </c>
      <c r="G15" s="2953">
        <f t="shared" ca="1" si="1"/>
        <v>53196</v>
      </c>
    </row>
    <row r="16" spans="1:12">
      <c r="A16" s="2953" t="s">
        <v>3078</v>
      </c>
      <c r="B16" s="2953" t="s">
        <v>3086</v>
      </c>
      <c r="C16" s="2953">
        <v>1</v>
      </c>
      <c r="D16" s="2953" t="s">
        <v>3071</v>
      </c>
      <c r="E16" s="2953">
        <v>26.5504</v>
      </c>
      <c r="F16" s="2953">
        <f t="shared" ca="1" si="0"/>
        <v>1412375</v>
      </c>
      <c r="G16" s="2953">
        <f t="shared" ca="1" si="1"/>
        <v>53196</v>
      </c>
    </row>
    <row r="17" spans="1:7">
      <c r="A17" s="2953" t="s">
        <v>3078</v>
      </c>
      <c r="B17" s="2953" t="s">
        <v>3087</v>
      </c>
      <c r="C17" s="2953">
        <v>1</v>
      </c>
      <c r="D17" s="2953" t="s">
        <v>3071</v>
      </c>
      <c r="E17" s="2953">
        <v>171.3083</v>
      </c>
      <c r="F17" s="2953">
        <f t="shared" ca="1" si="0"/>
        <v>9112916</v>
      </c>
      <c r="G17" s="2953">
        <f t="shared" ca="1" si="1"/>
        <v>53196</v>
      </c>
    </row>
    <row r="18" spans="1:7">
      <c r="A18" s="2953" t="s">
        <v>3078</v>
      </c>
      <c r="B18" s="2953" t="s">
        <v>3088</v>
      </c>
      <c r="C18" s="2953">
        <v>1</v>
      </c>
      <c r="D18" s="2953" t="s">
        <v>3071</v>
      </c>
      <c r="E18" s="2953">
        <v>68.550399999999996</v>
      </c>
      <c r="F18" s="2953">
        <f t="shared" ca="1" si="0"/>
        <v>3646607</v>
      </c>
      <c r="G18" s="2953">
        <f t="shared" ca="1" si="1"/>
        <v>53196</v>
      </c>
    </row>
    <row r="19" spans="1:7">
      <c r="A19" s="2953" t="s">
        <v>3078</v>
      </c>
      <c r="B19" s="2953" t="s">
        <v>3089</v>
      </c>
      <c r="C19" s="2953">
        <v>1</v>
      </c>
      <c r="D19" s="2953" t="s">
        <v>3071</v>
      </c>
      <c r="E19" s="2953">
        <v>30.212499999999999</v>
      </c>
      <c r="F19" s="2953">
        <f t="shared" ca="1" si="0"/>
        <v>1607184</v>
      </c>
      <c r="G19" s="2953">
        <f t="shared" ca="1" si="1"/>
        <v>53196</v>
      </c>
    </row>
    <row r="20" spans="1:7">
      <c r="A20" s="2953" t="s">
        <v>3078</v>
      </c>
      <c r="B20" s="2953" t="s">
        <v>3090</v>
      </c>
      <c r="C20" s="2953">
        <v>1</v>
      </c>
      <c r="D20" s="2953" t="s">
        <v>3071</v>
      </c>
      <c r="E20" s="2953">
        <v>19.767199999999999</v>
      </c>
      <c r="F20" s="2953">
        <f t="shared" ca="1" si="0"/>
        <v>1051536</v>
      </c>
      <c r="G20" s="2953">
        <f t="shared" ca="1" si="1"/>
        <v>53196</v>
      </c>
    </row>
    <row r="21" spans="1:7">
      <c r="A21" s="2953" t="s">
        <v>3078</v>
      </c>
      <c r="B21" s="2953" t="s">
        <v>3091</v>
      </c>
      <c r="C21" s="2953">
        <v>1</v>
      </c>
      <c r="D21" s="2953" t="s">
        <v>3071</v>
      </c>
      <c r="E21" s="2953">
        <v>77.243799999999993</v>
      </c>
      <c r="F21" s="2953">
        <f t="shared" ca="1" si="0"/>
        <v>4109061</v>
      </c>
      <c r="G21" s="2953">
        <f t="shared" ca="1" si="1"/>
        <v>53196</v>
      </c>
    </row>
    <row r="22" spans="1:7">
      <c r="A22" s="2953" t="s">
        <v>3078</v>
      </c>
      <c r="B22" s="2953" t="s">
        <v>3092</v>
      </c>
      <c r="C22" s="2953">
        <v>1</v>
      </c>
      <c r="D22" s="2953" t="s">
        <v>3071</v>
      </c>
      <c r="E22" s="2953">
        <v>116.905</v>
      </c>
      <c r="F22" s="2953">
        <f t="shared" ca="1" si="0"/>
        <v>6218878</v>
      </c>
      <c r="G22" s="2953">
        <f t="shared" ca="1" si="1"/>
        <v>53196</v>
      </c>
    </row>
    <row r="23" spans="1:7">
      <c r="A23" s="2953" t="s">
        <v>3078</v>
      </c>
      <c r="B23" s="2953" t="s">
        <v>3093</v>
      </c>
      <c r="C23" s="2953">
        <v>1</v>
      </c>
      <c r="D23" s="2953" t="s">
        <v>3071</v>
      </c>
      <c r="E23" s="2953">
        <v>18.616</v>
      </c>
      <c r="F23" s="2953">
        <f t="shared" ca="1" si="0"/>
        <v>990297</v>
      </c>
      <c r="G23" s="2953">
        <f t="shared" ca="1" si="1"/>
        <v>53196</v>
      </c>
    </row>
    <row r="24" spans="1:7">
      <c r="A24" s="2953" t="s">
        <v>3078</v>
      </c>
      <c r="B24" s="2953" t="s">
        <v>3094</v>
      </c>
      <c r="C24" s="2953">
        <v>1</v>
      </c>
      <c r="D24" s="2953" t="s">
        <v>3071</v>
      </c>
      <c r="E24" s="2953">
        <v>116.09350000000001</v>
      </c>
      <c r="F24" s="2953">
        <f t="shared" ca="1" si="0"/>
        <v>6175710</v>
      </c>
      <c r="G24" s="2953">
        <f t="shared" ca="1" si="1"/>
        <v>53196</v>
      </c>
    </row>
    <row r="25" spans="1:7">
      <c r="A25" s="2953" t="s">
        <v>3078</v>
      </c>
      <c r="B25" s="2953" t="s">
        <v>3095</v>
      </c>
      <c r="C25" s="2953">
        <v>1</v>
      </c>
      <c r="D25" s="2953" t="s">
        <v>3071</v>
      </c>
      <c r="E25" s="2953">
        <v>42.157899999999998</v>
      </c>
      <c r="F25" s="2953">
        <f t="shared" ca="1" si="0"/>
        <v>2242632</v>
      </c>
      <c r="G25" s="2953">
        <f t="shared" ca="1" si="1"/>
        <v>53196</v>
      </c>
    </row>
    <row r="26" spans="1:7">
      <c r="A26" s="2953" t="s">
        <v>3078</v>
      </c>
      <c r="B26" s="2953" t="s">
        <v>3096</v>
      </c>
      <c r="C26" s="2953">
        <v>1</v>
      </c>
      <c r="D26" s="2953" t="s">
        <v>3071</v>
      </c>
      <c r="E26" s="2953">
        <v>64.911299999999997</v>
      </c>
      <c r="F26" s="2953">
        <f t="shared" ca="1" si="0"/>
        <v>3453022</v>
      </c>
      <c r="G26" s="2953">
        <f t="shared" ca="1" si="1"/>
        <v>53196</v>
      </c>
    </row>
    <row r="27" spans="1:7">
      <c r="A27" s="2953" t="s">
        <v>3078</v>
      </c>
      <c r="B27" s="2953" t="s">
        <v>3097</v>
      </c>
      <c r="C27" s="2953">
        <v>1</v>
      </c>
      <c r="D27" s="2953" t="s">
        <v>3071</v>
      </c>
      <c r="E27" s="2953">
        <v>49.714799999999997</v>
      </c>
      <c r="F27" s="2953">
        <f t="shared" ca="1" si="0"/>
        <v>2644629</v>
      </c>
      <c r="G27" s="2953">
        <f t="shared" ca="1" si="1"/>
        <v>53196</v>
      </c>
    </row>
    <row r="28" spans="1:7">
      <c r="A28" s="2953" t="s">
        <v>3078</v>
      </c>
      <c r="B28" s="2953" t="s">
        <v>3098</v>
      </c>
      <c r="C28" s="2953">
        <v>1</v>
      </c>
      <c r="D28" s="2953" t="s">
        <v>3071</v>
      </c>
      <c r="E28" s="2953">
        <v>42.157899999999998</v>
      </c>
      <c r="F28" s="2953">
        <f t="shared" ca="1" si="0"/>
        <v>2242632</v>
      </c>
      <c r="G28" s="2953">
        <f t="shared" ca="1" si="1"/>
        <v>53196</v>
      </c>
    </row>
    <row r="29" spans="1:7">
      <c r="A29" s="2953" t="s">
        <v>3078</v>
      </c>
      <c r="B29" s="2953" t="s">
        <v>3099</v>
      </c>
      <c r="C29" s="2953">
        <v>1</v>
      </c>
      <c r="D29" s="2953" t="s">
        <v>3071</v>
      </c>
      <c r="E29" s="2953">
        <v>97.362799999999993</v>
      </c>
      <c r="F29" s="2953">
        <f t="shared" ca="1" si="0"/>
        <v>5179312</v>
      </c>
      <c r="G29" s="2953">
        <f t="shared" ca="1" si="1"/>
        <v>53196</v>
      </c>
    </row>
    <row r="30" spans="1:7">
      <c r="A30" s="2953" t="s">
        <v>3078</v>
      </c>
      <c r="B30" s="2953" t="s">
        <v>3100</v>
      </c>
      <c r="C30" s="2953">
        <v>1</v>
      </c>
      <c r="D30" s="2953" t="s">
        <v>3071</v>
      </c>
      <c r="E30" s="2953">
        <v>21.577400000000001</v>
      </c>
      <c r="F30" s="2953">
        <f t="shared" ca="1" si="0"/>
        <v>1147831</v>
      </c>
      <c r="G30" s="2953">
        <f t="shared" ca="1" si="1"/>
        <v>53196</v>
      </c>
    </row>
    <row r="31" spans="1:7">
      <c r="A31" s="2953" t="s">
        <v>3078</v>
      </c>
      <c r="B31" s="2953" t="s">
        <v>3101</v>
      </c>
      <c r="C31" s="2953">
        <v>1</v>
      </c>
      <c r="D31" s="2953" t="s">
        <v>3071</v>
      </c>
      <c r="E31" s="2953">
        <v>93.398899999999998</v>
      </c>
      <c r="F31" s="2953">
        <f t="shared" ca="1" si="0"/>
        <v>4968448</v>
      </c>
      <c r="G31" s="2953">
        <f t="shared" ca="1" si="1"/>
        <v>53196</v>
      </c>
    </row>
    <row r="32" spans="1:7">
      <c r="A32" s="2953" t="s">
        <v>3078</v>
      </c>
      <c r="B32" s="2953" t="s">
        <v>3102</v>
      </c>
      <c r="C32" s="2953">
        <v>1</v>
      </c>
      <c r="D32" s="2953" t="s">
        <v>3071</v>
      </c>
      <c r="E32" s="2953">
        <v>52.533999999999999</v>
      </c>
      <c r="F32" s="2953">
        <f t="shared" ca="1" si="0"/>
        <v>2794599</v>
      </c>
      <c r="G32" s="2953">
        <f t="shared" ca="1" si="1"/>
        <v>53196</v>
      </c>
    </row>
    <row r="33" spans="1:12">
      <c r="A33" s="2953" t="s">
        <v>3078</v>
      </c>
      <c r="B33" s="2953" t="s">
        <v>3103</v>
      </c>
      <c r="C33" s="2953">
        <v>1</v>
      </c>
      <c r="D33" s="2953" t="s">
        <v>3071</v>
      </c>
      <c r="E33" s="2953">
        <v>60.7256</v>
      </c>
      <c r="F33" s="2953">
        <f t="shared" ca="1" si="0"/>
        <v>3230359</v>
      </c>
      <c r="G33" s="2953">
        <f t="shared" ca="1" si="1"/>
        <v>53196</v>
      </c>
    </row>
    <row r="34" spans="1:12">
      <c r="A34" s="2953" t="s">
        <v>3078</v>
      </c>
      <c r="B34" s="2953" t="s">
        <v>3104</v>
      </c>
      <c r="C34" s="2953">
        <v>1</v>
      </c>
      <c r="D34" s="2953" t="s">
        <v>3071</v>
      </c>
      <c r="E34" s="2953">
        <v>64.087699999999998</v>
      </c>
      <c r="F34" s="2953">
        <f t="shared" ca="1" si="0"/>
        <v>3409209</v>
      </c>
      <c r="G34" s="2953">
        <f t="shared" ca="1" si="1"/>
        <v>53196</v>
      </c>
      <c r="I34" s="2953">
        <v>0.25</v>
      </c>
      <c r="J34" s="2953">
        <v>1</v>
      </c>
    </row>
    <row r="35" spans="1:12">
      <c r="A35" s="2953" t="s">
        <v>3069</v>
      </c>
      <c r="B35" s="2953" t="s">
        <v>3105</v>
      </c>
      <c r="C35" s="2953">
        <v>1</v>
      </c>
      <c r="D35" s="2953" t="s">
        <v>3071</v>
      </c>
      <c r="E35" s="2953">
        <v>41.568199999999997</v>
      </c>
      <c r="F35" s="2953">
        <f ca="1">L13*10000-SUM(F2:F34)</f>
        <v>2210308</v>
      </c>
      <c r="G35" s="2953">
        <f t="shared" ca="1" si="1"/>
        <v>53196</v>
      </c>
      <c r="I35" s="2959" t="s">
        <v>3678</v>
      </c>
      <c r="J35" s="2959" t="s">
        <v>3679</v>
      </c>
      <c r="K35" s="2959" t="s">
        <v>3680</v>
      </c>
    </row>
    <row r="36" spans="1:12">
      <c r="A36" s="2953" t="s">
        <v>3069</v>
      </c>
      <c r="B36" s="2953" t="s">
        <v>3106</v>
      </c>
      <c r="C36" s="2953">
        <v>2</v>
      </c>
      <c r="D36" s="2953" t="s">
        <v>3071</v>
      </c>
      <c r="E36" s="2953">
        <v>102.2833</v>
      </c>
      <c r="F36" s="2953">
        <f ca="1">L36</f>
        <v>4940635</v>
      </c>
      <c r="G36" s="2953">
        <f ca="1">ROUND(F36/E36,0)</f>
        <v>48303</v>
      </c>
      <c r="I36" s="2953">
        <v>100</v>
      </c>
      <c r="J36" s="2953">
        <v>100</v>
      </c>
      <c r="K36" s="2953">
        <f>ROUND(E36*1*I36/100*J36/100,2)</f>
        <v>102.28</v>
      </c>
      <c r="L36" s="2953">
        <f t="shared" ref="L36:L99" ca="1" si="2">ROUND($L$392/$K$392*K36*10000,0)</f>
        <v>4940635</v>
      </c>
    </row>
    <row r="37" spans="1:12">
      <c r="A37" s="2953" t="s">
        <v>3069</v>
      </c>
      <c r="B37" s="2953" t="s">
        <v>3106</v>
      </c>
      <c r="C37" s="2953">
        <v>2</v>
      </c>
      <c r="D37" s="2953" t="s">
        <v>3107</v>
      </c>
      <c r="E37" s="2953">
        <v>101.7709</v>
      </c>
      <c r="F37" s="2953">
        <f t="shared" ref="F37:F100" ca="1" si="3">L37</f>
        <v>4915999</v>
      </c>
      <c r="G37" s="2953">
        <f t="shared" ref="G37:G100" ca="1" si="4">ROUND(F37/E37,0)</f>
        <v>48305</v>
      </c>
      <c r="I37" s="2953">
        <f>$I$36</f>
        <v>100</v>
      </c>
      <c r="J37" s="2953">
        <v>100</v>
      </c>
      <c r="K37" s="2953">
        <f t="shared" ref="K37:K100" si="5">ROUND(E37*1*I37/100*J37/100,2)</f>
        <v>101.77</v>
      </c>
      <c r="L37" s="2953">
        <f t="shared" ca="1" si="2"/>
        <v>4915999</v>
      </c>
    </row>
    <row r="38" spans="1:12">
      <c r="A38" s="2953" t="s">
        <v>3069</v>
      </c>
      <c r="B38" s="2953" t="s">
        <v>3106</v>
      </c>
      <c r="C38" s="2953">
        <v>2</v>
      </c>
      <c r="D38" s="2953" t="s">
        <v>3108</v>
      </c>
      <c r="E38" s="2953">
        <v>129.38059999999999</v>
      </c>
      <c r="F38" s="2953">
        <f t="shared" ca="1" si="3"/>
        <v>6249700</v>
      </c>
      <c r="G38" s="2953">
        <f t="shared" ca="1" si="4"/>
        <v>48305</v>
      </c>
      <c r="I38" s="2953">
        <f t="shared" ref="I38:I43" si="6">$I$36</f>
        <v>100</v>
      </c>
      <c r="J38" s="2953">
        <v>100</v>
      </c>
      <c r="K38" s="2953">
        <f t="shared" si="5"/>
        <v>129.38</v>
      </c>
      <c r="L38" s="2953">
        <f t="shared" ca="1" si="2"/>
        <v>6249700</v>
      </c>
    </row>
    <row r="39" spans="1:12">
      <c r="A39" s="2953" t="s">
        <v>3069</v>
      </c>
      <c r="B39" s="2953" t="s">
        <v>3106</v>
      </c>
      <c r="C39" s="2953">
        <v>2</v>
      </c>
      <c r="D39" s="2953" t="s">
        <v>3109</v>
      </c>
      <c r="E39" s="2953">
        <v>129.64189999999999</v>
      </c>
      <c r="F39" s="2953">
        <f t="shared" ca="1" si="3"/>
        <v>6262260</v>
      </c>
      <c r="G39" s="2953">
        <f t="shared" ca="1" si="4"/>
        <v>48304</v>
      </c>
      <c r="I39" s="2953">
        <f t="shared" si="6"/>
        <v>100</v>
      </c>
      <c r="J39" s="2953">
        <v>100</v>
      </c>
      <c r="K39" s="2953">
        <f t="shared" si="5"/>
        <v>129.63999999999999</v>
      </c>
      <c r="L39" s="2953">
        <f t="shared" ca="1" si="2"/>
        <v>6262260</v>
      </c>
    </row>
    <row r="40" spans="1:12">
      <c r="A40" s="2953" t="s">
        <v>3069</v>
      </c>
      <c r="B40" s="2953" t="s">
        <v>3110</v>
      </c>
      <c r="C40" s="2953">
        <v>2</v>
      </c>
      <c r="D40" s="2953" t="s">
        <v>3111</v>
      </c>
      <c r="E40" s="2953">
        <v>102.9316</v>
      </c>
      <c r="F40" s="2953">
        <f t="shared" ca="1" si="3"/>
        <v>4972033</v>
      </c>
      <c r="G40" s="2953">
        <f t="shared" ca="1" si="4"/>
        <v>48304</v>
      </c>
      <c r="I40" s="2953">
        <f t="shared" si="6"/>
        <v>100</v>
      </c>
      <c r="J40" s="2953">
        <v>100</v>
      </c>
      <c r="K40" s="2953">
        <f t="shared" si="5"/>
        <v>102.93</v>
      </c>
      <c r="L40" s="2953">
        <f t="shared" ca="1" si="2"/>
        <v>4972033</v>
      </c>
    </row>
    <row r="41" spans="1:12">
      <c r="A41" s="2953" t="s">
        <v>3069</v>
      </c>
      <c r="B41" s="2953" t="s">
        <v>3110</v>
      </c>
      <c r="C41" s="2953">
        <v>2</v>
      </c>
      <c r="D41" s="2953" t="s">
        <v>3112</v>
      </c>
      <c r="E41" s="2953">
        <v>102.9316</v>
      </c>
      <c r="F41" s="2953">
        <f t="shared" ca="1" si="3"/>
        <v>4972033</v>
      </c>
      <c r="G41" s="2953">
        <f t="shared" ca="1" si="4"/>
        <v>48304</v>
      </c>
      <c r="I41" s="2953">
        <f t="shared" si="6"/>
        <v>100</v>
      </c>
      <c r="J41" s="2953">
        <v>100</v>
      </c>
      <c r="K41" s="2953">
        <f t="shared" si="5"/>
        <v>102.93</v>
      </c>
      <c r="L41" s="2953">
        <f t="shared" ca="1" si="2"/>
        <v>4972033</v>
      </c>
    </row>
    <row r="42" spans="1:12">
      <c r="A42" s="2953" t="s">
        <v>3069</v>
      </c>
      <c r="B42" s="2953" t="s">
        <v>3110</v>
      </c>
      <c r="C42" s="2953">
        <v>2</v>
      </c>
      <c r="D42" s="2953" t="s">
        <v>3113</v>
      </c>
      <c r="E42" s="2953">
        <v>130.25399999999999</v>
      </c>
      <c r="F42" s="2953">
        <f t="shared" ca="1" si="3"/>
        <v>6228929</v>
      </c>
      <c r="G42" s="2953">
        <f t="shared" ca="1" si="4"/>
        <v>47821</v>
      </c>
      <c r="I42" s="2953">
        <f t="shared" si="6"/>
        <v>100</v>
      </c>
      <c r="J42" s="2953">
        <v>99</v>
      </c>
      <c r="K42" s="2953">
        <f t="shared" si="5"/>
        <v>128.94999999999999</v>
      </c>
      <c r="L42" s="2953">
        <f t="shared" ca="1" si="2"/>
        <v>6228929</v>
      </c>
    </row>
    <row r="43" spans="1:12">
      <c r="A43" s="2953" t="s">
        <v>3069</v>
      </c>
      <c r="B43" s="2953" t="s">
        <v>3110</v>
      </c>
      <c r="C43" s="2953">
        <v>2</v>
      </c>
      <c r="D43" s="2953" t="s">
        <v>3114</v>
      </c>
      <c r="E43" s="2953">
        <v>130.2373</v>
      </c>
      <c r="F43" s="2953">
        <f t="shared" ca="1" si="3"/>
        <v>6227963</v>
      </c>
      <c r="G43" s="2953">
        <f t="shared" ca="1" si="4"/>
        <v>47820</v>
      </c>
      <c r="I43" s="2953">
        <f t="shared" si="6"/>
        <v>100</v>
      </c>
      <c r="J43" s="2953">
        <v>99</v>
      </c>
      <c r="K43" s="2953">
        <f t="shared" si="5"/>
        <v>128.93</v>
      </c>
      <c r="L43" s="2953">
        <f t="shared" ca="1" si="2"/>
        <v>6227963</v>
      </c>
    </row>
    <row r="44" spans="1:12">
      <c r="A44" s="2953" t="s">
        <v>3069</v>
      </c>
      <c r="B44" s="2953" t="s">
        <v>3106</v>
      </c>
      <c r="C44" s="2953">
        <v>3</v>
      </c>
      <c r="D44" s="2953" t="s">
        <v>3071</v>
      </c>
      <c r="E44" s="2953">
        <v>103.3442</v>
      </c>
      <c r="F44" s="2953">
        <f t="shared" ca="1" si="3"/>
        <v>5004397</v>
      </c>
      <c r="G44" s="2953">
        <f t="shared" ca="1" si="4"/>
        <v>48425</v>
      </c>
      <c r="I44" s="2953">
        <f>I43+$I$34</f>
        <v>100.25</v>
      </c>
      <c r="J44" s="2953">
        <v>100</v>
      </c>
      <c r="K44" s="2953">
        <f t="shared" si="5"/>
        <v>103.6</v>
      </c>
      <c r="L44" s="2953">
        <f t="shared" ca="1" si="2"/>
        <v>5004397</v>
      </c>
    </row>
    <row r="45" spans="1:12">
      <c r="A45" s="2953" t="s">
        <v>3069</v>
      </c>
      <c r="B45" s="2953" t="s">
        <v>3106</v>
      </c>
      <c r="C45" s="2953">
        <v>3</v>
      </c>
      <c r="D45" s="2953" t="s">
        <v>3107</v>
      </c>
      <c r="E45" s="2953">
        <v>103.4413</v>
      </c>
      <c r="F45" s="2953">
        <f t="shared" ca="1" si="3"/>
        <v>5009228</v>
      </c>
      <c r="G45" s="2953">
        <f t="shared" ca="1" si="4"/>
        <v>48426</v>
      </c>
      <c r="I45" s="2953">
        <f>$I$44</f>
        <v>100.25</v>
      </c>
      <c r="J45" s="2953">
        <v>100</v>
      </c>
      <c r="K45" s="2953">
        <f t="shared" si="5"/>
        <v>103.7</v>
      </c>
      <c r="L45" s="2953">
        <f t="shared" ca="1" si="2"/>
        <v>5009228</v>
      </c>
    </row>
    <row r="46" spans="1:12">
      <c r="A46" s="2953" t="s">
        <v>3069</v>
      </c>
      <c r="B46" s="2953" t="s">
        <v>3106</v>
      </c>
      <c r="C46" s="2953">
        <v>3</v>
      </c>
      <c r="D46" s="2953" t="s">
        <v>3108</v>
      </c>
      <c r="E46" s="2953">
        <v>130.81460000000001</v>
      </c>
      <c r="F46" s="2953">
        <f t="shared" ca="1" si="3"/>
        <v>6271437</v>
      </c>
      <c r="G46" s="2953">
        <f t="shared" ca="1" si="4"/>
        <v>47941</v>
      </c>
      <c r="I46" s="2953">
        <f t="shared" ref="I46:I55" si="7">$I$44</f>
        <v>100.25</v>
      </c>
      <c r="J46" s="2953">
        <v>99</v>
      </c>
      <c r="K46" s="2953">
        <f t="shared" si="5"/>
        <v>129.83000000000001</v>
      </c>
      <c r="L46" s="2953">
        <f t="shared" ca="1" si="2"/>
        <v>6271437</v>
      </c>
    </row>
    <row r="47" spans="1:12">
      <c r="A47" s="2953" t="s">
        <v>3069</v>
      </c>
      <c r="B47" s="2953" t="s">
        <v>3106</v>
      </c>
      <c r="C47" s="2953">
        <v>3</v>
      </c>
      <c r="D47" s="2953" t="s">
        <v>3109</v>
      </c>
      <c r="E47" s="2953">
        <v>130.6318</v>
      </c>
      <c r="F47" s="2953">
        <f t="shared" ca="1" si="3"/>
        <v>6262743</v>
      </c>
      <c r="G47" s="2953">
        <f t="shared" ca="1" si="4"/>
        <v>47942</v>
      </c>
      <c r="I47" s="2953">
        <f t="shared" si="7"/>
        <v>100.25</v>
      </c>
      <c r="J47" s="2953">
        <v>99</v>
      </c>
      <c r="K47" s="2953">
        <f t="shared" si="5"/>
        <v>129.65</v>
      </c>
      <c r="L47" s="2953">
        <f t="shared" ca="1" si="2"/>
        <v>6262743</v>
      </c>
    </row>
    <row r="48" spans="1:12">
      <c r="A48" s="2953" t="s">
        <v>3069</v>
      </c>
      <c r="B48" s="2953" t="s">
        <v>3110</v>
      </c>
      <c r="C48" s="2953">
        <v>3</v>
      </c>
      <c r="D48" s="2953" t="s">
        <v>3071</v>
      </c>
      <c r="E48" s="2953">
        <v>103.4413</v>
      </c>
      <c r="F48" s="2953">
        <f t="shared" ca="1" si="3"/>
        <v>5009228</v>
      </c>
      <c r="G48" s="2953">
        <f t="shared" ca="1" si="4"/>
        <v>48426</v>
      </c>
      <c r="I48" s="2953">
        <f t="shared" si="7"/>
        <v>100.25</v>
      </c>
      <c r="J48" s="2953">
        <v>100</v>
      </c>
      <c r="K48" s="2953">
        <f t="shared" si="5"/>
        <v>103.7</v>
      </c>
      <c r="L48" s="2953">
        <f t="shared" ca="1" si="2"/>
        <v>5009228</v>
      </c>
    </row>
    <row r="49" spans="1:12">
      <c r="A49" s="2953" t="s">
        <v>3069</v>
      </c>
      <c r="B49" s="2953" t="s">
        <v>3110</v>
      </c>
      <c r="C49" s="2953">
        <v>3</v>
      </c>
      <c r="D49" s="2953" t="s">
        <v>3107</v>
      </c>
      <c r="E49" s="2953">
        <v>103.3442</v>
      </c>
      <c r="F49" s="2953">
        <f t="shared" ca="1" si="3"/>
        <v>5004397</v>
      </c>
      <c r="G49" s="2953">
        <f t="shared" ca="1" si="4"/>
        <v>48425</v>
      </c>
      <c r="I49" s="2953">
        <f t="shared" si="7"/>
        <v>100.25</v>
      </c>
      <c r="J49" s="2953">
        <v>100</v>
      </c>
      <c r="K49" s="2953">
        <f t="shared" si="5"/>
        <v>103.6</v>
      </c>
      <c r="L49" s="2953">
        <f t="shared" ca="1" si="2"/>
        <v>5004397</v>
      </c>
    </row>
    <row r="50" spans="1:12">
      <c r="A50" s="2953" t="s">
        <v>3069</v>
      </c>
      <c r="B50" s="2953" t="s">
        <v>3110</v>
      </c>
      <c r="C50" s="2953">
        <v>3</v>
      </c>
      <c r="D50" s="2953" t="s">
        <v>3108</v>
      </c>
      <c r="E50" s="2953">
        <v>130.6318</v>
      </c>
      <c r="F50" s="2953">
        <f t="shared" ca="1" si="3"/>
        <v>6262743</v>
      </c>
      <c r="G50" s="2953">
        <f t="shared" ca="1" si="4"/>
        <v>47942</v>
      </c>
      <c r="I50" s="2953">
        <f t="shared" si="7"/>
        <v>100.25</v>
      </c>
      <c r="J50" s="2953">
        <v>99</v>
      </c>
      <c r="K50" s="2953">
        <f t="shared" si="5"/>
        <v>129.65</v>
      </c>
      <c r="L50" s="2953">
        <f t="shared" ca="1" si="2"/>
        <v>6262743</v>
      </c>
    </row>
    <row r="51" spans="1:12">
      <c r="A51" s="2953" t="s">
        <v>3069</v>
      </c>
      <c r="B51" s="2953" t="s">
        <v>3110</v>
      </c>
      <c r="C51" s="2953">
        <v>3</v>
      </c>
      <c r="D51" s="2953" t="s">
        <v>3109</v>
      </c>
      <c r="E51" s="2953">
        <v>130.81460000000001</v>
      </c>
      <c r="F51" s="2953">
        <f t="shared" ca="1" si="3"/>
        <v>6271437</v>
      </c>
      <c r="G51" s="2953">
        <f t="shared" ca="1" si="4"/>
        <v>47941</v>
      </c>
      <c r="I51" s="2953">
        <f t="shared" si="7"/>
        <v>100.25</v>
      </c>
      <c r="J51" s="2953">
        <v>99</v>
      </c>
      <c r="K51" s="2953">
        <f t="shared" si="5"/>
        <v>129.83000000000001</v>
      </c>
      <c r="L51" s="2953">
        <f t="shared" ca="1" si="2"/>
        <v>6271437</v>
      </c>
    </row>
    <row r="52" spans="1:12">
      <c r="A52" s="2953" t="s">
        <v>3069</v>
      </c>
      <c r="B52" s="2953" t="s">
        <v>3115</v>
      </c>
      <c r="C52" s="2953">
        <v>3</v>
      </c>
      <c r="D52" s="2953" t="s">
        <v>3071</v>
      </c>
      <c r="E52" s="2953">
        <v>90.626000000000005</v>
      </c>
      <c r="F52" s="2953">
        <f t="shared" ca="1" si="3"/>
        <v>4388509</v>
      </c>
      <c r="G52" s="2953">
        <f t="shared" ca="1" si="4"/>
        <v>48424</v>
      </c>
      <c r="I52" s="2953">
        <f t="shared" si="7"/>
        <v>100.25</v>
      </c>
      <c r="J52" s="2953">
        <v>100</v>
      </c>
      <c r="K52" s="2953">
        <f t="shared" si="5"/>
        <v>90.85</v>
      </c>
      <c r="L52" s="2953">
        <f t="shared" ca="1" si="2"/>
        <v>4388509</v>
      </c>
    </row>
    <row r="53" spans="1:12">
      <c r="A53" s="2953" t="s">
        <v>3069</v>
      </c>
      <c r="B53" s="2953" t="s">
        <v>3115</v>
      </c>
      <c r="C53" s="2953">
        <v>3</v>
      </c>
      <c r="D53" s="2953" t="s">
        <v>3107</v>
      </c>
      <c r="E53" s="2953">
        <v>90.716399999999993</v>
      </c>
      <c r="F53" s="2953">
        <f t="shared" ca="1" si="3"/>
        <v>4392856</v>
      </c>
      <c r="G53" s="2953">
        <f t="shared" ca="1" si="4"/>
        <v>48424</v>
      </c>
      <c r="I53" s="2953">
        <f t="shared" si="7"/>
        <v>100.25</v>
      </c>
      <c r="J53" s="2953">
        <v>100</v>
      </c>
      <c r="K53" s="2953">
        <f t="shared" si="5"/>
        <v>90.94</v>
      </c>
      <c r="L53" s="2953">
        <f t="shared" ca="1" si="2"/>
        <v>4392856</v>
      </c>
    </row>
    <row r="54" spans="1:12">
      <c r="A54" s="2953" t="s">
        <v>3069</v>
      </c>
      <c r="B54" s="2953" t="s">
        <v>3115</v>
      </c>
      <c r="C54" s="2953">
        <v>3</v>
      </c>
      <c r="D54" s="2953" t="s">
        <v>3108</v>
      </c>
      <c r="E54" s="2953">
        <v>92.1126</v>
      </c>
      <c r="F54" s="2953">
        <f t="shared" ca="1" si="3"/>
        <v>4460483</v>
      </c>
      <c r="G54" s="2953">
        <f t="shared" ca="1" si="4"/>
        <v>48424</v>
      </c>
      <c r="I54" s="2953">
        <f t="shared" si="7"/>
        <v>100.25</v>
      </c>
      <c r="J54" s="2953">
        <v>100</v>
      </c>
      <c r="K54" s="2953">
        <f t="shared" si="5"/>
        <v>92.34</v>
      </c>
      <c r="L54" s="2953">
        <f t="shared" ca="1" si="2"/>
        <v>4460483</v>
      </c>
    </row>
    <row r="55" spans="1:12">
      <c r="A55" s="2953" t="s">
        <v>3069</v>
      </c>
      <c r="B55" s="2953" t="s">
        <v>3115</v>
      </c>
      <c r="C55" s="2953">
        <v>3</v>
      </c>
      <c r="D55" s="2953" t="s">
        <v>3109</v>
      </c>
      <c r="E55" s="2953">
        <v>92.1126</v>
      </c>
      <c r="F55" s="2953">
        <f t="shared" ca="1" si="3"/>
        <v>4460483</v>
      </c>
      <c r="G55" s="2953">
        <f t="shared" ca="1" si="4"/>
        <v>48424</v>
      </c>
      <c r="I55" s="2953">
        <f t="shared" si="7"/>
        <v>100.25</v>
      </c>
      <c r="J55" s="2953">
        <v>100</v>
      </c>
      <c r="K55" s="2953">
        <f t="shared" si="5"/>
        <v>92.34</v>
      </c>
      <c r="L55" s="2953">
        <f t="shared" ca="1" si="2"/>
        <v>4460483</v>
      </c>
    </row>
    <row r="56" spans="1:12">
      <c r="A56" s="2953" t="s">
        <v>3069</v>
      </c>
      <c r="B56" s="2953" t="s">
        <v>3106</v>
      </c>
      <c r="C56" s="2953">
        <v>4</v>
      </c>
      <c r="D56" s="2953" t="s">
        <v>3071</v>
      </c>
      <c r="E56" s="2953">
        <v>103.3442</v>
      </c>
      <c r="F56" s="2953">
        <f t="shared" ca="1" si="3"/>
        <v>5016957</v>
      </c>
      <c r="G56" s="2953">
        <f t="shared" ca="1" si="4"/>
        <v>48546</v>
      </c>
      <c r="I56" s="2953">
        <f>I55+$I$34</f>
        <v>100.5</v>
      </c>
      <c r="J56" s="2953">
        <v>100</v>
      </c>
      <c r="K56" s="2953">
        <f t="shared" si="5"/>
        <v>103.86</v>
      </c>
      <c r="L56" s="2953">
        <f t="shared" ca="1" si="2"/>
        <v>5016957</v>
      </c>
    </row>
    <row r="57" spans="1:12">
      <c r="A57" s="2953" t="s">
        <v>3069</v>
      </c>
      <c r="B57" s="2953" t="s">
        <v>3106</v>
      </c>
      <c r="C57" s="2953">
        <v>4</v>
      </c>
      <c r="D57" s="2953" t="s">
        <v>3107</v>
      </c>
      <c r="E57" s="2953">
        <v>103.4413</v>
      </c>
      <c r="F57" s="2953">
        <f t="shared" ca="1" si="3"/>
        <v>5021787</v>
      </c>
      <c r="G57" s="2953">
        <f t="shared" ca="1" si="4"/>
        <v>48547</v>
      </c>
      <c r="I57" s="2953">
        <f>$I$56</f>
        <v>100.5</v>
      </c>
      <c r="J57" s="2953">
        <v>100</v>
      </c>
      <c r="K57" s="2953">
        <f t="shared" si="5"/>
        <v>103.96</v>
      </c>
      <c r="L57" s="2953">
        <f t="shared" ca="1" si="2"/>
        <v>5021787</v>
      </c>
    </row>
    <row r="58" spans="1:12">
      <c r="A58" s="2953" t="s">
        <v>3069</v>
      </c>
      <c r="B58" s="2953" t="s">
        <v>3106</v>
      </c>
      <c r="C58" s="2953">
        <v>4</v>
      </c>
      <c r="D58" s="2953" t="s">
        <v>3108</v>
      </c>
      <c r="E58" s="2953">
        <v>130.81460000000001</v>
      </c>
      <c r="F58" s="2953">
        <f t="shared" ca="1" si="3"/>
        <v>6286895</v>
      </c>
      <c r="G58" s="2953">
        <f t="shared" ca="1" si="4"/>
        <v>48060</v>
      </c>
      <c r="I58" s="2953">
        <f t="shared" ref="I58:I67" si="8">$I$56</f>
        <v>100.5</v>
      </c>
      <c r="J58" s="2953">
        <v>99</v>
      </c>
      <c r="K58" s="2953">
        <f t="shared" si="5"/>
        <v>130.15</v>
      </c>
      <c r="L58" s="2953">
        <f t="shared" ca="1" si="2"/>
        <v>6286895</v>
      </c>
    </row>
    <row r="59" spans="1:12">
      <c r="A59" s="2953" t="s">
        <v>3069</v>
      </c>
      <c r="B59" s="2953" t="s">
        <v>3106</v>
      </c>
      <c r="C59" s="2953">
        <v>4</v>
      </c>
      <c r="D59" s="2953" t="s">
        <v>3109</v>
      </c>
      <c r="E59" s="2953">
        <v>130.6318</v>
      </c>
      <c r="F59" s="2953">
        <f t="shared" ca="1" si="3"/>
        <v>6278200</v>
      </c>
      <c r="G59" s="2953">
        <f t="shared" ca="1" si="4"/>
        <v>48060</v>
      </c>
      <c r="I59" s="2953">
        <f t="shared" si="8"/>
        <v>100.5</v>
      </c>
      <c r="J59" s="2953">
        <v>99</v>
      </c>
      <c r="K59" s="2953">
        <f t="shared" si="5"/>
        <v>129.97</v>
      </c>
      <c r="L59" s="2953">
        <f t="shared" ca="1" si="2"/>
        <v>6278200</v>
      </c>
    </row>
    <row r="60" spans="1:12">
      <c r="A60" s="2953" t="s">
        <v>3069</v>
      </c>
      <c r="B60" s="2953" t="s">
        <v>3110</v>
      </c>
      <c r="C60" s="2953">
        <v>4</v>
      </c>
      <c r="D60" s="2953" t="s">
        <v>3071</v>
      </c>
      <c r="E60" s="2953">
        <v>103.4413</v>
      </c>
      <c r="F60" s="2953">
        <f t="shared" ca="1" si="3"/>
        <v>5021787</v>
      </c>
      <c r="G60" s="2953">
        <f t="shared" ca="1" si="4"/>
        <v>48547</v>
      </c>
      <c r="I60" s="2953">
        <f t="shared" si="8"/>
        <v>100.5</v>
      </c>
      <c r="J60" s="2953">
        <v>100</v>
      </c>
      <c r="K60" s="2953">
        <f t="shared" si="5"/>
        <v>103.96</v>
      </c>
      <c r="L60" s="2953">
        <f t="shared" ca="1" si="2"/>
        <v>5021787</v>
      </c>
    </row>
    <row r="61" spans="1:12">
      <c r="A61" s="2953" t="s">
        <v>3069</v>
      </c>
      <c r="B61" s="2953" t="s">
        <v>3110</v>
      </c>
      <c r="C61" s="2953">
        <v>4</v>
      </c>
      <c r="D61" s="2953" t="s">
        <v>3107</v>
      </c>
      <c r="E61" s="2953">
        <v>103.3442</v>
      </c>
      <c r="F61" s="2953">
        <f t="shared" ca="1" si="3"/>
        <v>5016957</v>
      </c>
      <c r="G61" s="2953">
        <f t="shared" ca="1" si="4"/>
        <v>48546</v>
      </c>
      <c r="I61" s="2953">
        <f t="shared" si="8"/>
        <v>100.5</v>
      </c>
      <c r="J61" s="2953">
        <v>100</v>
      </c>
      <c r="K61" s="2953">
        <f t="shared" si="5"/>
        <v>103.86</v>
      </c>
      <c r="L61" s="2953">
        <f t="shared" ca="1" si="2"/>
        <v>5016957</v>
      </c>
    </row>
    <row r="62" spans="1:12">
      <c r="A62" s="2953" t="s">
        <v>3069</v>
      </c>
      <c r="B62" s="2953" t="s">
        <v>3110</v>
      </c>
      <c r="C62" s="2953">
        <v>4</v>
      </c>
      <c r="D62" s="2953" t="s">
        <v>3108</v>
      </c>
      <c r="E62" s="2953">
        <v>130.6318</v>
      </c>
      <c r="F62" s="2953">
        <f t="shared" ca="1" si="3"/>
        <v>6278200</v>
      </c>
      <c r="G62" s="2953">
        <f t="shared" ca="1" si="4"/>
        <v>48060</v>
      </c>
      <c r="I62" s="2953">
        <f t="shared" si="8"/>
        <v>100.5</v>
      </c>
      <c r="J62" s="2953">
        <v>99</v>
      </c>
      <c r="K62" s="2953">
        <f t="shared" si="5"/>
        <v>129.97</v>
      </c>
      <c r="L62" s="2953">
        <f t="shared" ca="1" si="2"/>
        <v>6278200</v>
      </c>
    </row>
    <row r="63" spans="1:12">
      <c r="A63" s="2953" t="s">
        <v>3069</v>
      </c>
      <c r="B63" s="2953" t="s">
        <v>3110</v>
      </c>
      <c r="C63" s="2953">
        <v>4</v>
      </c>
      <c r="D63" s="2953" t="s">
        <v>3109</v>
      </c>
      <c r="E63" s="2953">
        <v>130.81460000000001</v>
      </c>
      <c r="F63" s="2953">
        <f t="shared" ca="1" si="3"/>
        <v>6286895</v>
      </c>
      <c r="G63" s="2953">
        <f t="shared" ca="1" si="4"/>
        <v>48060</v>
      </c>
      <c r="I63" s="2953">
        <f t="shared" si="8"/>
        <v>100.5</v>
      </c>
      <c r="J63" s="2953">
        <v>99</v>
      </c>
      <c r="K63" s="2953">
        <f t="shared" si="5"/>
        <v>130.15</v>
      </c>
      <c r="L63" s="2953">
        <f t="shared" ca="1" si="2"/>
        <v>6286895</v>
      </c>
    </row>
    <row r="64" spans="1:12">
      <c r="A64" s="2953" t="s">
        <v>3069</v>
      </c>
      <c r="B64" s="2953" t="s">
        <v>3115</v>
      </c>
      <c r="C64" s="2953">
        <v>4</v>
      </c>
      <c r="D64" s="2953" t="s">
        <v>3071</v>
      </c>
      <c r="E64" s="2953">
        <v>90.626000000000005</v>
      </c>
      <c r="F64" s="2953">
        <f t="shared" ca="1" si="3"/>
        <v>4399619</v>
      </c>
      <c r="G64" s="2953">
        <f t="shared" ca="1" si="4"/>
        <v>48547</v>
      </c>
      <c r="I64" s="2953">
        <f t="shared" si="8"/>
        <v>100.5</v>
      </c>
      <c r="J64" s="2953">
        <v>100</v>
      </c>
      <c r="K64" s="2953">
        <f t="shared" si="5"/>
        <v>91.08</v>
      </c>
      <c r="L64" s="2953">
        <f t="shared" ca="1" si="2"/>
        <v>4399619</v>
      </c>
    </row>
    <row r="65" spans="1:12">
      <c r="A65" s="2953" t="s">
        <v>3069</v>
      </c>
      <c r="B65" s="2953" t="s">
        <v>3115</v>
      </c>
      <c r="C65" s="2953">
        <v>4</v>
      </c>
      <c r="D65" s="2953" t="s">
        <v>3107</v>
      </c>
      <c r="E65" s="2953">
        <v>90.716399999999993</v>
      </c>
      <c r="F65" s="2953">
        <f t="shared" ca="1" si="3"/>
        <v>4403966</v>
      </c>
      <c r="G65" s="2953">
        <f t="shared" ca="1" si="4"/>
        <v>48547</v>
      </c>
      <c r="I65" s="2953">
        <f t="shared" si="8"/>
        <v>100.5</v>
      </c>
      <c r="J65" s="2953">
        <v>100</v>
      </c>
      <c r="K65" s="2953">
        <f t="shared" si="5"/>
        <v>91.17</v>
      </c>
      <c r="L65" s="2953">
        <f t="shared" ca="1" si="2"/>
        <v>4403966</v>
      </c>
    </row>
    <row r="66" spans="1:12">
      <c r="A66" s="2953" t="s">
        <v>3069</v>
      </c>
      <c r="B66" s="2953" t="s">
        <v>3115</v>
      </c>
      <c r="C66" s="2953">
        <v>4</v>
      </c>
      <c r="D66" s="2953" t="s">
        <v>3108</v>
      </c>
      <c r="E66" s="2953">
        <v>92.368099999999998</v>
      </c>
      <c r="F66" s="2953">
        <f t="shared" ca="1" si="3"/>
        <v>4484153</v>
      </c>
      <c r="G66" s="2953">
        <f t="shared" ca="1" si="4"/>
        <v>48547</v>
      </c>
      <c r="I66" s="2953">
        <f t="shared" si="8"/>
        <v>100.5</v>
      </c>
      <c r="J66" s="2953">
        <v>100</v>
      </c>
      <c r="K66" s="2953">
        <f t="shared" si="5"/>
        <v>92.83</v>
      </c>
      <c r="L66" s="2953">
        <f t="shared" ca="1" si="2"/>
        <v>4484153</v>
      </c>
    </row>
    <row r="67" spans="1:12">
      <c r="A67" s="2953" t="s">
        <v>3069</v>
      </c>
      <c r="B67" s="2953" t="s">
        <v>3115</v>
      </c>
      <c r="C67" s="2953">
        <v>4</v>
      </c>
      <c r="D67" s="2953" t="s">
        <v>3109</v>
      </c>
      <c r="E67" s="2953">
        <v>92.368099999999998</v>
      </c>
      <c r="F67" s="2953">
        <f t="shared" ca="1" si="3"/>
        <v>4484153</v>
      </c>
      <c r="G67" s="2953">
        <f t="shared" ca="1" si="4"/>
        <v>48547</v>
      </c>
      <c r="I67" s="2953">
        <f t="shared" si="8"/>
        <v>100.5</v>
      </c>
      <c r="J67" s="2953">
        <v>100</v>
      </c>
      <c r="K67" s="2953">
        <f t="shared" si="5"/>
        <v>92.83</v>
      </c>
      <c r="L67" s="2953">
        <f t="shared" ca="1" si="2"/>
        <v>4484153</v>
      </c>
    </row>
    <row r="68" spans="1:12">
      <c r="A68" s="2953" t="s">
        <v>3069</v>
      </c>
      <c r="B68" s="2953" t="s">
        <v>3106</v>
      </c>
      <c r="C68" s="2953">
        <v>5</v>
      </c>
      <c r="D68" s="2953" t="s">
        <v>3071</v>
      </c>
      <c r="E68" s="2953">
        <v>103.3442</v>
      </c>
      <c r="F68" s="2953">
        <f t="shared" ca="1" si="3"/>
        <v>5029516</v>
      </c>
      <c r="G68" s="2953">
        <f t="shared" ca="1" si="4"/>
        <v>48668</v>
      </c>
      <c r="I68" s="2953">
        <f>I67+$I$34</f>
        <v>100.75</v>
      </c>
      <c r="J68" s="2953">
        <v>100</v>
      </c>
      <c r="K68" s="2953">
        <f t="shared" si="5"/>
        <v>104.12</v>
      </c>
      <c r="L68" s="2953">
        <f t="shared" ca="1" si="2"/>
        <v>5029516</v>
      </c>
    </row>
    <row r="69" spans="1:12">
      <c r="A69" s="2953" t="s">
        <v>3069</v>
      </c>
      <c r="B69" s="2953" t="s">
        <v>3106</v>
      </c>
      <c r="C69" s="2953">
        <v>5</v>
      </c>
      <c r="D69" s="2953" t="s">
        <v>3107</v>
      </c>
      <c r="E69" s="2953">
        <v>103.4413</v>
      </c>
      <c r="F69" s="2953">
        <f t="shared" ca="1" si="3"/>
        <v>5034347</v>
      </c>
      <c r="G69" s="2953">
        <f t="shared" ca="1" si="4"/>
        <v>48669</v>
      </c>
      <c r="I69" s="2953">
        <f>$I$68</f>
        <v>100.75</v>
      </c>
      <c r="J69" s="2953">
        <v>100</v>
      </c>
      <c r="K69" s="2953">
        <f t="shared" si="5"/>
        <v>104.22</v>
      </c>
      <c r="L69" s="2953">
        <f t="shared" ca="1" si="2"/>
        <v>5034347</v>
      </c>
    </row>
    <row r="70" spans="1:12">
      <c r="A70" s="2953" t="s">
        <v>3069</v>
      </c>
      <c r="B70" s="2953" t="s">
        <v>3106</v>
      </c>
      <c r="C70" s="2953">
        <v>5</v>
      </c>
      <c r="D70" s="2953" t="s">
        <v>3108</v>
      </c>
      <c r="E70" s="2953">
        <v>130.81460000000001</v>
      </c>
      <c r="F70" s="2953">
        <f t="shared" ca="1" si="3"/>
        <v>6302836</v>
      </c>
      <c r="G70" s="2953">
        <f t="shared" ca="1" si="4"/>
        <v>48181</v>
      </c>
      <c r="I70" s="2953">
        <f t="shared" ref="I70:I79" si="9">$I$68</f>
        <v>100.75</v>
      </c>
      <c r="J70" s="2953">
        <v>99</v>
      </c>
      <c r="K70" s="2953">
        <f t="shared" si="5"/>
        <v>130.47999999999999</v>
      </c>
      <c r="L70" s="2953">
        <f t="shared" ca="1" si="2"/>
        <v>6302836</v>
      </c>
    </row>
    <row r="71" spans="1:12">
      <c r="A71" s="2953" t="s">
        <v>3069</v>
      </c>
      <c r="B71" s="2953" t="s">
        <v>3106</v>
      </c>
      <c r="C71" s="2953">
        <v>5</v>
      </c>
      <c r="D71" s="2953" t="s">
        <v>3109</v>
      </c>
      <c r="E71" s="2953">
        <v>130.6318</v>
      </c>
      <c r="F71" s="2953">
        <f t="shared" ca="1" si="3"/>
        <v>6294141</v>
      </c>
      <c r="G71" s="2953">
        <f t="shared" ca="1" si="4"/>
        <v>48182</v>
      </c>
      <c r="I71" s="2953">
        <f t="shared" si="9"/>
        <v>100.75</v>
      </c>
      <c r="J71" s="2953">
        <v>99</v>
      </c>
      <c r="K71" s="2953">
        <f t="shared" si="5"/>
        <v>130.30000000000001</v>
      </c>
      <c r="L71" s="2953">
        <f t="shared" ca="1" si="2"/>
        <v>6294141</v>
      </c>
    </row>
    <row r="72" spans="1:12">
      <c r="A72" s="2953" t="s">
        <v>3069</v>
      </c>
      <c r="B72" s="2953" t="s">
        <v>3110</v>
      </c>
      <c r="C72" s="2953">
        <v>5</v>
      </c>
      <c r="D72" s="2953" t="s">
        <v>3071</v>
      </c>
      <c r="E72" s="2953">
        <v>103.4413</v>
      </c>
      <c r="F72" s="2953">
        <f t="shared" ca="1" si="3"/>
        <v>5034347</v>
      </c>
      <c r="G72" s="2953">
        <f t="shared" ca="1" si="4"/>
        <v>48669</v>
      </c>
      <c r="I72" s="2953">
        <f t="shared" si="9"/>
        <v>100.75</v>
      </c>
      <c r="J72" s="2953">
        <v>100</v>
      </c>
      <c r="K72" s="2953">
        <f t="shared" si="5"/>
        <v>104.22</v>
      </c>
      <c r="L72" s="2953">
        <f t="shared" ca="1" si="2"/>
        <v>5034347</v>
      </c>
    </row>
    <row r="73" spans="1:12">
      <c r="A73" s="2953" t="s">
        <v>3069</v>
      </c>
      <c r="B73" s="2953" t="s">
        <v>3110</v>
      </c>
      <c r="C73" s="2953">
        <v>5</v>
      </c>
      <c r="D73" s="2953" t="s">
        <v>3107</v>
      </c>
      <c r="E73" s="2953">
        <v>103.3442</v>
      </c>
      <c r="F73" s="2953">
        <f t="shared" ca="1" si="3"/>
        <v>5029516</v>
      </c>
      <c r="G73" s="2953">
        <f t="shared" ca="1" si="4"/>
        <v>48668</v>
      </c>
      <c r="I73" s="2953">
        <f t="shared" si="9"/>
        <v>100.75</v>
      </c>
      <c r="J73" s="2953">
        <v>100</v>
      </c>
      <c r="K73" s="2953">
        <f t="shared" si="5"/>
        <v>104.12</v>
      </c>
      <c r="L73" s="2953">
        <f t="shared" ca="1" si="2"/>
        <v>5029516</v>
      </c>
    </row>
    <row r="74" spans="1:12">
      <c r="A74" s="2953" t="s">
        <v>3069</v>
      </c>
      <c r="B74" s="2953" t="s">
        <v>3110</v>
      </c>
      <c r="C74" s="2953">
        <v>5</v>
      </c>
      <c r="D74" s="2953" t="s">
        <v>3108</v>
      </c>
      <c r="E74" s="2953">
        <v>130.6318</v>
      </c>
      <c r="F74" s="2953">
        <f t="shared" ca="1" si="3"/>
        <v>6294141</v>
      </c>
      <c r="G74" s="2953">
        <f t="shared" ca="1" si="4"/>
        <v>48182</v>
      </c>
      <c r="I74" s="2953">
        <f t="shared" si="9"/>
        <v>100.75</v>
      </c>
      <c r="J74" s="2953">
        <v>99</v>
      </c>
      <c r="K74" s="2953">
        <f t="shared" si="5"/>
        <v>130.30000000000001</v>
      </c>
      <c r="L74" s="2953">
        <f t="shared" ca="1" si="2"/>
        <v>6294141</v>
      </c>
    </row>
    <row r="75" spans="1:12">
      <c r="A75" s="2953" t="s">
        <v>3069</v>
      </c>
      <c r="B75" s="2953" t="s">
        <v>3110</v>
      </c>
      <c r="C75" s="2953">
        <v>5</v>
      </c>
      <c r="D75" s="2953" t="s">
        <v>3109</v>
      </c>
      <c r="E75" s="2953">
        <v>130.81460000000001</v>
      </c>
      <c r="F75" s="2953">
        <f t="shared" ca="1" si="3"/>
        <v>6302836</v>
      </c>
      <c r="G75" s="2953">
        <f t="shared" ca="1" si="4"/>
        <v>48181</v>
      </c>
      <c r="I75" s="2953">
        <f t="shared" si="9"/>
        <v>100.75</v>
      </c>
      <c r="J75" s="2953">
        <v>99</v>
      </c>
      <c r="K75" s="2953">
        <f t="shared" si="5"/>
        <v>130.47999999999999</v>
      </c>
      <c r="L75" s="2953">
        <f t="shared" ca="1" si="2"/>
        <v>6302836</v>
      </c>
    </row>
    <row r="76" spans="1:12">
      <c r="A76" s="2953" t="s">
        <v>3069</v>
      </c>
      <c r="B76" s="2953" t="s">
        <v>3115</v>
      </c>
      <c r="C76" s="2953">
        <v>5</v>
      </c>
      <c r="D76" s="2953" t="s">
        <v>3071</v>
      </c>
      <c r="E76" s="2953">
        <v>90.626000000000005</v>
      </c>
      <c r="F76" s="2953">
        <f t="shared" ca="1" si="3"/>
        <v>4410729</v>
      </c>
      <c r="G76" s="2953">
        <f t="shared" ca="1" si="4"/>
        <v>48670</v>
      </c>
      <c r="I76" s="2953">
        <f t="shared" si="9"/>
        <v>100.75</v>
      </c>
      <c r="J76" s="2953">
        <v>100</v>
      </c>
      <c r="K76" s="2953">
        <f t="shared" si="5"/>
        <v>91.31</v>
      </c>
      <c r="L76" s="2953">
        <f t="shared" ca="1" si="2"/>
        <v>4410729</v>
      </c>
    </row>
    <row r="77" spans="1:12">
      <c r="A77" s="2953" t="s">
        <v>3069</v>
      </c>
      <c r="B77" s="2953" t="s">
        <v>3115</v>
      </c>
      <c r="C77" s="2953">
        <v>5</v>
      </c>
      <c r="D77" s="2953" t="s">
        <v>3107</v>
      </c>
      <c r="E77" s="2953">
        <v>90.716399999999993</v>
      </c>
      <c r="F77" s="2953">
        <f t="shared" ca="1" si="3"/>
        <v>4415077</v>
      </c>
      <c r="G77" s="2953">
        <f t="shared" ca="1" si="4"/>
        <v>48669</v>
      </c>
      <c r="I77" s="2953">
        <f t="shared" si="9"/>
        <v>100.75</v>
      </c>
      <c r="J77" s="2953">
        <v>100</v>
      </c>
      <c r="K77" s="2953">
        <f t="shared" si="5"/>
        <v>91.4</v>
      </c>
      <c r="L77" s="2953">
        <f t="shared" ca="1" si="2"/>
        <v>4415077</v>
      </c>
    </row>
    <row r="78" spans="1:12">
      <c r="A78" s="2953" t="s">
        <v>3069</v>
      </c>
      <c r="B78" s="2953" t="s">
        <v>3115</v>
      </c>
      <c r="C78" s="2953">
        <v>5</v>
      </c>
      <c r="D78" s="2953" t="s">
        <v>3108</v>
      </c>
      <c r="E78" s="2953">
        <v>92.368099999999998</v>
      </c>
      <c r="F78" s="2953">
        <f t="shared" ca="1" si="3"/>
        <v>4495263</v>
      </c>
      <c r="G78" s="2953">
        <f t="shared" ca="1" si="4"/>
        <v>48667</v>
      </c>
      <c r="I78" s="2953">
        <f t="shared" si="9"/>
        <v>100.75</v>
      </c>
      <c r="J78" s="2953">
        <v>100</v>
      </c>
      <c r="K78" s="2953">
        <f t="shared" si="5"/>
        <v>93.06</v>
      </c>
      <c r="L78" s="2953">
        <f t="shared" ca="1" si="2"/>
        <v>4495263</v>
      </c>
    </row>
    <row r="79" spans="1:12">
      <c r="A79" s="2953" t="s">
        <v>3069</v>
      </c>
      <c r="B79" s="2953" t="s">
        <v>3115</v>
      </c>
      <c r="C79" s="2953">
        <v>5</v>
      </c>
      <c r="D79" s="2953" t="s">
        <v>3109</v>
      </c>
      <c r="E79" s="2953">
        <v>92.368099999999998</v>
      </c>
      <c r="F79" s="2953">
        <f t="shared" ca="1" si="3"/>
        <v>4495263</v>
      </c>
      <c r="G79" s="2953">
        <f t="shared" ca="1" si="4"/>
        <v>48667</v>
      </c>
      <c r="I79" s="2953">
        <f t="shared" si="9"/>
        <v>100.75</v>
      </c>
      <c r="J79" s="2953">
        <v>100</v>
      </c>
      <c r="K79" s="2953">
        <f t="shared" si="5"/>
        <v>93.06</v>
      </c>
      <c r="L79" s="2953">
        <f t="shared" ca="1" si="2"/>
        <v>4495263</v>
      </c>
    </row>
    <row r="80" spans="1:12">
      <c r="A80" s="2953" t="s">
        <v>3069</v>
      </c>
      <c r="B80" s="2953" t="s">
        <v>3106</v>
      </c>
      <c r="C80" s="2953">
        <v>6</v>
      </c>
      <c r="D80" s="2953" t="s">
        <v>3071</v>
      </c>
      <c r="E80" s="2953">
        <v>103.6872</v>
      </c>
      <c r="F80" s="2953">
        <f t="shared" ca="1" si="3"/>
        <v>5058499</v>
      </c>
      <c r="G80" s="2953">
        <f t="shared" ca="1" si="4"/>
        <v>48786</v>
      </c>
      <c r="I80" s="2953">
        <f>I79+$I$34</f>
        <v>101</v>
      </c>
      <c r="J80" s="2953">
        <v>100</v>
      </c>
      <c r="K80" s="2953">
        <f t="shared" si="5"/>
        <v>104.72</v>
      </c>
      <c r="L80" s="2953">
        <f t="shared" ca="1" si="2"/>
        <v>5058499</v>
      </c>
    </row>
    <row r="81" spans="1:12">
      <c r="A81" s="2953" t="s">
        <v>3069</v>
      </c>
      <c r="B81" s="2953" t="s">
        <v>3106</v>
      </c>
      <c r="C81" s="2953">
        <v>6</v>
      </c>
      <c r="D81" s="2953" t="s">
        <v>3107</v>
      </c>
      <c r="E81" s="2953">
        <v>103.7864</v>
      </c>
      <c r="F81" s="2953">
        <f t="shared" ca="1" si="3"/>
        <v>5063330</v>
      </c>
      <c r="G81" s="2953">
        <f t="shared" ca="1" si="4"/>
        <v>48786</v>
      </c>
      <c r="I81" s="2953">
        <f>$I$80</f>
        <v>101</v>
      </c>
      <c r="J81" s="2953">
        <v>100</v>
      </c>
      <c r="K81" s="2953">
        <f t="shared" si="5"/>
        <v>104.82</v>
      </c>
      <c r="L81" s="2953">
        <f t="shared" ca="1" si="2"/>
        <v>5063330</v>
      </c>
    </row>
    <row r="82" spans="1:12">
      <c r="A82" s="2953" t="s">
        <v>3069</v>
      </c>
      <c r="B82" s="2953" t="s">
        <v>3106</v>
      </c>
      <c r="C82" s="2953">
        <v>6</v>
      </c>
      <c r="D82" s="2953" t="s">
        <v>3108</v>
      </c>
      <c r="E82" s="2953">
        <v>131.83160000000001</v>
      </c>
      <c r="F82" s="2953">
        <f t="shared" ca="1" si="3"/>
        <v>6367564</v>
      </c>
      <c r="G82" s="2953">
        <f t="shared" ca="1" si="4"/>
        <v>48301</v>
      </c>
      <c r="I82" s="2953">
        <f t="shared" ref="I82:I91" si="10">$I$80</f>
        <v>101</v>
      </c>
      <c r="J82" s="2953">
        <v>99</v>
      </c>
      <c r="K82" s="2953">
        <f t="shared" si="5"/>
        <v>131.82</v>
      </c>
      <c r="L82" s="2953">
        <f t="shared" ca="1" si="2"/>
        <v>6367564</v>
      </c>
    </row>
    <row r="83" spans="1:12">
      <c r="A83" s="2953" t="s">
        <v>3069</v>
      </c>
      <c r="B83" s="2953" t="s">
        <v>3106</v>
      </c>
      <c r="C83" s="2953">
        <v>6</v>
      </c>
      <c r="D83" s="2953" t="s">
        <v>3109</v>
      </c>
      <c r="E83" s="2953">
        <v>131.6439</v>
      </c>
      <c r="F83" s="2953">
        <f t="shared" ca="1" si="3"/>
        <v>6358386</v>
      </c>
      <c r="G83" s="2953">
        <f t="shared" ca="1" si="4"/>
        <v>48300</v>
      </c>
      <c r="I83" s="2953">
        <f t="shared" si="10"/>
        <v>101</v>
      </c>
      <c r="J83" s="2953">
        <v>99</v>
      </c>
      <c r="K83" s="2953">
        <f t="shared" si="5"/>
        <v>131.63</v>
      </c>
      <c r="L83" s="2953">
        <f t="shared" ca="1" si="2"/>
        <v>6358386</v>
      </c>
    </row>
    <row r="84" spans="1:12">
      <c r="A84" s="2953" t="s">
        <v>3069</v>
      </c>
      <c r="B84" s="2953" t="s">
        <v>3110</v>
      </c>
      <c r="C84" s="2953">
        <v>6</v>
      </c>
      <c r="D84" s="2953" t="s">
        <v>3071</v>
      </c>
      <c r="E84" s="2953">
        <v>103.7864</v>
      </c>
      <c r="F84" s="2953">
        <f t="shared" ca="1" si="3"/>
        <v>5063330</v>
      </c>
      <c r="G84" s="2953">
        <f t="shared" ca="1" si="4"/>
        <v>48786</v>
      </c>
      <c r="I84" s="2953">
        <f t="shared" si="10"/>
        <v>101</v>
      </c>
      <c r="J84" s="2953">
        <v>100</v>
      </c>
      <c r="K84" s="2953">
        <f t="shared" si="5"/>
        <v>104.82</v>
      </c>
      <c r="L84" s="2953">
        <f t="shared" ca="1" si="2"/>
        <v>5063330</v>
      </c>
    </row>
    <row r="85" spans="1:12">
      <c r="A85" s="2953" t="s">
        <v>3069</v>
      </c>
      <c r="B85" s="2953" t="s">
        <v>3110</v>
      </c>
      <c r="C85" s="2953">
        <v>6</v>
      </c>
      <c r="D85" s="2953" t="s">
        <v>3107</v>
      </c>
      <c r="E85" s="2953">
        <v>103.7864</v>
      </c>
      <c r="F85" s="2953">
        <f t="shared" ca="1" si="3"/>
        <v>5063330</v>
      </c>
      <c r="G85" s="2953">
        <f t="shared" ca="1" si="4"/>
        <v>48786</v>
      </c>
      <c r="I85" s="2953">
        <f t="shared" si="10"/>
        <v>101</v>
      </c>
      <c r="J85" s="2953">
        <v>100</v>
      </c>
      <c r="K85" s="2953">
        <f t="shared" si="5"/>
        <v>104.82</v>
      </c>
      <c r="L85" s="2953">
        <f t="shared" ca="1" si="2"/>
        <v>5063330</v>
      </c>
    </row>
    <row r="86" spans="1:12">
      <c r="A86" s="2953" t="s">
        <v>3069</v>
      </c>
      <c r="B86" s="2953" t="s">
        <v>3110</v>
      </c>
      <c r="C86" s="2953">
        <v>6</v>
      </c>
      <c r="D86" s="2953" t="s">
        <v>3108</v>
      </c>
      <c r="E86" s="2953">
        <v>131.50129999999999</v>
      </c>
      <c r="F86" s="2953">
        <f t="shared" ca="1" si="3"/>
        <v>6351624</v>
      </c>
      <c r="G86" s="2953">
        <f t="shared" ca="1" si="4"/>
        <v>48301</v>
      </c>
      <c r="I86" s="2953">
        <f t="shared" si="10"/>
        <v>101</v>
      </c>
      <c r="J86" s="2953">
        <v>99</v>
      </c>
      <c r="K86" s="2953">
        <f t="shared" si="5"/>
        <v>131.49</v>
      </c>
      <c r="L86" s="2953">
        <f t="shared" ca="1" si="2"/>
        <v>6351624</v>
      </c>
    </row>
    <row r="87" spans="1:12">
      <c r="A87" s="2953" t="s">
        <v>3069</v>
      </c>
      <c r="B87" s="2953" t="s">
        <v>3110</v>
      </c>
      <c r="C87" s="2953">
        <v>6</v>
      </c>
      <c r="D87" s="2953" t="s">
        <v>3109</v>
      </c>
      <c r="E87" s="2953">
        <v>131.83160000000001</v>
      </c>
      <c r="F87" s="2953">
        <f t="shared" ca="1" si="3"/>
        <v>6367564</v>
      </c>
      <c r="G87" s="2953">
        <f t="shared" ca="1" si="4"/>
        <v>48301</v>
      </c>
      <c r="I87" s="2953">
        <f t="shared" si="10"/>
        <v>101</v>
      </c>
      <c r="J87" s="2953">
        <v>99</v>
      </c>
      <c r="K87" s="2953">
        <f t="shared" si="5"/>
        <v>131.82</v>
      </c>
      <c r="L87" s="2953">
        <f t="shared" ca="1" si="2"/>
        <v>6367564</v>
      </c>
    </row>
    <row r="88" spans="1:12">
      <c r="A88" s="2953" t="s">
        <v>3069</v>
      </c>
      <c r="B88" s="2953" t="s">
        <v>3115</v>
      </c>
      <c r="C88" s="2953">
        <v>6</v>
      </c>
      <c r="D88" s="2953" t="s">
        <v>3071</v>
      </c>
      <c r="E88" s="2953">
        <v>90.76</v>
      </c>
      <c r="F88" s="2953">
        <f t="shared" ca="1" si="3"/>
        <v>4428119</v>
      </c>
      <c r="G88" s="2953">
        <f t="shared" ca="1" si="4"/>
        <v>48789</v>
      </c>
      <c r="I88" s="2953">
        <f t="shared" si="10"/>
        <v>101</v>
      </c>
      <c r="J88" s="2953">
        <v>100</v>
      </c>
      <c r="K88" s="2953">
        <f t="shared" si="5"/>
        <v>91.67</v>
      </c>
      <c r="L88" s="2953">
        <f t="shared" ca="1" si="2"/>
        <v>4428119</v>
      </c>
    </row>
    <row r="89" spans="1:12">
      <c r="A89" s="2953" t="s">
        <v>3069</v>
      </c>
      <c r="B89" s="2953" t="s">
        <v>3115</v>
      </c>
      <c r="C89" s="2953">
        <v>6</v>
      </c>
      <c r="D89" s="2953" t="s">
        <v>3107</v>
      </c>
      <c r="E89" s="2953">
        <v>90.850399999999993</v>
      </c>
      <c r="F89" s="2953">
        <f t="shared" ca="1" si="3"/>
        <v>4432466</v>
      </c>
      <c r="G89" s="2953">
        <f t="shared" ca="1" si="4"/>
        <v>48789</v>
      </c>
      <c r="I89" s="2953">
        <f t="shared" si="10"/>
        <v>101</v>
      </c>
      <c r="J89" s="2953">
        <v>100</v>
      </c>
      <c r="K89" s="2953">
        <f t="shared" si="5"/>
        <v>91.76</v>
      </c>
      <c r="L89" s="2953">
        <f t="shared" ca="1" si="2"/>
        <v>4432466</v>
      </c>
    </row>
    <row r="90" spans="1:12">
      <c r="A90" s="2953" t="s">
        <v>3069</v>
      </c>
      <c r="B90" s="2953" t="s">
        <v>3115</v>
      </c>
      <c r="C90" s="2953">
        <v>6</v>
      </c>
      <c r="D90" s="2953" t="s">
        <v>3108</v>
      </c>
      <c r="E90" s="2953">
        <v>92.628600000000006</v>
      </c>
      <c r="F90" s="2953">
        <f t="shared" ca="1" si="3"/>
        <v>4518932</v>
      </c>
      <c r="G90" s="2953">
        <f t="shared" ca="1" si="4"/>
        <v>48785</v>
      </c>
      <c r="I90" s="2953">
        <f t="shared" si="10"/>
        <v>101</v>
      </c>
      <c r="J90" s="2953">
        <v>100</v>
      </c>
      <c r="K90" s="2953">
        <f t="shared" si="5"/>
        <v>93.55</v>
      </c>
      <c r="L90" s="2953">
        <f t="shared" ca="1" si="2"/>
        <v>4518932</v>
      </c>
    </row>
    <row r="91" spans="1:12">
      <c r="A91" s="2953" t="s">
        <v>3069</v>
      </c>
      <c r="B91" s="2953" t="s">
        <v>3115</v>
      </c>
      <c r="C91" s="2953">
        <v>6</v>
      </c>
      <c r="D91" s="2953" t="s">
        <v>3109</v>
      </c>
      <c r="E91" s="2953">
        <v>92.628600000000006</v>
      </c>
      <c r="F91" s="2953">
        <f t="shared" ca="1" si="3"/>
        <v>4518932</v>
      </c>
      <c r="G91" s="2953">
        <f t="shared" ca="1" si="4"/>
        <v>48785</v>
      </c>
      <c r="I91" s="2953">
        <f t="shared" si="10"/>
        <v>101</v>
      </c>
      <c r="J91" s="2953">
        <v>100</v>
      </c>
      <c r="K91" s="2953">
        <f t="shared" si="5"/>
        <v>93.55</v>
      </c>
      <c r="L91" s="2953">
        <f t="shared" ca="1" si="2"/>
        <v>4518932</v>
      </c>
    </row>
    <row r="92" spans="1:12">
      <c r="A92" s="2953" t="s">
        <v>3069</v>
      </c>
      <c r="B92" s="2953" t="s">
        <v>3106</v>
      </c>
      <c r="C92" s="2953">
        <v>7</v>
      </c>
      <c r="D92" s="2953" t="s">
        <v>3071</v>
      </c>
      <c r="E92" s="2953">
        <v>103.3899</v>
      </c>
      <c r="F92" s="2953">
        <f t="shared" ca="1" si="3"/>
        <v>5056567</v>
      </c>
      <c r="G92" s="2953">
        <f t="shared" ca="1" si="4"/>
        <v>48908</v>
      </c>
      <c r="I92" s="2953">
        <f>I91+$I$34</f>
        <v>101.25</v>
      </c>
      <c r="J92" s="2953">
        <v>100</v>
      </c>
      <c r="K92" s="2953">
        <f t="shared" si="5"/>
        <v>104.68</v>
      </c>
      <c r="L92" s="2953">
        <f t="shared" ca="1" si="2"/>
        <v>5056567</v>
      </c>
    </row>
    <row r="93" spans="1:12">
      <c r="A93" s="2953" t="s">
        <v>3069</v>
      </c>
      <c r="B93" s="2953" t="s">
        <v>3106</v>
      </c>
      <c r="C93" s="2953">
        <v>7</v>
      </c>
      <c r="D93" s="2953" t="s">
        <v>3107</v>
      </c>
      <c r="E93" s="2953">
        <v>103.489</v>
      </c>
      <c r="F93" s="2953">
        <f t="shared" ca="1" si="3"/>
        <v>5061397</v>
      </c>
      <c r="G93" s="2953">
        <f t="shared" ca="1" si="4"/>
        <v>48908</v>
      </c>
      <c r="I93" s="2953">
        <f>$I$92</f>
        <v>101.25</v>
      </c>
      <c r="J93" s="2953">
        <v>100</v>
      </c>
      <c r="K93" s="2953">
        <f t="shared" si="5"/>
        <v>104.78</v>
      </c>
      <c r="L93" s="2953">
        <f t="shared" ca="1" si="2"/>
        <v>5061397</v>
      </c>
    </row>
    <row r="94" spans="1:12">
      <c r="A94" s="2953" t="s">
        <v>3069</v>
      </c>
      <c r="B94" s="2953" t="s">
        <v>3106</v>
      </c>
      <c r="C94" s="2953">
        <v>7</v>
      </c>
      <c r="D94" s="2953" t="s">
        <v>3108</v>
      </c>
      <c r="E94" s="2953">
        <v>131.26820000000001</v>
      </c>
      <c r="F94" s="2953">
        <f t="shared" ca="1" si="3"/>
        <v>6355971</v>
      </c>
      <c r="G94" s="2953">
        <f t="shared" ca="1" si="4"/>
        <v>48420</v>
      </c>
      <c r="I94" s="2953">
        <f t="shared" ref="I94:I103" si="11">$I$92</f>
        <v>101.25</v>
      </c>
      <c r="J94" s="2953">
        <v>99</v>
      </c>
      <c r="K94" s="2953">
        <f t="shared" si="5"/>
        <v>131.58000000000001</v>
      </c>
      <c r="L94" s="2953">
        <f t="shared" ca="1" si="2"/>
        <v>6355971</v>
      </c>
    </row>
    <row r="95" spans="1:12">
      <c r="A95" s="2953" t="s">
        <v>3069</v>
      </c>
      <c r="B95" s="2953" t="s">
        <v>3106</v>
      </c>
      <c r="C95" s="2953">
        <v>7</v>
      </c>
      <c r="D95" s="2953" t="s">
        <v>3109</v>
      </c>
      <c r="E95" s="2953">
        <v>131.11349999999999</v>
      </c>
      <c r="F95" s="2953">
        <f t="shared" ca="1" si="3"/>
        <v>6348242</v>
      </c>
      <c r="G95" s="2953">
        <f t="shared" ca="1" si="4"/>
        <v>48418</v>
      </c>
      <c r="I95" s="2953">
        <f t="shared" si="11"/>
        <v>101.25</v>
      </c>
      <c r="J95" s="2953">
        <v>99</v>
      </c>
      <c r="K95" s="2953">
        <f t="shared" si="5"/>
        <v>131.41999999999999</v>
      </c>
      <c r="L95" s="2953">
        <f t="shared" ca="1" si="2"/>
        <v>6348242</v>
      </c>
    </row>
    <row r="96" spans="1:12">
      <c r="A96" s="2953" t="s">
        <v>3069</v>
      </c>
      <c r="B96" s="2953" t="s">
        <v>3110</v>
      </c>
      <c r="C96" s="2953">
        <v>7</v>
      </c>
      <c r="D96" s="2953" t="s">
        <v>3071</v>
      </c>
      <c r="E96" s="2953">
        <v>103.489</v>
      </c>
      <c r="F96" s="2953">
        <f t="shared" ca="1" si="3"/>
        <v>5061397</v>
      </c>
      <c r="G96" s="2953">
        <f t="shared" ca="1" si="4"/>
        <v>48908</v>
      </c>
      <c r="I96" s="2953">
        <f t="shared" si="11"/>
        <v>101.25</v>
      </c>
      <c r="J96" s="2953">
        <v>100</v>
      </c>
      <c r="K96" s="2953">
        <f t="shared" si="5"/>
        <v>104.78</v>
      </c>
      <c r="L96" s="2953">
        <f t="shared" ca="1" si="2"/>
        <v>5061397</v>
      </c>
    </row>
    <row r="97" spans="1:12">
      <c r="A97" s="2953" t="s">
        <v>3069</v>
      </c>
      <c r="B97" s="2953" t="s">
        <v>3110</v>
      </c>
      <c r="C97" s="2953">
        <v>7</v>
      </c>
      <c r="D97" s="2953" t="s">
        <v>3107</v>
      </c>
      <c r="E97" s="2953">
        <v>103.489</v>
      </c>
      <c r="F97" s="2953">
        <f t="shared" ca="1" si="3"/>
        <v>5061397</v>
      </c>
      <c r="G97" s="2953">
        <f t="shared" ca="1" si="4"/>
        <v>48908</v>
      </c>
      <c r="I97" s="2953">
        <f t="shared" si="11"/>
        <v>101.25</v>
      </c>
      <c r="J97" s="2953">
        <v>100</v>
      </c>
      <c r="K97" s="2953">
        <f t="shared" si="5"/>
        <v>104.78</v>
      </c>
      <c r="L97" s="2953">
        <f t="shared" ca="1" si="2"/>
        <v>5061397</v>
      </c>
    </row>
    <row r="98" spans="1:12">
      <c r="A98" s="2953" t="s">
        <v>3069</v>
      </c>
      <c r="B98" s="2953" t="s">
        <v>3110</v>
      </c>
      <c r="C98" s="2953">
        <v>7</v>
      </c>
      <c r="D98" s="2953" t="s">
        <v>3108</v>
      </c>
      <c r="E98" s="2953">
        <v>130.92859999999999</v>
      </c>
      <c r="F98" s="2953">
        <f t="shared" ca="1" si="3"/>
        <v>6339548</v>
      </c>
      <c r="G98" s="2953">
        <f t="shared" ca="1" si="4"/>
        <v>48420</v>
      </c>
      <c r="I98" s="2953">
        <f t="shared" si="11"/>
        <v>101.25</v>
      </c>
      <c r="J98" s="2953">
        <v>99</v>
      </c>
      <c r="K98" s="2953">
        <f t="shared" si="5"/>
        <v>131.24</v>
      </c>
      <c r="L98" s="2953">
        <f t="shared" ca="1" si="2"/>
        <v>6339548</v>
      </c>
    </row>
    <row r="99" spans="1:12">
      <c r="A99" s="2953" t="s">
        <v>3069</v>
      </c>
      <c r="B99" s="2953" t="s">
        <v>3110</v>
      </c>
      <c r="C99" s="2953">
        <v>7</v>
      </c>
      <c r="D99" s="2953" t="s">
        <v>3109</v>
      </c>
      <c r="E99" s="2953">
        <v>131.39879999999999</v>
      </c>
      <c r="F99" s="2953">
        <f t="shared" ca="1" si="3"/>
        <v>6362251</v>
      </c>
      <c r="G99" s="2953">
        <f t="shared" ca="1" si="4"/>
        <v>48419</v>
      </c>
      <c r="I99" s="2953">
        <f t="shared" si="11"/>
        <v>101.25</v>
      </c>
      <c r="J99" s="2953">
        <v>99</v>
      </c>
      <c r="K99" s="2953">
        <f t="shared" si="5"/>
        <v>131.71</v>
      </c>
      <c r="L99" s="2953">
        <f t="shared" ca="1" si="2"/>
        <v>6362251</v>
      </c>
    </row>
    <row r="100" spans="1:12">
      <c r="A100" s="2953" t="s">
        <v>3069</v>
      </c>
      <c r="B100" s="2953" t="s">
        <v>3115</v>
      </c>
      <c r="C100" s="2953">
        <v>7</v>
      </c>
      <c r="D100" s="2953" t="s">
        <v>3071</v>
      </c>
      <c r="E100" s="2953">
        <v>90.76</v>
      </c>
      <c r="F100" s="2953">
        <f t="shared" ca="1" si="3"/>
        <v>4438746</v>
      </c>
      <c r="G100" s="2953">
        <f t="shared" ca="1" si="4"/>
        <v>48906</v>
      </c>
      <c r="I100" s="2953">
        <f t="shared" si="11"/>
        <v>101.25</v>
      </c>
      <c r="J100" s="2953">
        <v>100</v>
      </c>
      <c r="K100" s="2953">
        <f t="shared" si="5"/>
        <v>91.89</v>
      </c>
      <c r="L100" s="2953">
        <f t="shared" ref="L100:L163" ca="1" si="12">ROUND($L$392/$K$392*K100*10000,0)</f>
        <v>4438746</v>
      </c>
    </row>
    <row r="101" spans="1:12">
      <c r="A101" s="2953" t="s">
        <v>3069</v>
      </c>
      <c r="B101" s="2953" t="s">
        <v>3115</v>
      </c>
      <c r="C101" s="2953">
        <v>7</v>
      </c>
      <c r="D101" s="2953" t="s">
        <v>3107</v>
      </c>
      <c r="E101" s="2953">
        <v>90.850399999999993</v>
      </c>
      <c r="F101" s="2953">
        <f t="shared" ref="F101:F164" ca="1" si="13">L101</f>
        <v>4443576</v>
      </c>
      <c r="G101" s="2953">
        <f t="shared" ref="G101:G164" ca="1" si="14">ROUND(F101/E101,0)</f>
        <v>48911</v>
      </c>
      <c r="I101" s="2953">
        <f t="shared" si="11"/>
        <v>101.25</v>
      </c>
      <c r="J101" s="2953">
        <v>100</v>
      </c>
      <c r="K101" s="2953">
        <f t="shared" ref="K101:K164" si="15">ROUND(E101*1*I101/100*J101/100,2)</f>
        <v>91.99</v>
      </c>
      <c r="L101" s="2953">
        <f t="shared" ca="1" si="12"/>
        <v>4443576</v>
      </c>
    </row>
    <row r="102" spans="1:12">
      <c r="A102" s="2953" t="s">
        <v>3069</v>
      </c>
      <c r="B102" s="2953" t="s">
        <v>3115</v>
      </c>
      <c r="C102" s="2953">
        <v>7</v>
      </c>
      <c r="D102" s="2953" t="s">
        <v>3108</v>
      </c>
      <c r="E102" s="2953">
        <v>92.628600000000006</v>
      </c>
      <c r="F102" s="2953">
        <f t="shared" ca="1" si="13"/>
        <v>4530525</v>
      </c>
      <c r="G102" s="2953">
        <f t="shared" ca="1" si="14"/>
        <v>48911</v>
      </c>
      <c r="I102" s="2953">
        <f t="shared" si="11"/>
        <v>101.25</v>
      </c>
      <c r="J102" s="2953">
        <v>100</v>
      </c>
      <c r="K102" s="2953">
        <f t="shared" si="15"/>
        <v>93.79</v>
      </c>
      <c r="L102" s="2953">
        <f t="shared" ca="1" si="12"/>
        <v>4530525</v>
      </c>
    </row>
    <row r="103" spans="1:12">
      <c r="A103" s="2953" t="s">
        <v>3069</v>
      </c>
      <c r="B103" s="2953" t="s">
        <v>3115</v>
      </c>
      <c r="C103" s="2953">
        <v>7</v>
      </c>
      <c r="D103" s="2953" t="s">
        <v>3109</v>
      </c>
      <c r="E103" s="2953">
        <v>92.628600000000006</v>
      </c>
      <c r="F103" s="2953">
        <f t="shared" ca="1" si="13"/>
        <v>4530525</v>
      </c>
      <c r="G103" s="2953">
        <f t="shared" ca="1" si="14"/>
        <v>48911</v>
      </c>
      <c r="I103" s="2953">
        <f t="shared" si="11"/>
        <v>101.25</v>
      </c>
      <c r="J103" s="2953">
        <v>100</v>
      </c>
      <c r="K103" s="2953">
        <f t="shared" si="15"/>
        <v>93.79</v>
      </c>
      <c r="L103" s="2953">
        <f t="shared" ca="1" si="12"/>
        <v>4530525</v>
      </c>
    </row>
    <row r="104" spans="1:12">
      <c r="A104" s="2953" t="s">
        <v>3069</v>
      </c>
      <c r="B104" s="2953" t="s">
        <v>3106</v>
      </c>
      <c r="C104" s="2953">
        <v>8</v>
      </c>
      <c r="D104" s="2953" t="s">
        <v>3071</v>
      </c>
      <c r="E104" s="2953">
        <v>103.6872</v>
      </c>
      <c r="F104" s="2953">
        <f t="shared" ca="1" si="13"/>
        <v>5083618</v>
      </c>
      <c r="G104" s="2953">
        <f t="shared" ca="1" si="14"/>
        <v>49028</v>
      </c>
      <c r="I104" s="2953">
        <f>I103+$I$34</f>
        <v>101.5</v>
      </c>
      <c r="J104" s="2953">
        <v>100</v>
      </c>
      <c r="K104" s="2953">
        <f t="shared" si="15"/>
        <v>105.24</v>
      </c>
      <c r="L104" s="2953">
        <f t="shared" ca="1" si="12"/>
        <v>5083618</v>
      </c>
    </row>
    <row r="105" spans="1:12">
      <c r="A105" s="2953" t="s">
        <v>3069</v>
      </c>
      <c r="B105" s="2953" t="s">
        <v>3106</v>
      </c>
      <c r="C105" s="2953">
        <v>8</v>
      </c>
      <c r="D105" s="2953" t="s">
        <v>3107</v>
      </c>
      <c r="E105" s="2953">
        <v>103.7864</v>
      </c>
      <c r="F105" s="2953">
        <f t="shared" ca="1" si="13"/>
        <v>5088448</v>
      </c>
      <c r="G105" s="2953">
        <f t="shared" ca="1" si="14"/>
        <v>49028</v>
      </c>
      <c r="I105" s="2953">
        <f>$I$104</f>
        <v>101.5</v>
      </c>
      <c r="J105" s="2953">
        <v>100</v>
      </c>
      <c r="K105" s="2953">
        <f t="shared" si="15"/>
        <v>105.34</v>
      </c>
      <c r="L105" s="2953">
        <f t="shared" ca="1" si="12"/>
        <v>5088448</v>
      </c>
    </row>
    <row r="106" spans="1:12">
      <c r="A106" s="2953" t="s">
        <v>3069</v>
      </c>
      <c r="B106" s="2953" t="s">
        <v>3106</v>
      </c>
      <c r="C106" s="2953">
        <v>8</v>
      </c>
      <c r="D106" s="2953" t="s">
        <v>3108</v>
      </c>
      <c r="E106" s="2953">
        <v>131.83160000000001</v>
      </c>
      <c r="F106" s="2953">
        <f t="shared" ca="1" si="13"/>
        <v>6398963</v>
      </c>
      <c r="G106" s="2953">
        <f t="shared" ca="1" si="14"/>
        <v>48539</v>
      </c>
      <c r="I106" s="2953">
        <f t="shared" ref="I106:I115" si="16">$I$104</f>
        <v>101.5</v>
      </c>
      <c r="J106" s="2953">
        <v>99</v>
      </c>
      <c r="K106" s="2953">
        <f t="shared" si="15"/>
        <v>132.47</v>
      </c>
      <c r="L106" s="2953">
        <f t="shared" ca="1" si="12"/>
        <v>6398963</v>
      </c>
    </row>
    <row r="107" spans="1:12">
      <c r="A107" s="2953" t="s">
        <v>3069</v>
      </c>
      <c r="B107" s="2953" t="s">
        <v>3106</v>
      </c>
      <c r="C107" s="2953">
        <v>8</v>
      </c>
      <c r="D107" s="2953" t="s">
        <v>3109</v>
      </c>
      <c r="E107" s="2953">
        <v>131.6439</v>
      </c>
      <c r="F107" s="2953">
        <f t="shared" ca="1" si="13"/>
        <v>6389785</v>
      </c>
      <c r="G107" s="2953">
        <f t="shared" ca="1" si="14"/>
        <v>48538</v>
      </c>
      <c r="I107" s="2953">
        <f t="shared" si="16"/>
        <v>101.5</v>
      </c>
      <c r="J107" s="2953">
        <v>99</v>
      </c>
      <c r="K107" s="2953">
        <f t="shared" si="15"/>
        <v>132.28</v>
      </c>
      <c r="L107" s="2953">
        <f t="shared" ca="1" si="12"/>
        <v>6389785</v>
      </c>
    </row>
    <row r="108" spans="1:12">
      <c r="A108" s="2953" t="s">
        <v>3069</v>
      </c>
      <c r="B108" s="2953" t="s">
        <v>3110</v>
      </c>
      <c r="C108" s="2953">
        <v>8</v>
      </c>
      <c r="D108" s="2953" t="s">
        <v>3071</v>
      </c>
      <c r="E108" s="2953">
        <v>103.7864</v>
      </c>
      <c r="F108" s="2953">
        <f t="shared" ca="1" si="13"/>
        <v>5088448</v>
      </c>
      <c r="G108" s="2953">
        <f t="shared" ca="1" si="14"/>
        <v>49028</v>
      </c>
      <c r="I108" s="2953">
        <f t="shared" si="16"/>
        <v>101.5</v>
      </c>
      <c r="J108" s="2953">
        <v>100</v>
      </c>
      <c r="K108" s="2953">
        <f t="shared" si="15"/>
        <v>105.34</v>
      </c>
      <c r="L108" s="2953">
        <f t="shared" ca="1" si="12"/>
        <v>5088448</v>
      </c>
    </row>
    <row r="109" spans="1:12">
      <c r="A109" s="2953" t="s">
        <v>3069</v>
      </c>
      <c r="B109" s="2953" t="s">
        <v>3110</v>
      </c>
      <c r="C109" s="2953">
        <v>8</v>
      </c>
      <c r="D109" s="2953" t="s">
        <v>3107</v>
      </c>
      <c r="E109" s="2953">
        <v>103.7864</v>
      </c>
      <c r="F109" s="2953">
        <f t="shared" ca="1" si="13"/>
        <v>5088448</v>
      </c>
      <c r="G109" s="2953">
        <f t="shared" ca="1" si="14"/>
        <v>49028</v>
      </c>
      <c r="I109" s="2953">
        <f t="shared" si="16"/>
        <v>101.5</v>
      </c>
      <c r="J109" s="2953">
        <v>100</v>
      </c>
      <c r="K109" s="2953">
        <f t="shared" si="15"/>
        <v>105.34</v>
      </c>
      <c r="L109" s="2953">
        <f t="shared" ca="1" si="12"/>
        <v>5088448</v>
      </c>
    </row>
    <row r="110" spans="1:12">
      <c r="A110" s="2953" t="s">
        <v>3069</v>
      </c>
      <c r="B110" s="2953" t="s">
        <v>3110</v>
      </c>
      <c r="C110" s="2953">
        <v>8</v>
      </c>
      <c r="D110" s="2953" t="s">
        <v>3108</v>
      </c>
      <c r="E110" s="2953">
        <v>131.50129999999999</v>
      </c>
      <c r="F110" s="2953">
        <f t="shared" ca="1" si="13"/>
        <v>6383022</v>
      </c>
      <c r="G110" s="2953">
        <f t="shared" ca="1" si="14"/>
        <v>48540</v>
      </c>
      <c r="I110" s="2953">
        <f t="shared" si="16"/>
        <v>101.5</v>
      </c>
      <c r="J110" s="2953">
        <v>99</v>
      </c>
      <c r="K110" s="2953">
        <f t="shared" si="15"/>
        <v>132.13999999999999</v>
      </c>
      <c r="L110" s="2953">
        <f t="shared" ca="1" si="12"/>
        <v>6383022</v>
      </c>
    </row>
    <row r="111" spans="1:12">
      <c r="A111" s="2953" t="s">
        <v>3069</v>
      </c>
      <c r="B111" s="2953" t="s">
        <v>3110</v>
      </c>
      <c r="C111" s="2953">
        <v>8</v>
      </c>
      <c r="D111" s="2953" t="s">
        <v>3109</v>
      </c>
      <c r="E111" s="2953">
        <v>131.83160000000001</v>
      </c>
      <c r="F111" s="2953">
        <f t="shared" ca="1" si="13"/>
        <v>6398963</v>
      </c>
      <c r="G111" s="2953">
        <f t="shared" ca="1" si="14"/>
        <v>48539</v>
      </c>
      <c r="I111" s="2953">
        <f t="shared" si="16"/>
        <v>101.5</v>
      </c>
      <c r="J111" s="2953">
        <v>99</v>
      </c>
      <c r="K111" s="2953">
        <f t="shared" si="15"/>
        <v>132.47</v>
      </c>
      <c r="L111" s="2953">
        <f t="shared" ca="1" si="12"/>
        <v>6398963</v>
      </c>
    </row>
    <row r="112" spans="1:12">
      <c r="A112" s="2953" t="s">
        <v>3069</v>
      </c>
      <c r="B112" s="2953" t="s">
        <v>3115</v>
      </c>
      <c r="C112" s="2953">
        <v>8</v>
      </c>
      <c r="D112" s="2953" t="s">
        <v>3071</v>
      </c>
      <c r="E112" s="2953">
        <v>90.76</v>
      </c>
      <c r="F112" s="2953">
        <f t="shared" ca="1" si="13"/>
        <v>4449856</v>
      </c>
      <c r="G112" s="2953">
        <f t="shared" ca="1" si="14"/>
        <v>49029</v>
      </c>
      <c r="I112" s="2953">
        <f t="shared" si="16"/>
        <v>101.5</v>
      </c>
      <c r="J112" s="2953">
        <v>100</v>
      </c>
      <c r="K112" s="2953">
        <f t="shared" si="15"/>
        <v>92.12</v>
      </c>
      <c r="L112" s="2953">
        <f t="shared" ca="1" si="12"/>
        <v>4449856</v>
      </c>
    </row>
    <row r="113" spans="1:12">
      <c r="A113" s="2953" t="s">
        <v>3069</v>
      </c>
      <c r="B113" s="2953" t="s">
        <v>3115</v>
      </c>
      <c r="C113" s="2953">
        <v>8</v>
      </c>
      <c r="D113" s="2953" t="s">
        <v>3107</v>
      </c>
      <c r="E113" s="2953">
        <v>90.850399999999993</v>
      </c>
      <c r="F113" s="2953">
        <f t="shared" ca="1" si="13"/>
        <v>4454204</v>
      </c>
      <c r="G113" s="2953">
        <f t="shared" ca="1" si="14"/>
        <v>49028</v>
      </c>
      <c r="I113" s="2953">
        <f t="shared" si="16"/>
        <v>101.5</v>
      </c>
      <c r="J113" s="2953">
        <v>100</v>
      </c>
      <c r="K113" s="2953">
        <f t="shared" si="15"/>
        <v>92.21</v>
      </c>
      <c r="L113" s="2953">
        <f t="shared" ca="1" si="12"/>
        <v>4454204</v>
      </c>
    </row>
    <row r="114" spans="1:12">
      <c r="A114" s="2953" t="s">
        <v>3069</v>
      </c>
      <c r="B114" s="2953" t="s">
        <v>3115</v>
      </c>
      <c r="C114" s="2953">
        <v>8</v>
      </c>
      <c r="D114" s="2953" t="s">
        <v>3108</v>
      </c>
      <c r="E114" s="2953">
        <v>92.628600000000006</v>
      </c>
      <c r="F114" s="2953">
        <f t="shared" ca="1" si="13"/>
        <v>4541636</v>
      </c>
      <c r="G114" s="2953">
        <f t="shared" ca="1" si="14"/>
        <v>49031</v>
      </c>
      <c r="I114" s="2953">
        <f t="shared" si="16"/>
        <v>101.5</v>
      </c>
      <c r="J114" s="2953">
        <v>100</v>
      </c>
      <c r="K114" s="2953">
        <f t="shared" si="15"/>
        <v>94.02</v>
      </c>
      <c r="L114" s="2953">
        <f t="shared" ca="1" si="12"/>
        <v>4541636</v>
      </c>
    </row>
    <row r="115" spans="1:12">
      <c r="A115" s="2953" t="s">
        <v>3069</v>
      </c>
      <c r="B115" s="2953" t="s">
        <v>3115</v>
      </c>
      <c r="C115" s="2953">
        <v>8</v>
      </c>
      <c r="D115" s="2953" t="s">
        <v>3109</v>
      </c>
      <c r="E115" s="2953">
        <v>92.628600000000006</v>
      </c>
      <c r="F115" s="2953">
        <f t="shared" ca="1" si="13"/>
        <v>4541636</v>
      </c>
      <c r="G115" s="2953">
        <f t="shared" ca="1" si="14"/>
        <v>49031</v>
      </c>
      <c r="I115" s="2953">
        <f t="shared" si="16"/>
        <v>101.5</v>
      </c>
      <c r="J115" s="2953">
        <v>100</v>
      </c>
      <c r="K115" s="2953">
        <f t="shared" si="15"/>
        <v>94.02</v>
      </c>
      <c r="L115" s="2953">
        <f t="shared" ca="1" si="12"/>
        <v>4541636</v>
      </c>
    </row>
    <row r="116" spans="1:12">
      <c r="A116" s="2953" t="s">
        <v>3069</v>
      </c>
      <c r="B116" s="2953" t="s">
        <v>3106</v>
      </c>
      <c r="C116" s="2953">
        <v>9</v>
      </c>
      <c r="D116" s="2953" t="s">
        <v>3071</v>
      </c>
      <c r="E116" s="2953">
        <v>103.6872</v>
      </c>
      <c r="F116" s="2953">
        <f t="shared" ca="1" si="13"/>
        <v>5096177</v>
      </c>
      <c r="G116" s="2953">
        <f t="shared" ca="1" si="14"/>
        <v>49150</v>
      </c>
      <c r="I116" s="2953">
        <f>I115+$I$34</f>
        <v>101.75</v>
      </c>
      <c r="J116" s="2953">
        <v>100</v>
      </c>
      <c r="K116" s="2953">
        <f t="shared" si="15"/>
        <v>105.5</v>
      </c>
      <c r="L116" s="2953">
        <f t="shared" ca="1" si="12"/>
        <v>5096177</v>
      </c>
    </row>
    <row r="117" spans="1:12">
      <c r="A117" s="2953" t="s">
        <v>3069</v>
      </c>
      <c r="B117" s="2953" t="s">
        <v>3106</v>
      </c>
      <c r="C117" s="2953">
        <v>9</v>
      </c>
      <c r="D117" s="2953" t="s">
        <v>3107</v>
      </c>
      <c r="E117" s="2953">
        <v>103.7864</v>
      </c>
      <c r="F117" s="2953">
        <f t="shared" ca="1" si="13"/>
        <v>5101007</v>
      </c>
      <c r="G117" s="2953">
        <f t="shared" ca="1" si="14"/>
        <v>49149</v>
      </c>
      <c r="I117" s="2953">
        <f>$I$116</f>
        <v>101.75</v>
      </c>
      <c r="J117" s="2953">
        <v>100</v>
      </c>
      <c r="K117" s="2953">
        <f t="shared" si="15"/>
        <v>105.6</v>
      </c>
      <c r="L117" s="2953">
        <f t="shared" ca="1" si="12"/>
        <v>5101007</v>
      </c>
    </row>
    <row r="118" spans="1:12">
      <c r="A118" s="2953" t="s">
        <v>3069</v>
      </c>
      <c r="B118" s="2953" t="s">
        <v>3106</v>
      </c>
      <c r="C118" s="2953">
        <v>9</v>
      </c>
      <c r="D118" s="2953" t="s">
        <v>3108</v>
      </c>
      <c r="E118" s="2953">
        <v>131.83160000000001</v>
      </c>
      <c r="F118" s="2953">
        <f t="shared" ca="1" si="13"/>
        <v>6414903</v>
      </c>
      <c r="G118" s="2953">
        <f t="shared" ca="1" si="14"/>
        <v>48660</v>
      </c>
      <c r="I118" s="2953">
        <f t="shared" ref="I118:I127" si="17">$I$116</f>
        <v>101.75</v>
      </c>
      <c r="J118" s="2953">
        <v>99</v>
      </c>
      <c r="K118" s="2953">
        <f t="shared" si="15"/>
        <v>132.80000000000001</v>
      </c>
      <c r="L118" s="2953">
        <f t="shared" ca="1" si="12"/>
        <v>6414903</v>
      </c>
    </row>
    <row r="119" spans="1:12">
      <c r="A119" s="2953" t="s">
        <v>3069</v>
      </c>
      <c r="B119" s="2953" t="s">
        <v>3106</v>
      </c>
      <c r="C119" s="2953">
        <v>9</v>
      </c>
      <c r="D119" s="2953" t="s">
        <v>3109</v>
      </c>
      <c r="E119" s="2953">
        <v>131.6439</v>
      </c>
      <c r="F119" s="2953">
        <f t="shared" ca="1" si="13"/>
        <v>6405725</v>
      </c>
      <c r="G119" s="2953">
        <f t="shared" ca="1" si="14"/>
        <v>48659</v>
      </c>
      <c r="I119" s="2953">
        <f t="shared" si="17"/>
        <v>101.75</v>
      </c>
      <c r="J119" s="2953">
        <v>99</v>
      </c>
      <c r="K119" s="2953">
        <f t="shared" si="15"/>
        <v>132.61000000000001</v>
      </c>
      <c r="L119" s="2953">
        <f t="shared" ca="1" si="12"/>
        <v>6405725</v>
      </c>
    </row>
    <row r="120" spans="1:12">
      <c r="A120" s="2953" t="s">
        <v>3069</v>
      </c>
      <c r="B120" s="2953" t="s">
        <v>3110</v>
      </c>
      <c r="C120" s="2953">
        <v>9</v>
      </c>
      <c r="D120" s="2953" t="s">
        <v>3071</v>
      </c>
      <c r="E120" s="2953">
        <v>103.7864</v>
      </c>
      <c r="F120" s="2953">
        <f t="shared" ca="1" si="13"/>
        <v>5101007</v>
      </c>
      <c r="G120" s="2953">
        <f t="shared" ca="1" si="14"/>
        <v>49149</v>
      </c>
      <c r="I120" s="2953">
        <f t="shared" si="17"/>
        <v>101.75</v>
      </c>
      <c r="J120" s="2953">
        <v>100</v>
      </c>
      <c r="K120" s="2953">
        <f t="shared" si="15"/>
        <v>105.6</v>
      </c>
      <c r="L120" s="2953">
        <f t="shared" ca="1" si="12"/>
        <v>5101007</v>
      </c>
    </row>
    <row r="121" spans="1:12">
      <c r="A121" s="2953" t="s">
        <v>3069</v>
      </c>
      <c r="B121" s="2953" t="s">
        <v>3110</v>
      </c>
      <c r="C121" s="2953">
        <v>9</v>
      </c>
      <c r="D121" s="2953" t="s">
        <v>3107</v>
      </c>
      <c r="E121" s="2953">
        <v>103.7864</v>
      </c>
      <c r="F121" s="2953">
        <f t="shared" ca="1" si="13"/>
        <v>5101007</v>
      </c>
      <c r="G121" s="2953">
        <f t="shared" ca="1" si="14"/>
        <v>49149</v>
      </c>
      <c r="I121" s="2953">
        <f t="shared" si="17"/>
        <v>101.75</v>
      </c>
      <c r="J121" s="2953">
        <v>100</v>
      </c>
      <c r="K121" s="2953">
        <f t="shared" si="15"/>
        <v>105.6</v>
      </c>
      <c r="L121" s="2953">
        <f t="shared" ca="1" si="12"/>
        <v>5101007</v>
      </c>
    </row>
    <row r="122" spans="1:12">
      <c r="A122" s="2953" t="s">
        <v>3069</v>
      </c>
      <c r="B122" s="2953" t="s">
        <v>3110</v>
      </c>
      <c r="C122" s="2953">
        <v>9</v>
      </c>
      <c r="D122" s="2953" t="s">
        <v>3108</v>
      </c>
      <c r="E122" s="2953">
        <v>131.50129999999999</v>
      </c>
      <c r="F122" s="2953">
        <f t="shared" ca="1" si="13"/>
        <v>6398480</v>
      </c>
      <c r="G122" s="2953">
        <f t="shared" ca="1" si="14"/>
        <v>48657</v>
      </c>
      <c r="I122" s="2953">
        <f t="shared" si="17"/>
        <v>101.75</v>
      </c>
      <c r="J122" s="2953">
        <v>99</v>
      </c>
      <c r="K122" s="2953">
        <f t="shared" si="15"/>
        <v>132.46</v>
      </c>
      <c r="L122" s="2953">
        <f t="shared" ca="1" si="12"/>
        <v>6398480</v>
      </c>
    </row>
    <row r="123" spans="1:12">
      <c r="A123" s="2953" t="s">
        <v>3069</v>
      </c>
      <c r="B123" s="2953" t="s">
        <v>3110</v>
      </c>
      <c r="C123" s="2953">
        <v>9</v>
      </c>
      <c r="D123" s="2953" t="s">
        <v>3109</v>
      </c>
      <c r="E123" s="2953">
        <v>131.83160000000001</v>
      </c>
      <c r="F123" s="2953">
        <f t="shared" ca="1" si="13"/>
        <v>6414903</v>
      </c>
      <c r="G123" s="2953">
        <f t="shared" ca="1" si="14"/>
        <v>48660</v>
      </c>
      <c r="I123" s="2953">
        <f t="shared" si="17"/>
        <v>101.75</v>
      </c>
      <c r="J123" s="2953">
        <v>99</v>
      </c>
      <c r="K123" s="2953">
        <f t="shared" si="15"/>
        <v>132.80000000000001</v>
      </c>
      <c r="L123" s="2953">
        <f t="shared" ca="1" si="12"/>
        <v>6414903</v>
      </c>
    </row>
    <row r="124" spans="1:12">
      <c r="A124" s="2953" t="s">
        <v>3069</v>
      </c>
      <c r="B124" s="2953" t="s">
        <v>3115</v>
      </c>
      <c r="C124" s="2953">
        <v>9</v>
      </c>
      <c r="D124" s="2953" t="s">
        <v>3071</v>
      </c>
      <c r="E124" s="2953">
        <v>90.76</v>
      </c>
      <c r="F124" s="2953">
        <f t="shared" ca="1" si="13"/>
        <v>4460966</v>
      </c>
      <c r="G124" s="2953">
        <f t="shared" ca="1" si="14"/>
        <v>49151</v>
      </c>
      <c r="I124" s="2953">
        <f t="shared" si="17"/>
        <v>101.75</v>
      </c>
      <c r="J124" s="2953">
        <v>100</v>
      </c>
      <c r="K124" s="2953">
        <f t="shared" si="15"/>
        <v>92.35</v>
      </c>
      <c r="L124" s="2953">
        <f t="shared" ca="1" si="12"/>
        <v>4460966</v>
      </c>
    </row>
    <row r="125" spans="1:12">
      <c r="A125" s="2953" t="s">
        <v>3069</v>
      </c>
      <c r="B125" s="2953" t="s">
        <v>3115</v>
      </c>
      <c r="C125" s="2953">
        <v>9</v>
      </c>
      <c r="D125" s="2953" t="s">
        <v>3107</v>
      </c>
      <c r="E125" s="2953">
        <v>90.850399999999993</v>
      </c>
      <c r="F125" s="2953">
        <f t="shared" ca="1" si="13"/>
        <v>4465314</v>
      </c>
      <c r="G125" s="2953">
        <f t="shared" ca="1" si="14"/>
        <v>49150</v>
      </c>
      <c r="I125" s="2953">
        <f t="shared" si="17"/>
        <v>101.75</v>
      </c>
      <c r="J125" s="2953">
        <v>100</v>
      </c>
      <c r="K125" s="2953">
        <f t="shared" si="15"/>
        <v>92.44</v>
      </c>
      <c r="L125" s="2953">
        <f t="shared" ca="1" si="12"/>
        <v>4465314</v>
      </c>
    </row>
    <row r="126" spans="1:12">
      <c r="A126" s="2953" t="s">
        <v>3069</v>
      </c>
      <c r="B126" s="2953" t="s">
        <v>3115</v>
      </c>
      <c r="C126" s="2953">
        <v>9</v>
      </c>
      <c r="D126" s="2953" t="s">
        <v>3108</v>
      </c>
      <c r="E126" s="2953">
        <v>92.628600000000006</v>
      </c>
      <c r="F126" s="2953">
        <f t="shared" ca="1" si="13"/>
        <v>4552746</v>
      </c>
      <c r="G126" s="2953">
        <f t="shared" ca="1" si="14"/>
        <v>49151</v>
      </c>
      <c r="I126" s="2953">
        <f t="shared" si="17"/>
        <v>101.75</v>
      </c>
      <c r="J126" s="2953">
        <v>100</v>
      </c>
      <c r="K126" s="2953">
        <f t="shared" si="15"/>
        <v>94.25</v>
      </c>
      <c r="L126" s="2953">
        <f t="shared" ca="1" si="12"/>
        <v>4552746</v>
      </c>
    </row>
    <row r="127" spans="1:12">
      <c r="A127" s="2953" t="s">
        <v>3069</v>
      </c>
      <c r="B127" s="2953" t="s">
        <v>3115</v>
      </c>
      <c r="C127" s="2953">
        <v>9</v>
      </c>
      <c r="D127" s="2953" t="s">
        <v>3109</v>
      </c>
      <c r="E127" s="2953">
        <v>92.628600000000006</v>
      </c>
      <c r="F127" s="2953">
        <f t="shared" ca="1" si="13"/>
        <v>4552746</v>
      </c>
      <c r="G127" s="2953">
        <f t="shared" ca="1" si="14"/>
        <v>49151</v>
      </c>
      <c r="I127" s="2953">
        <f t="shared" si="17"/>
        <v>101.75</v>
      </c>
      <c r="J127" s="2953">
        <v>100</v>
      </c>
      <c r="K127" s="2953">
        <f t="shared" si="15"/>
        <v>94.25</v>
      </c>
      <c r="L127" s="2953">
        <f t="shared" ca="1" si="12"/>
        <v>4552746</v>
      </c>
    </row>
    <row r="128" spans="1:12">
      <c r="A128" s="2953" t="s">
        <v>3069</v>
      </c>
      <c r="B128" s="2953" t="s">
        <v>3106</v>
      </c>
      <c r="C128" s="2953">
        <v>10</v>
      </c>
      <c r="D128" s="2953" t="s">
        <v>3071</v>
      </c>
      <c r="E128" s="2953">
        <v>103.6872</v>
      </c>
      <c r="F128" s="2953">
        <f t="shared" ca="1" si="13"/>
        <v>5108736</v>
      </c>
      <c r="G128" s="2953">
        <f t="shared" ca="1" si="14"/>
        <v>49271</v>
      </c>
      <c r="I128" s="2953">
        <f>I127+$I$34</f>
        <v>102</v>
      </c>
      <c r="J128" s="2953">
        <v>100</v>
      </c>
      <c r="K128" s="2953">
        <f t="shared" si="15"/>
        <v>105.76</v>
      </c>
      <c r="L128" s="2953">
        <f t="shared" ca="1" si="12"/>
        <v>5108736</v>
      </c>
    </row>
    <row r="129" spans="1:12">
      <c r="A129" s="2953" t="s">
        <v>3069</v>
      </c>
      <c r="B129" s="2953" t="s">
        <v>3106</v>
      </c>
      <c r="C129" s="2953">
        <v>10</v>
      </c>
      <c r="D129" s="2953" t="s">
        <v>3107</v>
      </c>
      <c r="E129" s="2953">
        <v>103.7864</v>
      </c>
      <c r="F129" s="2953">
        <f t="shared" ca="1" si="13"/>
        <v>5113567</v>
      </c>
      <c r="G129" s="2953">
        <f t="shared" ca="1" si="14"/>
        <v>49270</v>
      </c>
      <c r="I129" s="2953">
        <f>$I$128</f>
        <v>102</v>
      </c>
      <c r="J129" s="2953">
        <v>100</v>
      </c>
      <c r="K129" s="2953">
        <f t="shared" si="15"/>
        <v>105.86</v>
      </c>
      <c r="L129" s="2953">
        <f t="shared" ca="1" si="12"/>
        <v>5113567</v>
      </c>
    </row>
    <row r="130" spans="1:12">
      <c r="A130" s="2953" t="s">
        <v>3069</v>
      </c>
      <c r="B130" s="2953" t="s">
        <v>3106</v>
      </c>
      <c r="C130" s="2953">
        <v>10</v>
      </c>
      <c r="D130" s="2953" t="s">
        <v>3108</v>
      </c>
      <c r="E130" s="2953">
        <v>131.83160000000001</v>
      </c>
      <c r="F130" s="2953">
        <f t="shared" ca="1" si="13"/>
        <v>6430361</v>
      </c>
      <c r="G130" s="2953">
        <f t="shared" ca="1" si="14"/>
        <v>48777</v>
      </c>
      <c r="I130" s="2953">
        <f t="shared" ref="I130:I139" si="18">$I$128</f>
        <v>102</v>
      </c>
      <c r="J130" s="2953">
        <v>99</v>
      </c>
      <c r="K130" s="2953">
        <f t="shared" si="15"/>
        <v>133.12</v>
      </c>
      <c r="L130" s="2953">
        <f t="shared" ca="1" si="12"/>
        <v>6430361</v>
      </c>
    </row>
    <row r="131" spans="1:12">
      <c r="A131" s="2953" t="s">
        <v>3069</v>
      </c>
      <c r="B131" s="2953" t="s">
        <v>3106</v>
      </c>
      <c r="C131" s="2953">
        <v>10</v>
      </c>
      <c r="D131" s="2953" t="s">
        <v>3109</v>
      </c>
      <c r="E131" s="2953">
        <v>131.6439</v>
      </c>
      <c r="F131" s="2953">
        <f t="shared" ca="1" si="13"/>
        <v>6421183</v>
      </c>
      <c r="G131" s="2953">
        <f t="shared" ca="1" si="14"/>
        <v>48777</v>
      </c>
      <c r="I131" s="2953">
        <f t="shared" si="18"/>
        <v>102</v>
      </c>
      <c r="J131" s="2953">
        <v>99</v>
      </c>
      <c r="K131" s="2953">
        <f t="shared" si="15"/>
        <v>132.93</v>
      </c>
      <c r="L131" s="2953">
        <f t="shared" ca="1" si="12"/>
        <v>6421183</v>
      </c>
    </row>
    <row r="132" spans="1:12">
      <c r="A132" s="2953" t="s">
        <v>3069</v>
      </c>
      <c r="B132" s="2953" t="s">
        <v>3110</v>
      </c>
      <c r="C132" s="2953">
        <v>10</v>
      </c>
      <c r="D132" s="2953" t="s">
        <v>3071</v>
      </c>
      <c r="E132" s="2953">
        <v>103.7864</v>
      </c>
      <c r="F132" s="2953">
        <f t="shared" ca="1" si="13"/>
        <v>5113567</v>
      </c>
      <c r="G132" s="2953">
        <f t="shared" ca="1" si="14"/>
        <v>49270</v>
      </c>
      <c r="I132" s="2953">
        <f t="shared" si="18"/>
        <v>102</v>
      </c>
      <c r="J132" s="2953">
        <v>100</v>
      </c>
      <c r="K132" s="2953">
        <f t="shared" si="15"/>
        <v>105.86</v>
      </c>
      <c r="L132" s="2953">
        <f t="shared" ca="1" si="12"/>
        <v>5113567</v>
      </c>
    </row>
    <row r="133" spans="1:12">
      <c r="A133" s="2953" t="s">
        <v>3069</v>
      </c>
      <c r="B133" s="2953" t="s">
        <v>3110</v>
      </c>
      <c r="C133" s="2953">
        <v>10</v>
      </c>
      <c r="D133" s="2953" t="s">
        <v>3107</v>
      </c>
      <c r="E133" s="2953">
        <v>103.7864</v>
      </c>
      <c r="F133" s="2953">
        <f t="shared" ca="1" si="13"/>
        <v>5113567</v>
      </c>
      <c r="G133" s="2953">
        <f t="shared" ca="1" si="14"/>
        <v>49270</v>
      </c>
      <c r="I133" s="2953">
        <f t="shared" si="18"/>
        <v>102</v>
      </c>
      <c r="J133" s="2953">
        <v>100</v>
      </c>
      <c r="K133" s="2953">
        <f t="shared" si="15"/>
        <v>105.86</v>
      </c>
      <c r="L133" s="2953">
        <f t="shared" ca="1" si="12"/>
        <v>5113567</v>
      </c>
    </row>
    <row r="134" spans="1:12">
      <c r="A134" s="2953" t="s">
        <v>3069</v>
      </c>
      <c r="B134" s="2953" t="s">
        <v>3110</v>
      </c>
      <c r="C134" s="2953">
        <v>10</v>
      </c>
      <c r="D134" s="2953" t="s">
        <v>3108</v>
      </c>
      <c r="E134" s="2953">
        <v>131.50129999999999</v>
      </c>
      <c r="F134" s="2953">
        <f t="shared" ca="1" si="13"/>
        <v>6414420</v>
      </c>
      <c r="G134" s="2953">
        <f t="shared" ca="1" si="14"/>
        <v>48778</v>
      </c>
      <c r="I134" s="2953">
        <f t="shared" si="18"/>
        <v>102</v>
      </c>
      <c r="J134" s="2953">
        <v>99</v>
      </c>
      <c r="K134" s="2953">
        <f t="shared" si="15"/>
        <v>132.79</v>
      </c>
      <c r="L134" s="2953">
        <f t="shared" ca="1" si="12"/>
        <v>6414420</v>
      </c>
    </row>
    <row r="135" spans="1:12">
      <c r="A135" s="2953" t="s">
        <v>3069</v>
      </c>
      <c r="B135" s="2953" t="s">
        <v>3110</v>
      </c>
      <c r="C135" s="2953">
        <v>10</v>
      </c>
      <c r="D135" s="2953" t="s">
        <v>3109</v>
      </c>
      <c r="E135" s="2953">
        <v>131.83160000000001</v>
      </c>
      <c r="F135" s="2953">
        <f t="shared" ca="1" si="13"/>
        <v>6430361</v>
      </c>
      <c r="G135" s="2953">
        <f t="shared" ca="1" si="14"/>
        <v>48777</v>
      </c>
      <c r="I135" s="2953">
        <f t="shared" si="18"/>
        <v>102</v>
      </c>
      <c r="J135" s="2953">
        <v>99</v>
      </c>
      <c r="K135" s="2953">
        <f t="shared" si="15"/>
        <v>133.12</v>
      </c>
      <c r="L135" s="2953">
        <f t="shared" ca="1" si="12"/>
        <v>6430361</v>
      </c>
    </row>
    <row r="136" spans="1:12">
      <c r="A136" s="2953" t="s">
        <v>3069</v>
      </c>
      <c r="B136" s="2953" t="s">
        <v>3115</v>
      </c>
      <c r="C136" s="2953">
        <v>10</v>
      </c>
      <c r="D136" s="2953" t="s">
        <v>3071</v>
      </c>
      <c r="E136" s="2953">
        <v>90.76</v>
      </c>
      <c r="F136" s="2953">
        <f t="shared" ca="1" si="13"/>
        <v>4472076</v>
      </c>
      <c r="G136" s="2953">
        <f t="shared" ca="1" si="14"/>
        <v>49274</v>
      </c>
      <c r="I136" s="2953">
        <f t="shared" si="18"/>
        <v>102</v>
      </c>
      <c r="J136" s="2953">
        <v>100</v>
      </c>
      <c r="K136" s="2953">
        <f t="shared" si="15"/>
        <v>92.58</v>
      </c>
      <c r="L136" s="2953">
        <f t="shared" ca="1" si="12"/>
        <v>4472076</v>
      </c>
    </row>
    <row r="137" spans="1:12">
      <c r="A137" s="2953" t="s">
        <v>3069</v>
      </c>
      <c r="B137" s="2953" t="s">
        <v>3115</v>
      </c>
      <c r="C137" s="2953">
        <v>10</v>
      </c>
      <c r="D137" s="2953" t="s">
        <v>3107</v>
      </c>
      <c r="E137" s="2953">
        <v>90.850399999999993</v>
      </c>
      <c r="F137" s="2953">
        <f t="shared" ca="1" si="13"/>
        <v>4476424</v>
      </c>
      <c r="G137" s="2953">
        <f t="shared" ca="1" si="14"/>
        <v>49272</v>
      </c>
      <c r="I137" s="2953">
        <f t="shared" si="18"/>
        <v>102</v>
      </c>
      <c r="J137" s="2953">
        <v>100</v>
      </c>
      <c r="K137" s="2953">
        <f t="shared" si="15"/>
        <v>92.67</v>
      </c>
      <c r="L137" s="2953">
        <f t="shared" ca="1" si="12"/>
        <v>4476424</v>
      </c>
    </row>
    <row r="138" spans="1:12">
      <c r="A138" s="2953" t="s">
        <v>3069</v>
      </c>
      <c r="B138" s="2953" t="s">
        <v>3115</v>
      </c>
      <c r="C138" s="2953">
        <v>10</v>
      </c>
      <c r="D138" s="2953" t="s">
        <v>3108</v>
      </c>
      <c r="E138" s="2953">
        <v>92.628600000000006</v>
      </c>
      <c r="F138" s="2953">
        <f t="shared" ca="1" si="13"/>
        <v>4563856</v>
      </c>
      <c r="G138" s="2953">
        <f t="shared" ca="1" si="14"/>
        <v>49270</v>
      </c>
      <c r="I138" s="2953">
        <f t="shared" si="18"/>
        <v>102</v>
      </c>
      <c r="J138" s="2953">
        <v>100</v>
      </c>
      <c r="K138" s="2953">
        <f t="shared" si="15"/>
        <v>94.48</v>
      </c>
      <c r="L138" s="2953">
        <f t="shared" ca="1" si="12"/>
        <v>4563856</v>
      </c>
    </row>
    <row r="139" spans="1:12">
      <c r="A139" s="2953" t="s">
        <v>3069</v>
      </c>
      <c r="B139" s="2953" t="s">
        <v>3115</v>
      </c>
      <c r="C139" s="2953">
        <v>10</v>
      </c>
      <c r="D139" s="2953" t="s">
        <v>3109</v>
      </c>
      <c r="E139" s="2953">
        <v>92.628600000000006</v>
      </c>
      <c r="F139" s="2953">
        <f t="shared" ca="1" si="13"/>
        <v>4563856</v>
      </c>
      <c r="G139" s="2953">
        <f t="shared" ca="1" si="14"/>
        <v>49270</v>
      </c>
      <c r="I139" s="2953">
        <f t="shared" si="18"/>
        <v>102</v>
      </c>
      <c r="J139" s="2953">
        <v>100</v>
      </c>
      <c r="K139" s="2953">
        <f t="shared" si="15"/>
        <v>94.48</v>
      </c>
      <c r="L139" s="2953">
        <f t="shared" ca="1" si="12"/>
        <v>4563856</v>
      </c>
    </row>
    <row r="140" spans="1:12">
      <c r="A140" s="2953" t="s">
        <v>3069</v>
      </c>
      <c r="B140" s="2953" t="s">
        <v>3106</v>
      </c>
      <c r="C140" s="2953">
        <v>11</v>
      </c>
      <c r="D140" s="2953" t="s">
        <v>3071</v>
      </c>
      <c r="E140" s="2953">
        <v>103.6872</v>
      </c>
      <c r="F140" s="2953">
        <f t="shared" ca="1" si="13"/>
        <v>5121296</v>
      </c>
      <c r="G140" s="2953">
        <f t="shared" ca="1" si="14"/>
        <v>49392</v>
      </c>
      <c r="I140" s="2953">
        <f>I139+$I$34</f>
        <v>102.25</v>
      </c>
      <c r="J140" s="2953">
        <v>100</v>
      </c>
      <c r="K140" s="2953">
        <f t="shared" si="15"/>
        <v>106.02</v>
      </c>
      <c r="L140" s="2953">
        <f t="shared" ca="1" si="12"/>
        <v>5121296</v>
      </c>
    </row>
    <row r="141" spans="1:12">
      <c r="A141" s="2953" t="s">
        <v>3069</v>
      </c>
      <c r="B141" s="2953" t="s">
        <v>3106</v>
      </c>
      <c r="C141" s="2953">
        <v>11</v>
      </c>
      <c r="D141" s="2953" t="s">
        <v>3107</v>
      </c>
      <c r="E141" s="2953">
        <v>103.7864</v>
      </c>
      <c r="F141" s="2953">
        <f t="shared" ca="1" si="13"/>
        <v>5126126</v>
      </c>
      <c r="G141" s="2953">
        <f t="shared" ca="1" si="14"/>
        <v>49391</v>
      </c>
      <c r="I141" s="2953">
        <f>$I$140</f>
        <v>102.25</v>
      </c>
      <c r="J141" s="2953">
        <v>100</v>
      </c>
      <c r="K141" s="2953">
        <f t="shared" si="15"/>
        <v>106.12</v>
      </c>
      <c r="L141" s="2953">
        <f t="shared" ca="1" si="12"/>
        <v>5126126</v>
      </c>
    </row>
    <row r="142" spans="1:12">
      <c r="A142" s="2953" t="s">
        <v>3069</v>
      </c>
      <c r="B142" s="2953" t="s">
        <v>3106</v>
      </c>
      <c r="C142" s="2953">
        <v>11</v>
      </c>
      <c r="D142" s="2953" t="s">
        <v>3108</v>
      </c>
      <c r="E142" s="2953">
        <v>131.83160000000001</v>
      </c>
      <c r="F142" s="2953">
        <f t="shared" ca="1" si="13"/>
        <v>6446302</v>
      </c>
      <c r="G142" s="2953">
        <f t="shared" ca="1" si="14"/>
        <v>48898</v>
      </c>
      <c r="I142" s="2953">
        <f t="shared" ref="I142:I151" si="19">$I$140</f>
        <v>102.25</v>
      </c>
      <c r="J142" s="2953">
        <v>99</v>
      </c>
      <c r="K142" s="2953">
        <f t="shared" si="15"/>
        <v>133.44999999999999</v>
      </c>
      <c r="L142" s="2953">
        <f t="shared" ca="1" si="12"/>
        <v>6446302</v>
      </c>
    </row>
    <row r="143" spans="1:12">
      <c r="A143" s="2953" t="s">
        <v>3069</v>
      </c>
      <c r="B143" s="2953" t="s">
        <v>3106</v>
      </c>
      <c r="C143" s="2953">
        <v>11</v>
      </c>
      <c r="D143" s="2953" t="s">
        <v>3109</v>
      </c>
      <c r="E143" s="2953">
        <v>131.6439</v>
      </c>
      <c r="F143" s="2953">
        <f t="shared" ca="1" si="13"/>
        <v>6437124</v>
      </c>
      <c r="G143" s="2953">
        <f t="shared" ca="1" si="14"/>
        <v>48898</v>
      </c>
      <c r="I143" s="2953">
        <f t="shared" si="19"/>
        <v>102.25</v>
      </c>
      <c r="J143" s="2953">
        <v>99</v>
      </c>
      <c r="K143" s="2953">
        <f t="shared" si="15"/>
        <v>133.26</v>
      </c>
      <c r="L143" s="2953">
        <f t="shared" ca="1" si="12"/>
        <v>6437124</v>
      </c>
    </row>
    <row r="144" spans="1:12">
      <c r="A144" s="2953" t="s">
        <v>3069</v>
      </c>
      <c r="B144" s="2953" t="s">
        <v>3110</v>
      </c>
      <c r="C144" s="2953">
        <v>11</v>
      </c>
      <c r="D144" s="2953" t="s">
        <v>3071</v>
      </c>
      <c r="E144" s="2953">
        <v>103.7864</v>
      </c>
      <c r="F144" s="2953">
        <f t="shared" ca="1" si="13"/>
        <v>5126126</v>
      </c>
      <c r="G144" s="2953">
        <f t="shared" ca="1" si="14"/>
        <v>49391</v>
      </c>
      <c r="I144" s="2953">
        <f t="shared" si="19"/>
        <v>102.25</v>
      </c>
      <c r="J144" s="2953">
        <v>100</v>
      </c>
      <c r="K144" s="2953">
        <f t="shared" si="15"/>
        <v>106.12</v>
      </c>
      <c r="L144" s="2953">
        <f t="shared" ca="1" si="12"/>
        <v>5126126</v>
      </c>
    </row>
    <row r="145" spans="1:12">
      <c r="A145" s="2953" t="s">
        <v>3069</v>
      </c>
      <c r="B145" s="2953" t="s">
        <v>3110</v>
      </c>
      <c r="C145" s="2953">
        <v>11</v>
      </c>
      <c r="D145" s="2953" t="s">
        <v>3107</v>
      </c>
      <c r="E145" s="2953">
        <v>103.7864</v>
      </c>
      <c r="F145" s="2953">
        <f t="shared" ca="1" si="13"/>
        <v>5126126</v>
      </c>
      <c r="G145" s="2953">
        <f t="shared" ca="1" si="14"/>
        <v>49391</v>
      </c>
      <c r="I145" s="2953">
        <f t="shared" si="19"/>
        <v>102.25</v>
      </c>
      <c r="J145" s="2953">
        <v>100</v>
      </c>
      <c r="K145" s="2953">
        <f t="shared" si="15"/>
        <v>106.12</v>
      </c>
      <c r="L145" s="2953">
        <f t="shared" ca="1" si="12"/>
        <v>5126126</v>
      </c>
    </row>
    <row r="146" spans="1:12">
      <c r="A146" s="2953" t="s">
        <v>3069</v>
      </c>
      <c r="B146" s="2953" t="s">
        <v>3110</v>
      </c>
      <c r="C146" s="2953">
        <v>11</v>
      </c>
      <c r="D146" s="2953" t="s">
        <v>3108</v>
      </c>
      <c r="E146" s="2953">
        <v>131.50129999999999</v>
      </c>
      <c r="F146" s="2953">
        <f t="shared" ca="1" si="13"/>
        <v>6430361</v>
      </c>
      <c r="G146" s="2953">
        <f t="shared" ca="1" si="14"/>
        <v>48900</v>
      </c>
      <c r="I146" s="2953">
        <f t="shared" si="19"/>
        <v>102.25</v>
      </c>
      <c r="J146" s="2953">
        <v>99</v>
      </c>
      <c r="K146" s="2953">
        <f t="shared" si="15"/>
        <v>133.12</v>
      </c>
      <c r="L146" s="2953">
        <f t="shared" ca="1" si="12"/>
        <v>6430361</v>
      </c>
    </row>
    <row r="147" spans="1:12">
      <c r="A147" s="2953" t="s">
        <v>3069</v>
      </c>
      <c r="B147" s="2953" t="s">
        <v>3110</v>
      </c>
      <c r="C147" s="2953">
        <v>11</v>
      </c>
      <c r="D147" s="2953" t="s">
        <v>3109</v>
      </c>
      <c r="E147" s="2953">
        <v>131.83160000000001</v>
      </c>
      <c r="F147" s="2953">
        <f t="shared" ca="1" si="13"/>
        <v>6446302</v>
      </c>
      <c r="G147" s="2953">
        <f t="shared" ca="1" si="14"/>
        <v>48898</v>
      </c>
      <c r="I147" s="2953">
        <f t="shared" si="19"/>
        <v>102.25</v>
      </c>
      <c r="J147" s="2953">
        <v>99</v>
      </c>
      <c r="K147" s="2953">
        <f t="shared" si="15"/>
        <v>133.44999999999999</v>
      </c>
      <c r="L147" s="2953">
        <f t="shared" ca="1" si="12"/>
        <v>6446302</v>
      </c>
    </row>
    <row r="148" spans="1:12">
      <c r="A148" s="2953" t="s">
        <v>3069</v>
      </c>
      <c r="B148" s="2953" t="s">
        <v>3115</v>
      </c>
      <c r="C148" s="2953">
        <v>11</v>
      </c>
      <c r="D148" s="2953" t="s">
        <v>3071</v>
      </c>
      <c r="E148" s="2953">
        <v>90.76</v>
      </c>
      <c r="F148" s="2953">
        <f t="shared" ca="1" si="13"/>
        <v>4482704</v>
      </c>
      <c r="G148" s="2953">
        <f t="shared" ca="1" si="14"/>
        <v>49391</v>
      </c>
      <c r="I148" s="2953">
        <f t="shared" si="19"/>
        <v>102.25</v>
      </c>
      <c r="J148" s="2953">
        <v>100</v>
      </c>
      <c r="K148" s="2953">
        <f t="shared" si="15"/>
        <v>92.8</v>
      </c>
      <c r="L148" s="2953">
        <f t="shared" ca="1" si="12"/>
        <v>4482704</v>
      </c>
    </row>
    <row r="149" spans="1:12">
      <c r="A149" s="2953" t="s">
        <v>3069</v>
      </c>
      <c r="B149" s="2953" t="s">
        <v>3115</v>
      </c>
      <c r="C149" s="2953">
        <v>11</v>
      </c>
      <c r="D149" s="2953" t="s">
        <v>3107</v>
      </c>
      <c r="E149" s="2953">
        <v>90.850399999999993</v>
      </c>
      <c r="F149" s="2953">
        <f t="shared" ca="1" si="13"/>
        <v>4487051</v>
      </c>
      <c r="G149" s="2953">
        <f t="shared" ca="1" si="14"/>
        <v>49389</v>
      </c>
      <c r="I149" s="2953">
        <f t="shared" si="19"/>
        <v>102.25</v>
      </c>
      <c r="J149" s="2953">
        <v>100</v>
      </c>
      <c r="K149" s="2953">
        <f t="shared" si="15"/>
        <v>92.89</v>
      </c>
      <c r="L149" s="2953">
        <f t="shared" ca="1" si="12"/>
        <v>4487051</v>
      </c>
    </row>
    <row r="150" spans="1:12">
      <c r="A150" s="2953" t="s">
        <v>3069</v>
      </c>
      <c r="B150" s="2953" t="s">
        <v>3115</v>
      </c>
      <c r="C150" s="2953">
        <v>11</v>
      </c>
      <c r="D150" s="2953" t="s">
        <v>3108</v>
      </c>
      <c r="E150" s="2953">
        <v>92.628600000000006</v>
      </c>
      <c r="F150" s="2953">
        <f t="shared" ca="1" si="13"/>
        <v>4574966</v>
      </c>
      <c r="G150" s="2953">
        <f t="shared" ca="1" si="14"/>
        <v>49390</v>
      </c>
      <c r="I150" s="2953">
        <f t="shared" si="19"/>
        <v>102.25</v>
      </c>
      <c r="J150" s="2953">
        <v>100</v>
      </c>
      <c r="K150" s="2953">
        <f t="shared" si="15"/>
        <v>94.71</v>
      </c>
      <c r="L150" s="2953">
        <f t="shared" ca="1" si="12"/>
        <v>4574966</v>
      </c>
    </row>
    <row r="151" spans="1:12">
      <c r="A151" s="2953" t="s">
        <v>3069</v>
      </c>
      <c r="B151" s="2953" t="s">
        <v>3115</v>
      </c>
      <c r="C151" s="2953">
        <v>11</v>
      </c>
      <c r="D151" s="2953" t="s">
        <v>3109</v>
      </c>
      <c r="E151" s="2953">
        <v>92.628600000000006</v>
      </c>
      <c r="F151" s="2953">
        <f t="shared" ca="1" si="13"/>
        <v>4574966</v>
      </c>
      <c r="G151" s="2953">
        <f t="shared" ca="1" si="14"/>
        <v>49390</v>
      </c>
      <c r="I151" s="2953">
        <f t="shared" si="19"/>
        <v>102.25</v>
      </c>
      <c r="J151" s="2953">
        <v>100</v>
      </c>
      <c r="K151" s="2953">
        <f t="shared" si="15"/>
        <v>94.71</v>
      </c>
      <c r="L151" s="2953">
        <f t="shared" ca="1" si="12"/>
        <v>4574966</v>
      </c>
    </row>
    <row r="152" spans="1:12">
      <c r="A152" s="2953" t="s">
        <v>3069</v>
      </c>
      <c r="B152" s="2953" t="s">
        <v>3106</v>
      </c>
      <c r="C152" s="2953">
        <v>12</v>
      </c>
      <c r="D152" s="2953" t="s">
        <v>3071</v>
      </c>
      <c r="E152" s="2953">
        <v>103.6872</v>
      </c>
      <c r="F152" s="2953">
        <f t="shared" ca="1" si="13"/>
        <v>5133855</v>
      </c>
      <c r="G152" s="2953">
        <f t="shared" ca="1" si="14"/>
        <v>49513</v>
      </c>
      <c r="I152" s="2953">
        <f>I151+$I$34</f>
        <v>102.5</v>
      </c>
      <c r="J152" s="2953">
        <v>100</v>
      </c>
      <c r="K152" s="2953">
        <f t="shared" si="15"/>
        <v>106.28</v>
      </c>
      <c r="L152" s="2953">
        <f t="shared" ca="1" si="12"/>
        <v>5133855</v>
      </c>
    </row>
    <row r="153" spans="1:12">
      <c r="A153" s="2953" t="s">
        <v>3069</v>
      </c>
      <c r="B153" s="2953" t="s">
        <v>3106</v>
      </c>
      <c r="C153" s="2953">
        <v>12</v>
      </c>
      <c r="D153" s="2953" t="s">
        <v>3107</v>
      </c>
      <c r="E153" s="2953">
        <v>103.7864</v>
      </c>
      <c r="F153" s="2953">
        <f t="shared" ca="1" si="13"/>
        <v>5138685</v>
      </c>
      <c r="G153" s="2953">
        <f t="shared" ca="1" si="14"/>
        <v>49512</v>
      </c>
      <c r="I153" s="2953">
        <f>$I$152</f>
        <v>102.5</v>
      </c>
      <c r="J153" s="2953">
        <v>100</v>
      </c>
      <c r="K153" s="2953">
        <f t="shared" si="15"/>
        <v>106.38</v>
      </c>
      <c r="L153" s="2953">
        <f t="shared" ca="1" si="12"/>
        <v>5138685</v>
      </c>
    </row>
    <row r="154" spans="1:12">
      <c r="A154" s="2953" t="s">
        <v>3069</v>
      </c>
      <c r="B154" s="2953" t="s">
        <v>3106</v>
      </c>
      <c r="C154" s="2953">
        <v>12</v>
      </c>
      <c r="D154" s="2953" t="s">
        <v>3108</v>
      </c>
      <c r="E154" s="2953">
        <v>131.83160000000001</v>
      </c>
      <c r="F154" s="2953">
        <f t="shared" ca="1" si="13"/>
        <v>6462242</v>
      </c>
      <c r="G154" s="2953">
        <f t="shared" ca="1" si="14"/>
        <v>49019</v>
      </c>
      <c r="I154" s="2953">
        <f t="shared" ref="I154:I163" si="20">$I$152</f>
        <v>102.5</v>
      </c>
      <c r="J154" s="2953">
        <v>99</v>
      </c>
      <c r="K154" s="2953">
        <f t="shared" si="15"/>
        <v>133.78</v>
      </c>
      <c r="L154" s="2953">
        <f t="shared" ca="1" si="12"/>
        <v>6462242</v>
      </c>
    </row>
    <row r="155" spans="1:12">
      <c r="A155" s="2953" t="s">
        <v>3069</v>
      </c>
      <c r="B155" s="2953" t="s">
        <v>3106</v>
      </c>
      <c r="C155" s="2953">
        <v>12</v>
      </c>
      <c r="D155" s="2953" t="s">
        <v>3109</v>
      </c>
      <c r="E155" s="2953">
        <v>131.6439</v>
      </c>
      <c r="F155" s="2953">
        <f t="shared" ca="1" si="13"/>
        <v>6453064</v>
      </c>
      <c r="G155" s="2953">
        <f t="shared" ca="1" si="14"/>
        <v>49019</v>
      </c>
      <c r="I155" s="2953">
        <f t="shared" si="20"/>
        <v>102.5</v>
      </c>
      <c r="J155" s="2953">
        <v>99</v>
      </c>
      <c r="K155" s="2953">
        <f t="shared" si="15"/>
        <v>133.59</v>
      </c>
      <c r="L155" s="2953">
        <f t="shared" ca="1" si="12"/>
        <v>6453064</v>
      </c>
    </row>
    <row r="156" spans="1:12">
      <c r="A156" s="2953" t="s">
        <v>3069</v>
      </c>
      <c r="B156" s="2953" t="s">
        <v>3110</v>
      </c>
      <c r="C156" s="2953">
        <v>12</v>
      </c>
      <c r="D156" s="2953" t="s">
        <v>3071</v>
      </c>
      <c r="E156" s="2953">
        <v>103.7864</v>
      </c>
      <c r="F156" s="2953">
        <f t="shared" ca="1" si="13"/>
        <v>5138685</v>
      </c>
      <c r="G156" s="2953">
        <f t="shared" ca="1" si="14"/>
        <v>49512</v>
      </c>
      <c r="I156" s="2953">
        <f t="shared" si="20"/>
        <v>102.5</v>
      </c>
      <c r="J156" s="2953">
        <v>100</v>
      </c>
      <c r="K156" s="2953">
        <f t="shared" si="15"/>
        <v>106.38</v>
      </c>
      <c r="L156" s="2953">
        <f t="shared" ca="1" si="12"/>
        <v>5138685</v>
      </c>
    </row>
    <row r="157" spans="1:12">
      <c r="A157" s="2953" t="s">
        <v>3069</v>
      </c>
      <c r="B157" s="2953" t="s">
        <v>3110</v>
      </c>
      <c r="C157" s="2953">
        <v>12</v>
      </c>
      <c r="D157" s="2953" t="s">
        <v>3107</v>
      </c>
      <c r="E157" s="2953">
        <v>103.7864</v>
      </c>
      <c r="F157" s="2953">
        <f t="shared" ca="1" si="13"/>
        <v>5138685</v>
      </c>
      <c r="G157" s="2953">
        <f t="shared" ca="1" si="14"/>
        <v>49512</v>
      </c>
      <c r="I157" s="2953">
        <f t="shared" si="20"/>
        <v>102.5</v>
      </c>
      <c r="J157" s="2953">
        <v>100</v>
      </c>
      <c r="K157" s="2953">
        <f t="shared" si="15"/>
        <v>106.38</v>
      </c>
      <c r="L157" s="2953">
        <f t="shared" ca="1" si="12"/>
        <v>5138685</v>
      </c>
    </row>
    <row r="158" spans="1:12">
      <c r="A158" s="2953" t="s">
        <v>3069</v>
      </c>
      <c r="B158" s="2953" t="s">
        <v>3110</v>
      </c>
      <c r="C158" s="2953">
        <v>12</v>
      </c>
      <c r="D158" s="2953" t="s">
        <v>3108</v>
      </c>
      <c r="E158" s="2953">
        <v>131.50129999999999</v>
      </c>
      <c r="F158" s="2953">
        <f t="shared" ca="1" si="13"/>
        <v>6445818</v>
      </c>
      <c r="G158" s="2953">
        <f t="shared" ca="1" si="14"/>
        <v>49017</v>
      </c>
      <c r="I158" s="2953">
        <f t="shared" si="20"/>
        <v>102.5</v>
      </c>
      <c r="J158" s="2953">
        <v>99</v>
      </c>
      <c r="K158" s="2953">
        <f t="shared" si="15"/>
        <v>133.44</v>
      </c>
      <c r="L158" s="2953">
        <f t="shared" ca="1" si="12"/>
        <v>6445818</v>
      </c>
    </row>
    <row r="159" spans="1:12">
      <c r="A159" s="2953" t="s">
        <v>3069</v>
      </c>
      <c r="B159" s="2953" t="s">
        <v>3110</v>
      </c>
      <c r="C159" s="2953">
        <v>12</v>
      </c>
      <c r="D159" s="2953" t="s">
        <v>3109</v>
      </c>
      <c r="E159" s="2953">
        <v>131.83160000000001</v>
      </c>
      <c r="F159" s="2953">
        <f t="shared" ca="1" si="13"/>
        <v>6462242</v>
      </c>
      <c r="G159" s="2953">
        <f t="shared" ca="1" si="14"/>
        <v>49019</v>
      </c>
      <c r="I159" s="2953">
        <f t="shared" si="20"/>
        <v>102.5</v>
      </c>
      <c r="J159" s="2953">
        <v>99</v>
      </c>
      <c r="K159" s="2953">
        <f t="shared" si="15"/>
        <v>133.78</v>
      </c>
      <c r="L159" s="2953">
        <f t="shared" ca="1" si="12"/>
        <v>6462242</v>
      </c>
    </row>
    <row r="160" spans="1:12">
      <c r="A160" s="2953" t="s">
        <v>3069</v>
      </c>
      <c r="B160" s="2953" t="s">
        <v>3115</v>
      </c>
      <c r="C160" s="2953">
        <v>12</v>
      </c>
      <c r="D160" s="2953" t="s">
        <v>3071</v>
      </c>
      <c r="E160" s="2953">
        <v>90.76</v>
      </c>
      <c r="F160" s="2953">
        <f t="shared" ca="1" si="13"/>
        <v>4493814</v>
      </c>
      <c r="G160" s="2953">
        <f t="shared" ca="1" si="14"/>
        <v>49513</v>
      </c>
      <c r="I160" s="2953">
        <f t="shared" si="20"/>
        <v>102.5</v>
      </c>
      <c r="J160" s="2953">
        <v>100</v>
      </c>
      <c r="K160" s="2953">
        <f t="shared" si="15"/>
        <v>93.03</v>
      </c>
      <c r="L160" s="2953">
        <f t="shared" ca="1" si="12"/>
        <v>4493814</v>
      </c>
    </row>
    <row r="161" spans="1:12">
      <c r="A161" s="2953" t="s">
        <v>3069</v>
      </c>
      <c r="B161" s="2953" t="s">
        <v>3115</v>
      </c>
      <c r="C161" s="2953">
        <v>12</v>
      </c>
      <c r="D161" s="2953" t="s">
        <v>3107</v>
      </c>
      <c r="E161" s="2953">
        <v>90.850399999999993</v>
      </c>
      <c r="F161" s="2953">
        <f t="shared" ca="1" si="13"/>
        <v>4498161</v>
      </c>
      <c r="G161" s="2953">
        <f t="shared" ca="1" si="14"/>
        <v>49512</v>
      </c>
      <c r="I161" s="2953">
        <f t="shared" si="20"/>
        <v>102.5</v>
      </c>
      <c r="J161" s="2953">
        <v>100</v>
      </c>
      <c r="K161" s="2953">
        <f t="shared" si="15"/>
        <v>93.12</v>
      </c>
      <c r="L161" s="2953">
        <f t="shared" ca="1" si="12"/>
        <v>4498161</v>
      </c>
    </row>
    <row r="162" spans="1:12">
      <c r="A162" s="2953" t="s">
        <v>3069</v>
      </c>
      <c r="B162" s="2953" t="s">
        <v>3115</v>
      </c>
      <c r="C162" s="2953">
        <v>12</v>
      </c>
      <c r="D162" s="2953" t="s">
        <v>3108</v>
      </c>
      <c r="E162" s="2953">
        <v>92.628600000000006</v>
      </c>
      <c r="F162" s="2953">
        <f t="shared" ca="1" si="13"/>
        <v>4586076</v>
      </c>
      <c r="G162" s="2953">
        <f t="shared" ca="1" si="14"/>
        <v>49510</v>
      </c>
      <c r="I162" s="2953">
        <f t="shared" si="20"/>
        <v>102.5</v>
      </c>
      <c r="J162" s="2953">
        <v>100</v>
      </c>
      <c r="K162" s="2953">
        <f t="shared" si="15"/>
        <v>94.94</v>
      </c>
      <c r="L162" s="2953">
        <f t="shared" ca="1" si="12"/>
        <v>4586076</v>
      </c>
    </row>
    <row r="163" spans="1:12">
      <c r="A163" s="2953" t="s">
        <v>3069</v>
      </c>
      <c r="B163" s="2953" t="s">
        <v>3115</v>
      </c>
      <c r="C163" s="2953">
        <v>12</v>
      </c>
      <c r="D163" s="2953" t="s">
        <v>3109</v>
      </c>
      <c r="E163" s="2953">
        <v>92.628600000000006</v>
      </c>
      <c r="F163" s="2953">
        <f t="shared" ca="1" si="13"/>
        <v>4586076</v>
      </c>
      <c r="G163" s="2953">
        <f t="shared" ca="1" si="14"/>
        <v>49510</v>
      </c>
      <c r="I163" s="2953">
        <f t="shared" si="20"/>
        <v>102.5</v>
      </c>
      <c r="J163" s="2953">
        <v>100</v>
      </c>
      <c r="K163" s="2953">
        <f t="shared" si="15"/>
        <v>94.94</v>
      </c>
      <c r="L163" s="2953">
        <f t="shared" ca="1" si="12"/>
        <v>4586076</v>
      </c>
    </row>
    <row r="164" spans="1:12">
      <c r="A164" s="2953" t="s">
        <v>3069</v>
      </c>
      <c r="B164" s="2953" t="s">
        <v>3106</v>
      </c>
      <c r="C164" s="2953">
        <v>13</v>
      </c>
      <c r="D164" s="2953" t="s">
        <v>3071</v>
      </c>
      <c r="E164" s="2953">
        <v>103.6872</v>
      </c>
      <c r="F164" s="2953">
        <f t="shared" ca="1" si="13"/>
        <v>5146414</v>
      </c>
      <c r="G164" s="2953">
        <f t="shared" ca="1" si="14"/>
        <v>49634</v>
      </c>
      <c r="I164" s="2953">
        <f>I163+$I$34</f>
        <v>102.75</v>
      </c>
      <c r="J164" s="2953">
        <v>100</v>
      </c>
      <c r="K164" s="2953">
        <f t="shared" si="15"/>
        <v>106.54</v>
      </c>
      <c r="L164" s="2953">
        <f t="shared" ref="L164:L227" ca="1" si="21">ROUND($L$392/$K$392*K164*10000,0)</f>
        <v>5146414</v>
      </c>
    </row>
    <row r="165" spans="1:12">
      <c r="A165" s="2953" t="s">
        <v>3069</v>
      </c>
      <c r="B165" s="2953" t="s">
        <v>3106</v>
      </c>
      <c r="C165" s="2953">
        <v>13</v>
      </c>
      <c r="D165" s="2953" t="s">
        <v>3107</v>
      </c>
      <c r="E165" s="2953">
        <v>103.7864</v>
      </c>
      <c r="F165" s="2953">
        <f t="shared" ref="F165:F228" ca="1" si="22">L165</f>
        <v>5151245</v>
      </c>
      <c r="G165" s="2953">
        <f t="shared" ref="G165:G228" ca="1" si="23">ROUND(F165/E165,0)</f>
        <v>49633</v>
      </c>
      <c r="I165" s="2953">
        <f>$I$164</f>
        <v>102.75</v>
      </c>
      <c r="J165" s="2953">
        <v>100</v>
      </c>
      <c r="K165" s="2953">
        <f t="shared" ref="K165:K228" si="24">ROUND(E165*1*I165/100*J165/100,2)</f>
        <v>106.64</v>
      </c>
      <c r="L165" s="2953">
        <f t="shared" ca="1" si="21"/>
        <v>5151245</v>
      </c>
    </row>
    <row r="166" spans="1:12">
      <c r="A166" s="2953" t="s">
        <v>3069</v>
      </c>
      <c r="B166" s="2953" t="s">
        <v>3106</v>
      </c>
      <c r="C166" s="2953">
        <v>13</v>
      </c>
      <c r="D166" s="2953" t="s">
        <v>3108</v>
      </c>
      <c r="E166" s="2953">
        <v>131.83160000000001</v>
      </c>
      <c r="F166" s="2953">
        <f t="shared" ca="1" si="22"/>
        <v>6477700</v>
      </c>
      <c r="G166" s="2953">
        <f t="shared" ca="1" si="23"/>
        <v>49136</v>
      </c>
      <c r="I166" s="2953">
        <f t="shared" ref="I166:I175" si="25">$I$164</f>
        <v>102.75</v>
      </c>
      <c r="J166" s="2953">
        <v>99</v>
      </c>
      <c r="K166" s="2953">
        <f t="shared" si="24"/>
        <v>134.1</v>
      </c>
      <c r="L166" s="2953">
        <f t="shared" ca="1" si="21"/>
        <v>6477700</v>
      </c>
    </row>
    <row r="167" spans="1:12">
      <c r="A167" s="2953" t="s">
        <v>3069</v>
      </c>
      <c r="B167" s="2953" t="s">
        <v>3106</v>
      </c>
      <c r="C167" s="2953">
        <v>13</v>
      </c>
      <c r="D167" s="2953" t="s">
        <v>3109</v>
      </c>
      <c r="E167" s="2953">
        <v>131.6439</v>
      </c>
      <c r="F167" s="2953">
        <f t="shared" ca="1" si="22"/>
        <v>6468522</v>
      </c>
      <c r="G167" s="2953">
        <f t="shared" ca="1" si="23"/>
        <v>49137</v>
      </c>
      <c r="I167" s="2953">
        <f t="shared" si="25"/>
        <v>102.75</v>
      </c>
      <c r="J167" s="2953">
        <v>99</v>
      </c>
      <c r="K167" s="2953">
        <f t="shared" si="24"/>
        <v>133.91</v>
      </c>
      <c r="L167" s="2953">
        <f t="shared" ca="1" si="21"/>
        <v>6468522</v>
      </c>
    </row>
    <row r="168" spans="1:12">
      <c r="A168" s="2953" t="s">
        <v>3069</v>
      </c>
      <c r="B168" s="2953" t="s">
        <v>3110</v>
      </c>
      <c r="C168" s="2953">
        <v>13</v>
      </c>
      <c r="D168" s="2953" t="s">
        <v>3071</v>
      </c>
      <c r="E168" s="2953">
        <v>103.7864</v>
      </c>
      <c r="F168" s="2953">
        <f t="shared" ca="1" si="22"/>
        <v>5151245</v>
      </c>
      <c r="G168" s="2953">
        <f t="shared" ca="1" si="23"/>
        <v>49633</v>
      </c>
      <c r="I168" s="2953">
        <f t="shared" si="25"/>
        <v>102.75</v>
      </c>
      <c r="J168" s="2953">
        <v>100</v>
      </c>
      <c r="K168" s="2953">
        <f t="shared" si="24"/>
        <v>106.64</v>
      </c>
      <c r="L168" s="2953">
        <f t="shared" ca="1" si="21"/>
        <v>5151245</v>
      </c>
    </row>
    <row r="169" spans="1:12">
      <c r="A169" s="2953" t="s">
        <v>3069</v>
      </c>
      <c r="B169" s="2953" t="s">
        <v>3110</v>
      </c>
      <c r="C169" s="2953">
        <v>13</v>
      </c>
      <c r="D169" s="2953" t="s">
        <v>3107</v>
      </c>
      <c r="E169" s="2953">
        <v>103.7864</v>
      </c>
      <c r="F169" s="2953">
        <f t="shared" ca="1" si="22"/>
        <v>5151245</v>
      </c>
      <c r="G169" s="2953">
        <f t="shared" ca="1" si="23"/>
        <v>49633</v>
      </c>
      <c r="I169" s="2953">
        <f t="shared" si="25"/>
        <v>102.75</v>
      </c>
      <c r="J169" s="2953">
        <v>100</v>
      </c>
      <c r="K169" s="2953">
        <f t="shared" si="24"/>
        <v>106.64</v>
      </c>
      <c r="L169" s="2953">
        <f t="shared" ca="1" si="21"/>
        <v>5151245</v>
      </c>
    </row>
    <row r="170" spans="1:12">
      <c r="A170" s="2953" t="s">
        <v>3069</v>
      </c>
      <c r="B170" s="2953" t="s">
        <v>3110</v>
      </c>
      <c r="C170" s="2953">
        <v>13</v>
      </c>
      <c r="D170" s="2953" t="s">
        <v>3108</v>
      </c>
      <c r="E170" s="2953">
        <v>131.50129999999999</v>
      </c>
      <c r="F170" s="2953">
        <f t="shared" ca="1" si="22"/>
        <v>6461759</v>
      </c>
      <c r="G170" s="2953">
        <f t="shared" ca="1" si="23"/>
        <v>49138</v>
      </c>
      <c r="I170" s="2953">
        <f t="shared" si="25"/>
        <v>102.75</v>
      </c>
      <c r="J170" s="2953">
        <v>99</v>
      </c>
      <c r="K170" s="2953">
        <f t="shared" si="24"/>
        <v>133.77000000000001</v>
      </c>
      <c r="L170" s="2953">
        <f t="shared" ca="1" si="21"/>
        <v>6461759</v>
      </c>
    </row>
    <row r="171" spans="1:12">
      <c r="A171" s="2953" t="s">
        <v>3069</v>
      </c>
      <c r="B171" s="2953" t="s">
        <v>3110</v>
      </c>
      <c r="C171" s="2953">
        <v>13</v>
      </c>
      <c r="D171" s="2953" t="s">
        <v>3109</v>
      </c>
      <c r="E171" s="2953">
        <v>131.83160000000001</v>
      </c>
      <c r="F171" s="2953">
        <f t="shared" ca="1" si="22"/>
        <v>6477700</v>
      </c>
      <c r="G171" s="2953">
        <f t="shared" ca="1" si="23"/>
        <v>49136</v>
      </c>
      <c r="I171" s="2953">
        <f t="shared" si="25"/>
        <v>102.75</v>
      </c>
      <c r="J171" s="2953">
        <v>99</v>
      </c>
      <c r="K171" s="2953">
        <f t="shared" si="24"/>
        <v>134.1</v>
      </c>
      <c r="L171" s="2953">
        <f t="shared" ca="1" si="21"/>
        <v>6477700</v>
      </c>
    </row>
    <row r="172" spans="1:12">
      <c r="A172" s="2953" t="s">
        <v>3069</v>
      </c>
      <c r="B172" s="2953" t="s">
        <v>3115</v>
      </c>
      <c r="C172" s="2953">
        <v>13</v>
      </c>
      <c r="D172" s="2953" t="s">
        <v>3071</v>
      </c>
      <c r="E172" s="2953">
        <v>90.76</v>
      </c>
      <c r="F172" s="2953">
        <f t="shared" ca="1" si="22"/>
        <v>4504924</v>
      </c>
      <c r="G172" s="2953">
        <f t="shared" ca="1" si="23"/>
        <v>49636</v>
      </c>
      <c r="I172" s="2953">
        <f t="shared" si="25"/>
        <v>102.75</v>
      </c>
      <c r="J172" s="2953">
        <v>100</v>
      </c>
      <c r="K172" s="2953">
        <f t="shared" si="24"/>
        <v>93.26</v>
      </c>
      <c r="L172" s="2953">
        <f t="shared" ca="1" si="21"/>
        <v>4504924</v>
      </c>
    </row>
    <row r="173" spans="1:12">
      <c r="A173" s="2953" t="s">
        <v>3069</v>
      </c>
      <c r="B173" s="2953" t="s">
        <v>3115</v>
      </c>
      <c r="C173" s="2953">
        <v>13</v>
      </c>
      <c r="D173" s="2953" t="s">
        <v>3107</v>
      </c>
      <c r="E173" s="2953">
        <v>90.850399999999993</v>
      </c>
      <c r="F173" s="2953">
        <f t="shared" ca="1" si="22"/>
        <v>4509271</v>
      </c>
      <c r="G173" s="2953">
        <f t="shared" ca="1" si="23"/>
        <v>49634</v>
      </c>
      <c r="I173" s="2953">
        <f t="shared" si="25"/>
        <v>102.75</v>
      </c>
      <c r="J173" s="2953">
        <v>100</v>
      </c>
      <c r="K173" s="2953">
        <f t="shared" si="24"/>
        <v>93.35</v>
      </c>
      <c r="L173" s="2953">
        <f t="shared" ca="1" si="21"/>
        <v>4509271</v>
      </c>
    </row>
    <row r="174" spans="1:12">
      <c r="A174" s="2953" t="s">
        <v>3069</v>
      </c>
      <c r="B174" s="2953" t="s">
        <v>3115</v>
      </c>
      <c r="C174" s="2953">
        <v>13</v>
      </c>
      <c r="D174" s="2953" t="s">
        <v>3108</v>
      </c>
      <c r="E174" s="2953">
        <v>92.628600000000006</v>
      </c>
      <c r="F174" s="2953">
        <f t="shared" ca="1" si="22"/>
        <v>4597669</v>
      </c>
      <c r="G174" s="2953">
        <f t="shared" ca="1" si="23"/>
        <v>49636</v>
      </c>
      <c r="I174" s="2953">
        <f t="shared" si="25"/>
        <v>102.75</v>
      </c>
      <c r="J174" s="2953">
        <v>100</v>
      </c>
      <c r="K174" s="2953">
        <f t="shared" si="24"/>
        <v>95.18</v>
      </c>
      <c r="L174" s="2953">
        <f t="shared" ca="1" si="21"/>
        <v>4597669</v>
      </c>
    </row>
    <row r="175" spans="1:12">
      <c r="A175" s="2953" t="s">
        <v>3069</v>
      </c>
      <c r="B175" s="2953" t="s">
        <v>3115</v>
      </c>
      <c r="C175" s="2953">
        <v>13</v>
      </c>
      <c r="D175" s="2953" t="s">
        <v>3109</v>
      </c>
      <c r="E175" s="2953">
        <v>92.628600000000006</v>
      </c>
      <c r="F175" s="2953">
        <f t="shared" ca="1" si="22"/>
        <v>4597669</v>
      </c>
      <c r="G175" s="2953">
        <f t="shared" ca="1" si="23"/>
        <v>49636</v>
      </c>
      <c r="I175" s="2953">
        <f t="shared" si="25"/>
        <v>102.75</v>
      </c>
      <c r="J175" s="2953">
        <v>100</v>
      </c>
      <c r="K175" s="2953">
        <f t="shared" si="24"/>
        <v>95.18</v>
      </c>
      <c r="L175" s="2953">
        <f t="shared" ca="1" si="21"/>
        <v>4597669</v>
      </c>
    </row>
    <row r="176" spans="1:12">
      <c r="A176" s="2953" t="s">
        <v>3069</v>
      </c>
      <c r="B176" s="2953" t="s">
        <v>3106</v>
      </c>
      <c r="C176" s="2953">
        <v>14</v>
      </c>
      <c r="D176" s="2953" t="s">
        <v>3071</v>
      </c>
      <c r="E176" s="2953">
        <v>103.6872</v>
      </c>
      <c r="F176" s="2953">
        <f t="shared" ca="1" si="22"/>
        <v>5158973</v>
      </c>
      <c r="G176" s="2953">
        <f t="shared" ca="1" si="23"/>
        <v>49755</v>
      </c>
      <c r="I176" s="2953">
        <f>I175+$I$34</f>
        <v>103</v>
      </c>
      <c r="J176" s="2953">
        <v>100</v>
      </c>
      <c r="K176" s="2953">
        <f t="shared" si="24"/>
        <v>106.8</v>
      </c>
      <c r="L176" s="2953">
        <f t="shared" ca="1" si="21"/>
        <v>5158973</v>
      </c>
    </row>
    <row r="177" spans="1:12">
      <c r="A177" s="2953" t="s">
        <v>3069</v>
      </c>
      <c r="B177" s="2953" t="s">
        <v>3106</v>
      </c>
      <c r="C177" s="2953">
        <v>14</v>
      </c>
      <c r="D177" s="2953" t="s">
        <v>3107</v>
      </c>
      <c r="E177" s="2953">
        <v>103.7864</v>
      </c>
      <c r="F177" s="2953">
        <f t="shared" ca="1" si="22"/>
        <v>5163804</v>
      </c>
      <c r="G177" s="2953">
        <f t="shared" ca="1" si="23"/>
        <v>49754</v>
      </c>
      <c r="I177" s="2953">
        <f>$I$176</f>
        <v>103</v>
      </c>
      <c r="J177" s="2953">
        <v>100</v>
      </c>
      <c r="K177" s="2953">
        <f t="shared" si="24"/>
        <v>106.9</v>
      </c>
      <c r="L177" s="2953">
        <f t="shared" ca="1" si="21"/>
        <v>5163804</v>
      </c>
    </row>
    <row r="178" spans="1:12">
      <c r="A178" s="2953" t="s">
        <v>3069</v>
      </c>
      <c r="B178" s="2953" t="s">
        <v>3106</v>
      </c>
      <c r="C178" s="2953">
        <v>14</v>
      </c>
      <c r="D178" s="2953" t="s">
        <v>3108</v>
      </c>
      <c r="E178" s="2953">
        <v>131.83160000000001</v>
      </c>
      <c r="F178" s="2953">
        <f t="shared" ca="1" si="22"/>
        <v>6493640</v>
      </c>
      <c r="G178" s="2953">
        <f t="shared" ca="1" si="23"/>
        <v>49257</v>
      </c>
      <c r="I178" s="2953">
        <f t="shared" ref="I178:I187" si="26">$I$176</f>
        <v>103</v>
      </c>
      <c r="J178" s="2953">
        <v>99</v>
      </c>
      <c r="K178" s="2953">
        <f t="shared" si="24"/>
        <v>134.43</v>
      </c>
      <c r="L178" s="2953">
        <f t="shared" ca="1" si="21"/>
        <v>6493640</v>
      </c>
    </row>
    <row r="179" spans="1:12">
      <c r="A179" s="2953" t="s">
        <v>3069</v>
      </c>
      <c r="B179" s="2953" t="s">
        <v>3106</v>
      </c>
      <c r="C179" s="2953">
        <v>14</v>
      </c>
      <c r="D179" s="2953" t="s">
        <v>3109</v>
      </c>
      <c r="E179" s="2953">
        <v>131.6439</v>
      </c>
      <c r="F179" s="2953">
        <f t="shared" ca="1" si="22"/>
        <v>6484462</v>
      </c>
      <c r="G179" s="2953">
        <f t="shared" ca="1" si="23"/>
        <v>49258</v>
      </c>
      <c r="I179" s="2953">
        <f t="shared" si="26"/>
        <v>103</v>
      </c>
      <c r="J179" s="2953">
        <v>99</v>
      </c>
      <c r="K179" s="2953">
        <f t="shared" si="24"/>
        <v>134.24</v>
      </c>
      <c r="L179" s="2953">
        <f t="shared" ca="1" si="21"/>
        <v>6484462</v>
      </c>
    </row>
    <row r="180" spans="1:12">
      <c r="A180" s="2953" t="s">
        <v>3069</v>
      </c>
      <c r="B180" s="2953" t="s">
        <v>3110</v>
      </c>
      <c r="C180" s="2953">
        <v>14</v>
      </c>
      <c r="D180" s="2953" t="s">
        <v>3071</v>
      </c>
      <c r="E180" s="2953">
        <v>103.7864</v>
      </c>
      <c r="F180" s="2953">
        <f t="shared" ca="1" si="22"/>
        <v>5163804</v>
      </c>
      <c r="G180" s="2953">
        <f t="shared" ca="1" si="23"/>
        <v>49754</v>
      </c>
      <c r="I180" s="2953">
        <f t="shared" si="26"/>
        <v>103</v>
      </c>
      <c r="J180" s="2953">
        <v>100</v>
      </c>
      <c r="K180" s="2953">
        <f t="shared" si="24"/>
        <v>106.9</v>
      </c>
      <c r="L180" s="2953">
        <f t="shared" ca="1" si="21"/>
        <v>5163804</v>
      </c>
    </row>
    <row r="181" spans="1:12">
      <c r="A181" s="2953" t="s">
        <v>3069</v>
      </c>
      <c r="B181" s="2953" t="s">
        <v>3110</v>
      </c>
      <c r="C181" s="2953">
        <v>14</v>
      </c>
      <c r="D181" s="2953" t="s">
        <v>3107</v>
      </c>
      <c r="E181" s="2953">
        <v>103.7864</v>
      </c>
      <c r="F181" s="2953">
        <f t="shared" ca="1" si="22"/>
        <v>5163804</v>
      </c>
      <c r="G181" s="2953">
        <f t="shared" ca="1" si="23"/>
        <v>49754</v>
      </c>
      <c r="I181" s="2953">
        <f t="shared" si="26"/>
        <v>103</v>
      </c>
      <c r="J181" s="2953">
        <v>100</v>
      </c>
      <c r="K181" s="2953">
        <f t="shared" si="24"/>
        <v>106.9</v>
      </c>
      <c r="L181" s="2953">
        <f t="shared" ca="1" si="21"/>
        <v>5163804</v>
      </c>
    </row>
    <row r="182" spans="1:12">
      <c r="A182" s="2953" t="s">
        <v>3069</v>
      </c>
      <c r="B182" s="2953" t="s">
        <v>3110</v>
      </c>
      <c r="C182" s="2953">
        <v>14</v>
      </c>
      <c r="D182" s="2953" t="s">
        <v>3108</v>
      </c>
      <c r="E182" s="2953">
        <v>131.50129999999999</v>
      </c>
      <c r="F182" s="2953">
        <f t="shared" ca="1" si="22"/>
        <v>6477217</v>
      </c>
      <c r="G182" s="2953">
        <f t="shared" ca="1" si="23"/>
        <v>49256</v>
      </c>
      <c r="I182" s="2953">
        <f t="shared" si="26"/>
        <v>103</v>
      </c>
      <c r="J182" s="2953">
        <v>99</v>
      </c>
      <c r="K182" s="2953">
        <f t="shared" si="24"/>
        <v>134.09</v>
      </c>
      <c r="L182" s="2953">
        <f t="shared" ca="1" si="21"/>
        <v>6477217</v>
      </c>
    </row>
    <row r="183" spans="1:12">
      <c r="A183" s="2953" t="s">
        <v>3069</v>
      </c>
      <c r="B183" s="2953" t="s">
        <v>3110</v>
      </c>
      <c r="C183" s="2953">
        <v>14</v>
      </c>
      <c r="D183" s="2953" t="s">
        <v>3109</v>
      </c>
      <c r="E183" s="2953">
        <v>131.83160000000001</v>
      </c>
      <c r="F183" s="2953">
        <f t="shared" ca="1" si="22"/>
        <v>6493640</v>
      </c>
      <c r="G183" s="2953">
        <f t="shared" ca="1" si="23"/>
        <v>49257</v>
      </c>
      <c r="I183" s="2953">
        <f t="shared" si="26"/>
        <v>103</v>
      </c>
      <c r="J183" s="2953">
        <v>99</v>
      </c>
      <c r="K183" s="2953">
        <f t="shared" si="24"/>
        <v>134.43</v>
      </c>
      <c r="L183" s="2953">
        <f t="shared" ca="1" si="21"/>
        <v>6493640</v>
      </c>
    </row>
    <row r="184" spans="1:12">
      <c r="A184" s="2953" t="s">
        <v>3069</v>
      </c>
      <c r="B184" s="2953" t="s">
        <v>3115</v>
      </c>
      <c r="C184" s="2953">
        <v>14</v>
      </c>
      <c r="D184" s="2953" t="s">
        <v>3071</v>
      </c>
      <c r="E184" s="2953">
        <v>90.76</v>
      </c>
      <c r="F184" s="2953">
        <f t="shared" ca="1" si="22"/>
        <v>4515551</v>
      </c>
      <c r="G184" s="2953">
        <f t="shared" ca="1" si="23"/>
        <v>49753</v>
      </c>
      <c r="I184" s="2953">
        <f t="shared" si="26"/>
        <v>103</v>
      </c>
      <c r="J184" s="2953">
        <v>100</v>
      </c>
      <c r="K184" s="2953">
        <f t="shared" si="24"/>
        <v>93.48</v>
      </c>
      <c r="L184" s="2953">
        <f t="shared" ca="1" si="21"/>
        <v>4515551</v>
      </c>
    </row>
    <row r="185" spans="1:12">
      <c r="A185" s="2953" t="s">
        <v>3069</v>
      </c>
      <c r="B185" s="2953" t="s">
        <v>3115</v>
      </c>
      <c r="C185" s="2953">
        <v>14</v>
      </c>
      <c r="D185" s="2953" t="s">
        <v>3107</v>
      </c>
      <c r="E185" s="2953">
        <v>90.850399999999993</v>
      </c>
      <c r="F185" s="2953">
        <f t="shared" ca="1" si="22"/>
        <v>4520381</v>
      </c>
      <c r="G185" s="2953">
        <f t="shared" ca="1" si="23"/>
        <v>49756</v>
      </c>
      <c r="I185" s="2953">
        <f t="shared" si="26"/>
        <v>103</v>
      </c>
      <c r="J185" s="2953">
        <v>100</v>
      </c>
      <c r="K185" s="2953">
        <f t="shared" si="24"/>
        <v>93.58</v>
      </c>
      <c r="L185" s="2953">
        <f t="shared" ca="1" si="21"/>
        <v>4520381</v>
      </c>
    </row>
    <row r="186" spans="1:12">
      <c r="A186" s="2953" t="s">
        <v>3069</v>
      </c>
      <c r="B186" s="2953" t="s">
        <v>3115</v>
      </c>
      <c r="C186" s="2953">
        <v>14</v>
      </c>
      <c r="D186" s="2953" t="s">
        <v>3108</v>
      </c>
      <c r="E186" s="2953">
        <v>92.628600000000006</v>
      </c>
      <c r="F186" s="2953">
        <f t="shared" ca="1" si="22"/>
        <v>4608780</v>
      </c>
      <c r="G186" s="2953">
        <f t="shared" ca="1" si="23"/>
        <v>49755</v>
      </c>
      <c r="I186" s="2953">
        <f t="shared" si="26"/>
        <v>103</v>
      </c>
      <c r="J186" s="2953">
        <v>100</v>
      </c>
      <c r="K186" s="2953">
        <f t="shared" si="24"/>
        <v>95.41</v>
      </c>
      <c r="L186" s="2953">
        <f t="shared" ca="1" si="21"/>
        <v>4608780</v>
      </c>
    </row>
    <row r="187" spans="1:12">
      <c r="A187" s="2953" t="s">
        <v>3069</v>
      </c>
      <c r="B187" s="2953" t="s">
        <v>3115</v>
      </c>
      <c r="C187" s="2953">
        <v>14</v>
      </c>
      <c r="D187" s="2953" t="s">
        <v>3109</v>
      </c>
      <c r="E187" s="2953">
        <v>92.628600000000006</v>
      </c>
      <c r="F187" s="2953">
        <f t="shared" ca="1" si="22"/>
        <v>4608780</v>
      </c>
      <c r="G187" s="2953">
        <f t="shared" ca="1" si="23"/>
        <v>49755</v>
      </c>
      <c r="I187" s="2953">
        <f t="shared" si="26"/>
        <v>103</v>
      </c>
      <c r="J187" s="2953">
        <v>100</v>
      </c>
      <c r="K187" s="2953">
        <f t="shared" si="24"/>
        <v>95.41</v>
      </c>
      <c r="L187" s="2953">
        <f t="shared" ca="1" si="21"/>
        <v>4608780</v>
      </c>
    </row>
    <row r="188" spans="1:12">
      <c r="A188" s="2953" t="s">
        <v>3069</v>
      </c>
      <c r="B188" s="2953" t="s">
        <v>3106</v>
      </c>
      <c r="C188" s="2953">
        <v>15</v>
      </c>
      <c r="D188" s="2953" t="s">
        <v>3071</v>
      </c>
      <c r="E188" s="2953">
        <v>103.6872</v>
      </c>
      <c r="F188" s="2953">
        <f t="shared" ca="1" si="22"/>
        <v>5171533</v>
      </c>
      <c r="G188" s="2953">
        <f t="shared" ca="1" si="23"/>
        <v>49876</v>
      </c>
      <c r="I188" s="2953">
        <f>I187+$I$34</f>
        <v>103.25</v>
      </c>
      <c r="J188" s="2953">
        <v>100</v>
      </c>
      <c r="K188" s="2953">
        <f t="shared" si="24"/>
        <v>107.06</v>
      </c>
      <c r="L188" s="2953">
        <f t="shared" ca="1" si="21"/>
        <v>5171533</v>
      </c>
    </row>
    <row r="189" spans="1:12">
      <c r="A189" s="2953" t="s">
        <v>3069</v>
      </c>
      <c r="B189" s="2953" t="s">
        <v>3106</v>
      </c>
      <c r="C189" s="2953">
        <v>15</v>
      </c>
      <c r="D189" s="2953" t="s">
        <v>3107</v>
      </c>
      <c r="E189" s="2953">
        <v>103.7864</v>
      </c>
      <c r="F189" s="2953">
        <f t="shared" ca="1" si="22"/>
        <v>5176363</v>
      </c>
      <c r="G189" s="2953">
        <f t="shared" ca="1" si="23"/>
        <v>49875</v>
      </c>
      <c r="I189" s="2953">
        <f>$I$188</f>
        <v>103.25</v>
      </c>
      <c r="J189" s="2953">
        <v>100</v>
      </c>
      <c r="K189" s="2953">
        <f t="shared" si="24"/>
        <v>107.16</v>
      </c>
      <c r="L189" s="2953">
        <f t="shared" ca="1" si="21"/>
        <v>5176363</v>
      </c>
    </row>
    <row r="190" spans="1:12">
      <c r="A190" s="2953" t="s">
        <v>3069</v>
      </c>
      <c r="B190" s="2953" t="s">
        <v>3106</v>
      </c>
      <c r="C190" s="2953">
        <v>15</v>
      </c>
      <c r="D190" s="2953" t="s">
        <v>3108</v>
      </c>
      <c r="E190" s="2953">
        <v>131.83160000000001</v>
      </c>
      <c r="F190" s="2953">
        <f t="shared" ca="1" si="22"/>
        <v>6509098</v>
      </c>
      <c r="G190" s="2953">
        <f t="shared" ca="1" si="23"/>
        <v>49374</v>
      </c>
      <c r="I190" s="2953">
        <f t="shared" ref="I190:I199" si="27">$I$188</f>
        <v>103.25</v>
      </c>
      <c r="J190" s="2953">
        <v>99</v>
      </c>
      <c r="K190" s="2953">
        <f t="shared" si="24"/>
        <v>134.75</v>
      </c>
      <c r="L190" s="2953">
        <f t="shared" ca="1" si="21"/>
        <v>6509098</v>
      </c>
    </row>
    <row r="191" spans="1:12">
      <c r="A191" s="2953" t="s">
        <v>3069</v>
      </c>
      <c r="B191" s="2953" t="s">
        <v>3106</v>
      </c>
      <c r="C191" s="2953">
        <v>15</v>
      </c>
      <c r="D191" s="2953" t="s">
        <v>3109</v>
      </c>
      <c r="E191" s="2953">
        <v>131.6439</v>
      </c>
      <c r="F191" s="2953">
        <f t="shared" ca="1" si="22"/>
        <v>6499920</v>
      </c>
      <c r="G191" s="2953">
        <f t="shared" ca="1" si="23"/>
        <v>49375</v>
      </c>
      <c r="I191" s="2953">
        <f t="shared" si="27"/>
        <v>103.25</v>
      </c>
      <c r="J191" s="2953">
        <v>99</v>
      </c>
      <c r="K191" s="2953">
        <f t="shared" si="24"/>
        <v>134.56</v>
      </c>
      <c r="L191" s="2953">
        <f t="shared" ca="1" si="21"/>
        <v>6499920</v>
      </c>
    </row>
    <row r="192" spans="1:12">
      <c r="A192" s="2953" t="s">
        <v>3069</v>
      </c>
      <c r="B192" s="2953" t="s">
        <v>3110</v>
      </c>
      <c r="C192" s="2953">
        <v>15</v>
      </c>
      <c r="D192" s="2953" t="s">
        <v>3071</v>
      </c>
      <c r="E192" s="2953">
        <v>103.7864</v>
      </c>
      <c r="F192" s="2953">
        <f t="shared" ca="1" si="22"/>
        <v>5176363</v>
      </c>
      <c r="G192" s="2953">
        <f t="shared" ca="1" si="23"/>
        <v>49875</v>
      </c>
      <c r="I192" s="2953">
        <f t="shared" si="27"/>
        <v>103.25</v>
      </c>
      <c r="J192" s="2953">
        <v>100</v>
      </c>
      <c r="K192" s="2953">
        <f t="shared" si="24"/>
        <v>107.16</v>
      </c>
      <c r="L192" s="2953">
        <f t="shared" ca="1" si="21"/>
        <v>5176363</v>
      </c>
    </row>
    <row r="193" spans="1:12">
      <c r="A193" s="2953" t="s">
        <v>3069</v>
      </c>
      <c r="B193" s="2953" t="s">
        <v>3110</v>
      </c>
      <c r="C193" s="2953">
        <v>15</v>
      </c>
      <c r="D193" s="2953" t="s">
        <v>3107</v>
      </c>
      <c r="E193" s="2953">
        <v>103.7864</v>
      </c>
      <c r="F193" s="2953">
        <f t="shared" ca="1" si="22"/>
        <v>5176363</v>
      </c>
      <c r="G193" s="2953">
        <f t="shared" ca="1" si="23"/>
        <v>49875</v>
      </c>
      <c r="I193" s="2953">
        <f t="shared" si="27"/>
        <v>103.25</v>
      </c>
      <c r="J193" s="2953">
        <v>100</v>
      </c>
      <c r="K193" s="2953">
        <f t="shared" si="24"/>
        <v>107.16</v>
      </c>
      <c r="L193" s="2953">
        <f t="shared" ca="1" si="21"/>
        <v>5176363</v>
      </c>
    </row>
    <row r="194" spans="1:12">
      <c r="A194" s="2953" t="s">
        <v>3069</v>
      </c>
      <c r="B194" s="2953" t="s">
        <v>3110</v>
      </c>
      <c r="C194" s="2953">
        <v>15</v>
      </c>
      <c r="D194" s="2953" t="s">
        <v>3108</v>
      </c>
      <c r="E194" s="2953">
        <v>131.50129999999999</v>
      </c>
      <c r="F194" s="2953">
        <f t="shared" ca="1" si="22"/>
        <v>6493157</v>
      </c>
      <c r="G194" s="2953">
        <f t="shared" ca="1" si="23"/>
        <v>49377</v>
      </c>
      <c r="I194" s="2953">
        <f t="shared" si="27"/>
        <v>103.25</v>
      </c>
      <c r="J194" s="2953">
        <v>99</v>
      </c>
      <c r="K194" s="2953">
        <f t="shared" si="24"/>
        <v>134.41999999999999</v>
      </c>
      <c r="L194" s="2953">
        <f t="shared" ca="1" si="21"/>
        <v>6493157</v>
      </c>
    </row>
    <row r="195" spans="1:12">
      <c r="A195" s="2953" t="s">
        <v>3069</v>
      </c>
      <c r="B195" s="2953" t="s">
        <v>3110</v>
      </c>
      <c r="C195" s="2953">
        <v>15</v>
      </c>
      <c r="D195" s="2953" t="s">
        <v>3109</v>
      </c>
      <c r="E195" s="2953">
        <v>131.83160000000001</v>
      </c>
      <c r="F195" s="2953">
        <f t="shared" ca="1" si="22"/>
        <v>6509098</v>
      </c>
      <c r="G195" s="2953">
        <f t="shared" ca="1" si="23"/>
        <v>49374</v>
      </c>
      <c r="I195" s="2953">
        <f t="shared" si="27"/>
        <v>103.25</v>
      </c>
      <c r="J195" s="2953">
        <v>99</v>
      </c>
      <c r="K195" s="2953">
        <f t="shared" si="24"/>
        <v>134.75</v>
      </c>
      <c r="L195" s="2953">
        <f t="shared" ca="1" si="21"/>
        <v>6509098</v>
      </c>
    </row>
    <row r="196" spans="1:12">
      <c r="A196" s="2953" t="s">
        <v>3069</v>
      </c>
      <c r="B196" s="2953" t="s">
        <v>3115</v>
      </c>
      <c r="C196" s="2953">
        <v>15</v>
      </c>
      <c r="D196" s="2953" t="s">
        <v>3071</v>
      </c>
      <c r="E196" s="2953">
        <v>90.76</v>
      </c>
      <c r="F196" s="2953">
        <f t="shared" ca="1" si="22"/>
        <v>4526661</v>
      </c>
      <c r="G196" s="2953">
        <f t="shared" ca="1" si="23"/>
        <v>49875</v>
      </c>
      <c r="I196" s="2953">
        <f t="shared" si="27"/>
        <v>103.25</v>
      </c>
      <c r="J196" s="2953">
        <v>100</v>
      </c>
      <c r="K196" s="2953">
        <f t="shared" si="24"/>
        <v>93.71</v>
      </c>
      <c r="L196" s="2953">
        <f t="shared" ca="1" si="21"/>
        <v>4526661</v>
      </c>
    </row>
    <row r="197" spans="1:12">
      <c r="A197" s="2953" t="s">
        <v>3069</v>
      </c>
      <c r="B197" s="2953" t="s">
        <v>3115</v>
      </c>
      <c r="C197" s="2953">
        <v>15</v>
      </c>
      <c r="D197" s="2953" t="s">
        <v>3107</v>
      </c>
      <c r="E197" s="2953">
        <v>90.850399999999993</v>
      </c>
      <c r="F197" s="2953">
        <f t="shared" ca="1" si="22"/>
        <v>4531009</v>
      </c>
      <c r="G197" s="2953">
        <f t="shared" ca="1" si="23"/>
        <v>49873</v>
      </c>
      <c r="I197" s="2953">
        <f t="shared" si="27"/>
        <v>103.25</v>
      </c>
      <c r="J197" s="2953">
        <v>100</v>
      </c>
      <c r="K197" s="2953">
        <f t="shared" si="24"/>
        <v>93.8</v>
      </c>
      <c r="L197" s="2953">
        <f t="shared" ca="1" si="21"/>
        <v>4531009</v>
      </c>
    </row>
    <row r="198" spans="1:12">
      <c r="A198" s="2953" t="s">
        <v>3069</v>
      </c>
      <c r="B198" s="2953" t="s">
        <v>3115</v>
      </c>
      <c r="C198" s="2953">
        <v>15</v>
      </c>
      <c r="D198" s="2953" t="s">
        <v>3108</v>
      </c>
      <c r="E198" s="2953">
        <v>92.628600000000006</v>
      </c>
      <c r="F198" s="2953">
        <f t="shared" ca="1" si="22"/>
        <v>4619890</v>
      </c>
      <c r="G198" s="2953">
        <f t="shared" ca="1" si="23"/>
        <v>49875</v>
      </c>
      <c r="I198" s="2953">
        <f t="shared" si="27"/>
        <v>103.25</v>
      </c>
      <c r="J198" s="2953">
        <v>100</v>
      </c>
      <c r="K198" s="2953">
        <f t="shared" si="24"/>
        <v>95.64</v>
      </c>
      <c r="L198" s="2953">
        <f t="shared" ca="1" si="21"/>
        <v>4619890</v>
      </c>
    </row>
    <row r="199" spans="1:12">
      <c r="A199" s="2953" t="s">
        <v>3069</v>
      </c>
      <c r="B199" s="2953" t="s">
        <v>3115</v>
      </c>
      <c r="C199" s="2953">
        <v>15</v>
      </c>
      <c r="D199" s="2953" t="s">
        <v>3109</v>
      </c>
      <c r="E199" s="2953">
        <v>92.628600000000006</v>
      </c>
      <c r="F199" s="2953">
        <f t="shared" ca="1" si="22"/>
        <v>4619890</v>
      </c>
      <c r="G199" s="2953">
        <f t="shared" ca="1" si="23"/>
        <v>49875</v>
      </c>
      <c r="I199" s="2953">
        <f t="shared" si="27"/>
        <v>103.25</v>
      </c>
      <c r="J199" s="2953">
        <v>100</v>
      </c>
      <c r="K199" s="2953">
        <f t="shared" si="24"/>
        <v>95.64</v>
      </c>
      <c r="L199" s="2953">
        <f t="shared" ca="1" si="21"/>
        <v>4619890</v>
      </c>
    </row>
    <row r="200" spans="1:12">
      <c r="A200" s="2953" t="s">
        <v>3069</v>
      </c>
      <c r="B200" s="2953" t="s">
        <v>3115</v>
      </c>
      <c r="C200" s="2953">
        <v>16</v>
      </c>
      <c r="D200" s="2953" t="s">
        <v>3071</v>
      </c>
      <c r="E200" s="2953">
        <v>90.76</v>
      </c>
      <c r="F200" s="2953">
        <f t="shared" ca="1" si="22"/>
        <v>4537771</v>
      </c>
      <c r="G200" s="2953">
        <f t="shared" ca="1" si="23"/>
        <v>49997</v>
      </c>
      <c r="I200" s="2953">
        <f>I199+$I$34</f>
        <v>103.5</v>
      </c>
      <c r="J200" s="2953">
        <v>100</v>
      </c>
      <c r="K200" s="2953">
        <f t="shared" si="24"/>
        <v>93.94</v>
      </c>
      <c r="L200" s="2953">
        <f t="shared" ca="1" si="21"/>
        <v>4537771</v>
      </c>
    </row>
    <row r="201" spans="1:12">
      <c r="A201" s="2953" t="s">
        <v>3069</v>
      </c>
      <c r="B201" s="2953" t="s">
        <v>3115</v>
      </c>
      <c r="C201" s="2953">
        <v>16</v>
      </c>
      <c r="D201" s="2953" t="s">
        <v>3107</v>
      </c>
      <c r="E201" s="2953">
        <v>90.850399999999993</v>
      </c>
      <c r="F201" s="2953">
        <f t="shared" ca="1" si="22"/>
        <v>4542119</v>
      </c>
      <c r="G201" s="2953">
        <f t="shared" ca="1" si="23"/>
        <v>49996</v>
      </c>
      <c r="I201" s="2953">
        <f>$I$200</f>
        <v>103.5</v>
      </c>
      <c r="J201" s="2953">
        <v>100</v>
      </c>
      <c r="K201" s="2953">
        <f t="shared" si="24"/>
        <v>94.03</v>
      </c>
      <c r="L201" s="2953">
        <f t="shared" ca="1" si="21"/>
        <v>4542119</v>
      </c>
    </row>
    <row r="202" spans="1:12">
      <c r="A202" s="2953" t="s">
        <v>3069</v>
      </c>
      <c r="B202" s="2953" t="s">
        <v>3115</v>
      </c>
      <c r="C202" s="2953">
        <v>16</v>
      </c>
      <c r="D202" s="2953" t="s">
        <v>3108</v>
      </c>
      <c r="E202" s="2953">
        <v>92.628600000000006</v>
      </c>
      <c r="F202" s="2953">
        <f t="shared" ca="1" si="22"/>
        <v>4631000</v>
      </c>
      <c r="G202" s="2953">
        <f t="shared" ca="1" si="23"/>
        <v>49995</v>
      </c>
      <c r="I202" s="2953">
        <f t="shared" ref="I202:I215" si="28">$I$200</f>
        <v>103.5</v>
      </c>
      <c r="J202" s="2953">
        <v>100</v>
      </c>
      <c r="K202" s="2953">
        <f t="shared" si="24"/>
        <v>95.87</v>
      </c>
      <c r="L202" s="2953">
        <f t="shared" ca="1" si="21"/>
        <v>4631000</v>
      </c>
    </row>
    <row r="203" spans="1:12">
      <c r="A203" s="2953" t="s">
        <v>3069</v>
      </c>
      <c r="B203" s="2953" t="s">
        <v>3115</v>
      </c>
      <c r="C203" s="2953">
        <v>16</v>
      </c>
      <c r="D203" s="2953" t="s">
        <v>3109</v>
      </c>
      <c r="E203" s="2953">
        <v>92.628600000000006</v>
      </c>
      <c r="F203" s="2953">
        <f t="shared" ca="1" si="22"/>
        <v>4631000</v>
      </c>
      <c r="G203" s="2953">
        <f t="shared" ca="1" si="23"/>
        <v>49995</v>
      </c>
      <c r="I203" s="2953">
        <f t="shared" si="28"/>
        <v>103.5</v>
      </c>
      <c r="J203" s="2953">
        <v>100</v>
      </c>
      <c r="K203" s="2953">
        <f t="shared" si="24"/>
        <v>95.87</v>
      </c>
      <c r="L203" s="2953">
        <f t="shared" ca="1" si="21"/>
        <v>4631000</v>
      </c>
    </row>
    <row r="204" spans="1:12">
      <c r="A204" s="2953" t="s">
        <v>3069</v>
      </c>
      <c r="B204" s="2953" t="s">
        <v>3106</v>
      </c>
      <c r="C204" s="2953">
        <v>17</v>
      </c>
      <c r="D204" s="2953" t="s">
        <v>3071</v>
      </c>
      <c r="E204" s="2953">
        <v>103.8184</v>
      </c>
      <c r="F204" s="2953">
        <f t="shared" ca="1" si="22"/>
        <v>5190372</v>
      </c>
      <c r="G204" s="2953">
        <f t="shared" ca="1" si="23"/>
        <v>49995</v>
      </c>
      <c r="I204" s="2953">
        <f t="shared" si="28"/>
        <v>103.5</v>
      </c>
      <c r="J204" s="2953">
        <v>100</v>
      </c>
      <c r="K204" s="2953">
        <f t="shared" si="24"/>
        <v>107.45</v>
      </c>
      <c r="L204" s="2953">
        <f t="shared" ca="1" si="21"/>
        <v>5190372</v>
      </c>
    </row>
    <row r="205" spans="1:12">
      <c r="A205" s="2953" t="s">
        <v>3069</v>
      </c>
      <c r="B205" s="2953" t="s">
        <v>3106</v>
      </c>
      <c r="C205" s="2953">
        <v>17</v>
      </c>
      <c r="D205" s="2953" t="s">
        <v>3107</v>
      </c>
      <c r="E205" s="2953">
        <v>103.9188</v>
      </c>
      <c r="F205" s="2953">
        <f t="shared" ca="1" si="22"/>
        <v>5195685</v>
      </c>
      <c r="G205" s="2953">
        <f t="shared" ca="1" si="23"/>
        <v>49998</v>
      </c>
      <c r="I205" s="2953">
        <f t="shared" si="28"/>
        <v>103.5</v>
      </c>
      <c r="J205" s="2953">
        <v>100</v>
      </c>
      <c r="K205" s="2953">
        <f t="shared" si="24"/>
        <v>107.56</v>
      </c>
      <c r="L205" s="2953">
        <f t="shared" ca="1" si="21"/>
        <v>5195685</v>
      </c>
    </row>
    <row r="206" spans="1:12">
      <c r="A206" s="2953" t="s">
        <v>3069</v>
      </c>
      <c r="B206" s="2953" t="s">
        <v>3106</v>
      </c>
      <c r="C206" s="2953">
        <v>17</v>
      </c>
      <c r="D206" s="2953" t="s">
        <v>3108</v>
      </c>
      <c r="E206" s="2953">
        <v>132.40600000000001</v>
      </c>
      <c r="F206" s="2953">
        <f t="shared" ca="1" si="22"/>
        <v>6553539</v>
      </c>
      <c r="G206" s="2953">
        <f t="shared" ca="1" si="23"/>
        <v>49496</v>
      </c>
      <c r="I206" s="2953">
        <f t="shared" si="28"/>
        <v>103.5</v>
      </c>
      <c r="J206" s="2953">
        <v>99</v>
      </c>
      <c r="K206" s="2953">
        <f t="shared" si="24"/>
        <v>135.66999999999999</v>
      </c>
      <c r="L206" s="2953">
        <f t="shared" ca="1" si="21"/>
        <v>6553539</v>
      </c>
    </row>
    <row r="207" spans="1:12">
      <c r="A207" s="2953" t="s">
        <v>3069</v>
      </c>
      <c r="B207" s="2953" t="s">
        <v>3106</v>
      </c>
      <c r="C207" s="2953">
        <v>17</v>
      </c>
      <c r="D207" s="2953" t="s">
        <v>3109</v>
      </c>
      <c r="E207" s="2953">
        <v>132.20840000000001</v>
      </c>
      <c r="F207" s="2953">
        <f t="shared" ca="1" si="22"/>
        <v>6543878</v>
      </c>
      <c r="G207" s="2953">
        <f t="shared" ca="1" si="23"/>
        <v>49497</v>
      </c>
      <c r="I207" s="2953">
        <f t="shared" si="28"/>
        <v>103.5</v>
      </c>
      <c r="J207" s="2953">
        <v>99</v>
      </c>
      <c r="K207" s="2953">
        <f t="shared" si="24"/>
        <v>135.47</v>
      </c>
      <c r="L207" s="2953">
        <f t="shared" ca="1" si="21"/>
        <v>6543878</v>
      </c>
    </row>
    <row r="208" spans="1:12">
      <c r="A208" s="2953" t="s">
        <v>3069</v>
      </c>
      <c r="B208" s="2953" t="s">
        <v>3110</v>
      </c>
      <c r="C208" s="2953">
        <v>17</v>
      </c>
      <c r="D208" s="2953" t="s">
        <v>3071</v>
      </c>
      <c r="E208" s="2953">
        <v>103.9188</v>
      </c>
      <c r="F208" s="2953">
        <f t="shared" ca="1" si="22"/>
        <v>5195685</v>
      </c>
      <c r="G208" s="2953">
        <f t="shared" ca="1" si="23"/>
        <v>49998</v>
      </c>
      <c r="I208" s="2953">
        <f t="shared" si="28"/>
        <v>103.5</v>
      </c>
      <c r="J208" s="2953">
        <v>100</v>
      </c>
      <c r="K208" s="2953">
        <f t="shared" si="24"/>
        <v>107.56</v>
      </c>
      <c r="L208" s="2953">
        <f t="shared" ca="1" si="21"/>
        <v>5195685</v>
      </c>
    </row>
    <row r="209" spans="1:12">
      <c r="A209" s="2953" t="s">
        <v>3069</v>
      </c>
      <c r="B209" s="2953" t="s">
        <v>3110</v>
      </c>
      <c r="C209" s="2953">
        <v>17</v>
      </c>
      <c r="D209" s="2953" t="s">
        <v>3107</v>
      </c>
      <c r="E209" s="2953">
        <v>103.9188</v>
      </c>
      <c r="F209" s="2953">
        <f t="shared" ca="1" si="22"/>
        <v>5195685</v>
      </c>
      <c r="G209" s="2953">
        <f t="shared" ca="1" si="23"/>
        <v>49998</v>
      </c>
      <c r="I209" s="2953">
        <f t="shared" si="28"/>
        <v>103.5</v>
      </c>
      <c r="J209" s="2953">
        <v>100</v>
      </c>
      <c r="K209" s="2953">
        <f t="shared" si="24"/>
        <v>107.56</v>
      </c>
      <c r="L209" s="2953">
        <f t="shared" ca="1" si="21"/>
        <v>5195685</v>
      </c>
    </row>
    <row r="210" spans="1:12">
      <c r="A210" s="2953" t="s">
        <v>3069</v>
      </c>
      <c r="B210" s="2953" t="s">
        <v>3110</v>
      </c>
      <c r="C210" s="2953">
        <v>17</v>
      </c>
      <c r="D210" s="2953" t="s">
        <v>3108</v>
      </c>
      <c r="E210" s="2953">
        <v>132.20840000000001</v>
      </c>
      <c r="F210" s="2953">
        <f t="shared" ca="1" si="22"/>
        <v>6543878</v>
      </c>
      <c r="G210" s="2953">
        <f t="shared" ca="1" si="23"/>
        <v>49497</v>
      </c>
      <c r="I210" s="2953">
        <f t="shared" si="28"/>
        <v>103.5</v>
      </c>
      <c r="J210" s="2953">
        <v>99</v>
      </c>
      <c r="K210" s="2953">
        <f t="shared" si="24"/>
        <v>135.47</v>
      </c>
      <c r="L210" s="2953">
        <f t="shared" ca="1" si="21"/>
        <v>6543878</v>
      </c>
    </row>
    <row r="211" spans="1:12">
      <c r="A211" s="2953" t="s">
        <v>3069</v>
      </c>
      <c r="B211" s="2953" t="s">
        <v>3110</v>
      </c>
      <c r="C211" s="2953">
        <v>17</v>
      </c>
      <c r="D211" s="2953" t="s">
        <v>3109</v>
      </c>
      <c r="E211" s="2953">
        <v>132.40600000000001</v>
      </c>
      <c r="F211" s="2953">
        <f t="shared" ca="1" si="22"/>
        <v>6553539</v>
      </c>
      <c r="G211" s="2953">
        <f t="shared" ca="1" si="23"/>
        <v>49496</v>
      </c>
      <c r="I211" s="2953">
        <f t="shared" si="28"/>
        <v>103.5</v>
      </c>
      <c r="J211" s="2953">
        <v>99</v>
      </c>
      <c r="K211" s="2953">
        <f t="shared" si="24"/>
        <v>135.66999999999999</v>
      </c>
      <c r="L211" s="2953">
        <f t="shared" ca="1" si="21"/>
        <v>6553539</v>
      </c>
    </row>
    <row r="212" spans="1:12">
      <c r="A212" s="2953" t="s">
        <v>3069</v>
      </c>
      <c r="B212" s="2953" t="s">
        <v>3115</v>
      </c>
      <c r="C212" s="2953">
        <v>17</v>
      </c>
      <c r="D212" s="2953" t="s">
        <v>3071</v>
      </c>
      <c r="E212" s="2953">
        <v>90.76</v>
      </c>
      <c r="F212" s="2953">
        <f t="shared" ca="1" si="22"/>
        <v>4537771</v>
      </c>
      <c r="G212" s="2953">
        <f t="shared" ca="1" si="23"/>
        <v>49997</v>
      </c>
      <c r="I212" s="2953">
        <f t="shared" si="28"/>
        <v>103.5</v>
      </c>
      <c r="J212" s="2953">
        <v>100</v>
      </c>
      <c r="K212" s="2953">
        <f t="shared" si="24"/>
        <v>93.94</v>
      </c>
      <c r="L212" s="2953">
        <f t="shared" ca="1" si="21"/>
        <v>4537771</v>
      </c>
    </row>
    <row r="213" spans="1:12">
      <c r="A213" s="2953" t="s">
        <v>3069</v>
      </c>
      <c r="B213" s="2953" t="s">
        <v>3115</v>
      </c>
      <c r="C213" s="2953">
        <v>17</v>
      </c>
      <c r="D213" s="2953" t="s">
        <v>3107</v>
      </c>
      <c r="E213" s="2953">
        <v>90.850399999999993</v>
      </c>
      <c r="F213" s="2953">
        <f t="shared" ca="1" si="22"/>
        <v>4542119</v>
      </c>
      <c r="G213" s="2953">
        <f t="shared" ca="1" si="23"/>
        <v>49996</v>
      </c>
      <c r="I213" s="2953">
        <f t="shared" si="28"/>
        <v>103.5</v>
      </c>
      <c r="J213" s="2953">
        <v>100</v>
      </c>
      <c r="K213" s="2953">
        <f t="shared" si="24"/>
        <v>94.03</v>
      </c>
      <c r="L213" s="2953">
        <f t="shared" ca="1" si="21"/>
        <v>4542119</v>
      </c>
    </row>
    <row r="214" spans="1:12">
      <c r="A214" s="2953" t="s">
        <v>3069</v>
      </c>
      <c r="B214" s="2953" t="s">
        <v>3115</v>
      </c>
      <c r="C214" s="2953">
        <v>17</v>
      </c>
      <c r="D214" s="2953" t="s">
        <v>3108</v>
      </c>
      <c r="E214" s="2953">
        <v>92.628600000000006</v>
      </c>
      <c r="F214" s="2953">
        <f t="shared" ca="1" si="22"/>
        <v>4631000</v>
      </c>
      <c r="G214" s="2953">
        <f t="shared" ca="1" si="23"/>
        <v>49995</v>
      </c>
      <c r="I214" s="2953">
        <f t="shared" si="28"/>
        <v>103.5</v>
      </c>
      <c r="J214" s="2953">
        <v>100</v>
      </c>
      <c r="K214" s="2953">
        <f t="shared" si="24"/>
        <v>95.87</v>
      </c>
      <c r="L214" s="2953">
        <f t="shared" ca="1" si="21"/>
        <v>4631000</v>
      </c>
    </row>
    <row r="215" spans="1:12">
      <c r="A215" s="2953" t="s">
        <v>3069</v>
      </c>
      <c r="B215" s="2953" t="s">
        <v>3115</v>
      </c>
      <c r="C215" s="2953">
        <v>17</v>
      </c>
      <c r="D215" s="2953" t="s">
        <v>3109</v>
      </c>
      <c r="E215" s="2953">
        <v>92.628600000000006</v>
      </c>
      <c r="F215" s="2953">
        <f t="shared" ca="1" si="22"/>
        <v>4631000</v>
      </c>
      <c r="G215" s="2953">
        <f t="shared" ca="1" si="23"/>
        <v>49995</v>
      </c>
      <c r="I215" s="2953">
        <f t="shared" si="28"/>
        <v>103.5</v>
      </c>
      <c r="J215" s="2953">
        <v>100</v>
      </c>
      <c r="K215" s="2953">
        <f t="shared" si="24"/>
        <v>95.87</v>
      </c>
      <c r="L215" s="2953">
        <f t="shared" ca="1" si="21"/>
        <v>4631000</v>
      </c>
    </row>
    <row r="216" spans="1:12">
      <c r="A216" s="2953" t="s">
        <v>3069</v>
      </c>
      <c r="B216" s="2953" t="s">
        <v>3106</v>
      </c>
      <c r="C216" s="2953">
        <v>18</v>
      </c>
      <c r="D216" s="2953" t="s">
        <v>3071</v>
      </c>
      <c r="E216" s="2953">
        <v>103.6872</v>
      </c>
      <c r="F216" s="2953">
        <f t="shared" ca="1" si="22"/>
        <v>5196651</v>
      </c>
      <c r="G216" s="2953">
        <f t="shared" ca="1" si="23"/>
        <v>50119</v>
      </c>
      <c r="I216" s="2953">
        <f>I215+$I$34</f>
        <v>103.75</v>
      </c>
      <c r="J216" s="2953">
        <v>100</v>
      </c>
      <c r="K216" s="2953">
        <f t="shared" si="24"/>
        <v>107.58</v>
      </c>
      <c r="L216" s="2953">
        <f t="shared" ca="1" si="21"/>
        <v>5196651</v>
      </c>
    </row>
    <row r="217" spans="1:12">
      <c r="A217" s="2953" t="s">
        <v>3069</v>
      </c>
      <c r="B217" s="2953" t="s">
        <v>3106</v>
      </c>
      <c r="C217" s="2953">
        <v>18</v>
      </c>
      <c r="D217" s="2953" t="s">
        <v>3107</v>
      </c>
      <c r="E217" s="2953">
        <v>103.7864</v>
      </c>
      <c r="F217" s="2953">
        <f t="shared" ca="1" si="22"/>
        <v>5201482</v>
      </c>
      <c r="G217" s="2953">
        <f t="shared" ca="1" si="23"/>
        <v>50117</v>
      </c>
      <c r="I217" s="2953">
        <f>$I$216</f>
        <v>103.75</v>
      </c>
      <c r="J217" s="2953">
        <v>100</v>
      </c>
      <c r="K217" s="2953">
        <f t="shared" si="24"/>
        <v>107.68</v>
      </c>
      <c r="L217" s="2953">
        <f t="shared" ca="1" si="21"/>
        <v>5201482</v>
      </c>
    </row>
    <row r="218" spans="1:12">
      <c r="A218" s="2953" t="s">
        <v>3069</v>
      </c>
      <c r="B218" s="2953" t="s">
        <v>3106</v>
      </c>
      <c r="C218" s="2953">
        <v>18</v>
      </c>
      <c r="D218" s="2953" t="s">
        <v>3108</v>
      </c>
      <c r="E218" s="2953">
        <v>131.83160000000001</v>
      </c>
      <c r="F218" s="2953">
        <f t="shared" ca="1" si="22"/>
        <v>6540979</v>
      </c>
      <c r="G218" s="2953">
        <f t="shared" ca="1" si="23"/>
        <v>49616</v>
      </c>
      <c r="I218" s="2953">
        <f t="shared" ref="I218:I227" si="29">$I$216</f>
        <v>103.75</v>
      </c>
      <c r="J218" s="2953">
        <v>99</v>
      </c>
      <c r="K218" s="2953">
        <f t="shared" si="24"/>
        <v>135.41</v>
      </c>
      <c r="L218" s="2953">
        <f t="shared" ca="1" si="21"/>
        <v>6540979</v>
      </c>
    </row>
    <row r="219" spans="1:12">
      <c r="A219" s="2953" t="s">
        <v>3069</v>
      </c>
      <c r="B219" s="2953" t="s">
        <v>3106</v>
      </c>
      <c r="C219" s="2953">
        <v>18</v>
      </c>
      <c r="D219" s="2953" t="s">
        <v>3109</v>
      </c>
      <c r="E219" s="2953">
        <v>131.6439</v>
      </c>
      <c r="F219" s="2953">
        <f t="shared" ca="1" si="22"/>
        <v>6531318</v>
      </c>
      <c r="G219" s="2953">
        <f t="shared" ca="1" si="23"/>
        <v>49614</v>
      </c>
      <c r="I219" s="2953">
        <f t="shared" si="29"/>
        <v>103.75</v>
      </c>
      <c r="J219" s="2953">
        <v>99</v>
      </c>
      <c r="K219" s="2953">
        <f t="shared" si="24"/>
        <v>135.21</v>
      </c>
      <c r="L219" s="2953">
        <f t="shared" ca="1" si="21"/>
        <v>6531318</v>
      </c>
    </row>
    <row r="220" spans="1:12">
      <c r="A220" s="2953" t="s">
        <v>3069</v>
      </c>
      <c r="B220" s="2953" t="s">
        <v>3110</v>
      </c>
      <c r="C220" s="2953">
        <v>18</v>
      </c>
      <c r="D220" s="2953" t="s">
        <v>3071</v>
      </c>
      <c r="E220" s="2953">
        <v>103.7864</v>
      </c>
      <c r="F220" s="2953">
        <f t="shared" ca="1" si="22"/>
        <v>5201482</v>
      </c>
      <c r="G220" s="2953">
        <f t="shared" ca="1" si="23"/>
        <v>50117</v>
      </c>
      <c r="I220" s="2953">
        <f t="shared" si="29"/>
        <v>103.75</v>
      </c>
      <c r="J220" s="2953">
        <v>100</v>
      </c>
      <c r="K220" s="2953">
        <f t="shared" si="24"/>
        <v>107.68</v>
      </c>
      <c r="L220" s="2953">
        <f t="shared" ca="1" si="21"/>
        <v>5201482</v>
      </c>
    </row>
    <row r="221" spans="1:12">
      <c r="A221" s="2953" t="s">
        <v>3069</v>
      </c>
      <c r="B221" s="2953" t="s">
        <v>3110</v>
      </c>
      <c r="C221" s="2953">
        <v>18</v>
      </c>
      <c r="D221" s="2953" t="s">
        <v>3107</v>
      </c>
      <c r="E221" s="2953">
        <v>103.7864</v>
      </c>
      <c r="F221" s="2953">
        <f t="shared" ca="1" si="22"/>
        <v>5201482</v>
      </c>
      <c r="G221" s="2953">
        <f t="shared" ca="1" si="23"/>
        <v>50117</v>
      </c>
      <c r="I221" s="2953">
        <f t="shared" si="29"/>
        <v>103.75</v>
      </c>
      <c r="J221" s="2953">
        <v>100</v>
      </c>
      <c r="K221" s="2953">
        <f t="shared" si="24"/>
        <v>107.68</v>
      </c>
      <c r="L221" s="2953">
        <f t="shared" ca="1" si="21"/>
        <v>5201482</v>
      </c>
    </row>
    <row r="222" spans="1:12">
      <c r="A222" s="2953" t="s">
        <v>3069</v>
      </c>
      <c r="B222" s="2953" t="s">
        <v>3110</v>
      </c>
      <c r="C222" s="2953">
        <v>18</v>
      </c>
      <c r="D222" s="2953" t="s">
        <v>3108</v>
      </c>
      <c r="E222" s="2953">
        <v>131.50129999999999</v>
      </c>
      <c r="F222" s="2953">
        <f t="shared" ca="1" si="22"/>
        <v>6524556</v>
      </c>
      <c r="G222" s="2953">
        <f t="shared" ca="1" si="23"/>
        <v>49616</v>
      </c>
      <c r="I222" s="2953">
        <f t="shared" si="29"/>
        <v>103.75</v>
      </c>
      <c r="J222" s="2953">
        <v>99</v>
      </c>
      <c r="K222" s="2953">
        <f t="shared" si="24"/>
        <v>135.07</v>
      </c>
      <c r="L222" s="2953">
        <f t="shared" ca="1" si="21"/>
        <v>6524556</v>
      </c>
    </row>
    <row r="223" spans="1:12">
      <c r="A223" s="2953" t="s">
        <v>3069</v>
      </c>
      <c r="B223" s="2953" t="s">
        <v>3110</v>
      </c>
      <c r="C223" s="2953">
        <v>18</v>
      </c>
      <c r="D223" s="2953" t="s">
        <v>3109</v>
      </c>
      <c r="E223" s="2953">
        <v>131.83160000000001</v>
      </c>
      <c r="F223" s="2953">
        <f t="shared" ca="1" si="22"/>
        <v>6540979</v>
      </c>
      <c r="G223" s="2953">
        <f t="shared" ca="1" si="23"/>
        <v>49616</v>
      </c>
      <c r="I223" s="2953">
        <f t="shared" si="29"/>
        <v>103.75</v>
      </c>
      <c r="J223" s="2953">
        <v>99</v>
      </c>
      <c r="K223" s="2953">
        <f t="shared" si="24"/>
        <v>135.41</v>
      </c>
      <c r="L223" s="2953">
        <f t="shared" ca="1" si="21"/>
        <v>6540979</v>
      </c>
    </row>
    <row r="224" spans="1:12">
      <c r="A224" s="2953" t="s">
        <v>3069</v>
      </c>
      <c r="B224" s="2953" t="s">
        <v>3115</v>
      </c>
      <c r="C224" s="2953">
        <v>18</v>
      </c>
      <c r="D224" s="2953" t="s">
        <v>3071</v>
      </c>
      <c r="E224" s="2953">
        <v>90.76</v>
      </c>
      <c r="F224" s="2953">
        <f t="shared" ca="1" si="22"/>
        <v>4548398</v>
      </c>
      <c r="G224" s="2953">
        <f t="shared" ca="1" si="23"/>
        <v>50115</v>
      </c>
      <c r="I224" s="2953">
        <f t="shared" si="29"/>
        <v>103.75</v>
      </c>
      <c r="J224" s="2953">
        <v>100</v>
      </c>
      <c r="K224" s="2953">
        <f t="shared" si="24"/>
        <v>94.16</v>
      </c>
      <c r="L224" s="2953">
        <f t="shared" ca="1" si="21"/>
        <v>4548398</v>
      </c>
    </row>
    <row r="225" spans="1:12">
      <c r="A225" s="2953" t="s">
        <v>3069</v>
      </c>
      <c r="B225" s="2953" t="s">
        <v>3115</v>
      </c>
      <c r="C225" s="2953">
        <v>18</v>
      </c>
      <c r="D225" s="2953" t="s">
        <v>3107</v>
      </c>
      <c r="E225" s="2953">
        <v>90.850399999999993</v>
      </c>
      <c r="F225" s="2953">
        <f t="shared" ca="1" si="22"/>
        <v>4553229</v>
      </c>
      <c r="G225" s="2953">
        <f t="shared" ca="1" si="23"/>
        <v>50118</v>
      </c>
      <c r="I225" s="2953">
        <f t="shared" si="29"/>
        <v>103.75</v>
      </c>
      <c r="J225" s="2953">
        <v>100</v>
      </c>
      <c r="K225" s="2953">
        <f t="shared" si="24"/>
        <v>94.26</v>
      </c>
      <c r="L225" s="2953">
        <f t="shared" ca="1" si="21"/>
        <v>4553229</v>
      </c>
    </row>
    <row r="226" spans="1:12">
      <c r="A226" s="2953" t="s">
        <v>3069</v>
      </c>
      <c r="B226" s="2953" t="s">
        <v>3115</v>
      </c>
      <c r="C226" s="2953">
        <v>18</v>
      </c>
      <c r="D226" s="2953" t="s">
        <v>3108</v>
      </c>
      <c r="E226" s="2953">
        <v>92.628600000000006</v>
      </c>
      <c r="F226" s="2953">
        <f t="shared" ca="1" si="22"/>
        <v>4642110</v>
      </c>
      <c r="G226" s="2953">
        <f t="shared" ca="1" si="23"/>
        <v>50115</v>
      </c>
      <c r="I226" s="2953">
        <f t="shared" si="29"/>
        <v>103.75</v>
      </c>
      <c r="J226" s="2953">
        <v>100</v>
      </c>
      <c r="K226" s="2953">
        <f t="shared" si="24"/>
        <v>96.1</v>
      </c>
      <c r="L226" s="2953">
        <f t="shared" ca="1" si="21"/>
        <v>4642110</v>
      </c>
    </row>
    <row r="227" spans="1:12">
      <c r="A227" s="2953" t="s">
        <v>3069</v>
      </c>
      <c r="B227" s="2953" t="s">
        <v>3115</v>
      </c>
      <c r="C227" s="2953">
        <v>18</v>
      </c>
      <c r="D227" s="2953" t="s">
        <v>3109</v>
      </c>
      <c r="E227" s="2953">
        <v>92.628600000000006</v>
      </c>
      <c r="F227" s="2953">
        <f t="shared" ca="1" si="22"/>
        <v>4642110</v>
      </c>
      <c r="G227" s="2953">
        <f t="shared" ca="1" si="23"/>
        <v>50115</v>
      </c>
      <c r="I227" s="2953">
        <f t="shared" si="29"/>
        <v>103.75</v>
      </c>
      <c r="J227" s="2953">
        <v>100</v>
      </c>
      <c r="K227" s="2953">
        <f t="shared" si="24"/>
        <v>96.1</v>
      </c>
      <c r="L227" s="2953">
        <f t="shared" ca="1" si="21"/>
        <v>4642110</v>
      </c>
    </row>
    <row r="228" spans="1:12">
      <c r="A228" s="2953" t="s">
        <v>3069</v>
      </c>
      <c r="B228" s="2953" t="s">
        <v>3106</v>
      </c>
      <c r="C228" s="2953">
        <v>19</v>
      </c>
      <c r="D228" s="2953" t="s">
        <v>3071</v>
      </c>
      <c r="E228" s="2953">
        <v>103.6872</v>
      </c>
      <c r="F228" s="2953">
        <f t="shared" ca="1" si="22"/>
        <v>5208728</v>
      </c>
      <c r="G228" s="2953">
        <f t="shared" ca="1" si="23"/>
        <v>50235</v>
      </c>
      <c r="I228" s="2953">
        <f>I227+$I$34</f>
        <v>104</v>
      </c>
      <c r="J228" s="2953">
        <v>100</v>
      </c>
      <c r="K228" s="2953">
        <f t="shared" si="24"/>
        <v>107.83</v>
      </c>
      <c r="L228" s="2953">
        <f t="shared" ref="L228:L291" ca="1" si="30">ROUND($L$392/$K$392*K228*10000,0)</f>
        <v>5208728</v>
      </c>
    </row>
    <row r="229" spans="1:12">
      <c r="A229" s="2953" t="s">
        <v>3069</v>
      </c>
      <c r="B229" s="2953" t="s">
        <v>3106</v>
      </c>
      <c r="C229" s="2953">
        <v>19</v>
      </c>
      <c r="D229" s="2953" t="s">
        <v>3107</v>
      </c>
      <c r="E229" s="2953">
        <v>103.7864</v>
      </c>
      <c r="F229" s="2953">
        <f t="shared" ref="F229:F292" ca="1" si="31">L229</f>
        <v>5214041</v>
      </c>
      <c r="G229" s="2953">
        <f t="shared" ref="G229:G292" ca="1" si="32">ROUND(F229/E229,0)</f>
        <v>50238</v>
      </c>
      <c r="I229" s="2953">
        <f>$I$228</f>
        <v>104</v>
      </c>
      <c r="J229" s="2953">
        <v>100</v>
      </c>
      <c r="K229" s="2953">
        <f t="shared" ref="K229:K292" si="33">ROUND(E229*1*I229/100*J229/100,2)</f>
        <v>107.94</v>
      </c>
      <c r="L229" s="2953">
        <f t="shared" ca="1" si="30"/>
        <v>5214041</v>
      </c>
    </row>
    <row r="230" spans="1:12">
      <c r="A230" s="2953" t="s">
        <v>3069</v>
      </c>
      <c r="B230" s="2953" t="s">
        <v>3106</v>
      </c>
      <c r="C230" s="2953">
        <v>19</v>
      </c>
      <c r="D230" s="2953" t="s">
        <v>3108</v>
      </c>
      <c r="E230" s="2953">
        <v>131.83160000000001</v>
      </c>
      <c r="F230" s="2953">
        <f t="shared" ca="1" si="31"/>
        <v>6556437</v>
      </c>
      <c r="G230" s="2953">
        <f t="shared" ca="1" si="32"/>
        <v>49733</v>
      </c>
      <c r="I230" s="2953">
        <f t="shared" ref="I230:I239" si="34">$I$228</f>
        <v>104</v>
      </c>
      <c r="J230" s="2953">
        <v>99</v>
      </c>
      <c r="K230" s="2953">
        <f t="shared" si="33"/>
        <v>135.72999999999999</v>
      </c>
      <c r="L230" s="2953">
        <f t="shared" ca="1" si="30"/>
        <v>6556437</v>
      </c>
    </row>
    <row r="231" spans="1:12">
      <c r="A231" s="2953" t="s">
        <v>3069</v>
      </c>
      <c r="B231" s="2953" t="s">
        <v>3106</v>
      </c>
      <c r="C231" s="2953">
        <v>19</v>
      </c>
      <c r="D231" s="2953" t="s">
        <v>3109</v>
      </c>
      <c r="E231" s="2953">
        <v>131.6439</v>
      </c>
      <c r="F231" s="2953">
        <f t="shared" ca="1" si="31"/>
        <v>6547259</v>
      </c>
      <c r="G231" s="2953">
        <f t="shared" ca="1" si="32"/>
        <v>49735</v>
      </c>
      <c r="I231" s="2953">
        <f t="shared" si="34"/>
        <v>104</v>
      </c>
      <c r="J231" s="2953">
        <v>99</v>
      </c>
      <c r="K231" s="2953">
        <f t="shared" si="33"/>
        <v>135.54</v>
      </c>
      <c r="L231" s="2953">
        <f t="shared" ca="1" si="30"/>
        <v>6547259</v>
      </c>
    </row>
    <row r="232" spans="1:12">
      <c r="A232" s="2953" t="s">
        <v>3069</v>
      </c>
      <c r="B232" s="2953" t="s">
        <v>3110</v>
      </c>
      <c r="C232" s="2953">
        <v>19</v>
      </c>
      <c r="D232" s="2953" t="s">
        <v>3071</v>
      </c>
      <c r="E232" s="2953">
        <v>103.7864</v>
      </c>
      <c r="F232" s="2953">
        <f t="shared" ca="1" si="31"/>
        <v>5214041</v>
      </c>
      <c r="G232" s="2953">
        <f t="shared" ca="1" si="32"/>
        <v>50238</v>
      </c>
      <c r="I232" s="2953">
        <f t="shared" si="34"/>
        <v>104</v>
      </c>
      <c r="J232" s="2953">
        <v>100</v>
      </c>
      <c r="K232" s="2953">
        <f t="shared" si="33"/>
        <v>107.94</v>
      </c>
      <c r="L232" s="2953">
        <f t="shared" ca="1" si="30"/>
        <v>5214041</v>
      </c>
    </row>
    <row r="233" spans="1:12">
      <c r="A233" s="2953" t="s">
        <v>3069</v>
      </c>
      <c r="B233" s="2953" t="s">
        <v>3110</v>
      </c>
      <c r="C233" s="2953">
        <v>19</v>
      </c>
      <c r="D233" s="2953" t="s">
        <v>3107</v>
      </c>
      <c r="E233" s="2953">
        <v>103.7864</v>
      </c>
      <c r="F233" s="2953">
        <f t="shared" ca="1" si="31"/>
        <v>5214041</v>
      </c>
      <c r="G233" s="2953">
        <f t="shared" ca="1" si="32"/>
        <v>50238</v>
      </c>
      <c r="I233" s="2953">
        <f t="shared" si="34"/>
        <v>104</v>
      </c>
      <c r="J233" s="2953">
        <v>100</v>
      </c>
      <c r="K233" s="2953">
        <f t="shared" si="33"/>
        <v>107.94</v>
      </c>
      <c r="L233" s="2953">
        <f t="shared" ca="1" si="30"/>
        <v>5214041</v>
      </c>
    </row>
    <row r="234" spans="1:12">
      <c r="A234" s="2953" t="s">
        <v>3069</v>
      </c>
      <c r="B234" s="2953" t="s">
        <v>3110</v>
      </c>
      <c r="C234" s="2953">
        <v>19</v>
      </c>
      <c r="D234" s="2953" t="s">
        <v>3108</v>
      </c>
      <c r="E234" s="2953">
        <v>131.50129999999999</v>
      </c>
      <c r="F234" s="2953">
        <f t="shared" ca="1" si="31"/>
        <v>6540013</v>
      </c>
      <c r="G234" s="2953">
        <f t="shared" ca="1" si="32"/>
        <v>49733</v>
      </c>
      <c r="I234" s="2953">
        <f t="shared" si="34"/>
        <v>104</v>
      </c>
      <c r="J234" s="2953">
        <v>99</v>
      </c>
      <c r="K234" s="2953">
        <f t="shared" si="33"/>
        <v>135.38999999999999</v>
      </c>
      <c r="L234" s="2953">
        <f t="shared" ca="1" si="30"/>
        <v>6540013</v>
      </c>
    </row>
    <row r="235" spans="1:12">
      <c r="A235" s="2953" t="s">
        <v>3069</v>
      </c>
      <c r="B235" s="2953" t="s">
        <v>3110</v>
      </c>
      <c r="C235" s="2953">
        <v>19</v>
      </c>
      <c r="D235" s="2953" t="s">
        <v>3109</v>
      </c>
      <c r="E235" s="2953">
        <v>131.83160000000001</v>
      </c>
      <c r="F235" s="2953">
        <f t="shared" ca="1" si="31"/>
        <v>6556437</v>
      </c>
      <c r="G235" s="2953">
        <f t="shared" ca="1" si="32"/>
        <v>49733</v>
      </c>
      <c r="I235" s="2953">
        <f t="shared" si="34"/>
        <v>104</v>
      </c>
      <c r="J235" s="2953">
        <v>99</v>
      </c>
      <c r="K235" s="2953">
        <f t="shared" si="33"/>
        <v>135.72999999999999</v>
      </c>
      <c r="L235" s="2953">
        <f t="shared" ca="1" si="30"/>
        <v>6556437</v>
      </c>
    </row>
    <row r="236" spans="1:12">
      <c r="A236" s="2953" t="s">
        <v>3069</v>
      </c>
      <c r="B236" s="2953" t="s">
        <v>3115</v>
      </c>
      <c r="C236" s="2953">
        <v>19</v>
      </c>
      <c r="D236" s="2953" t="s">
        <v>3071</v>
      </c>
      <c r="E236" s="2953">
        <v>90.76</v>
      </c>
      <c r="F236" s="2953">
        <f t="shared" ca="1" si="31"/>
        <v>4559508</v>
      </c>
      <c r="G236" s="2953">
        <f t="shared" ca="1" si="32"/>
        <v>50237</v>
      </c>
      <c r="I236" s="2953">
        <f t="shared" si="34"/>
        <v>104</v>
      </c>
      <c r="J236" s="2953">
        <v>100</v>
      </c>
      <c r="K236" s="2953">
        <f t="shared" si="33"/>
        <v>94.39</v>
      </c>
      <c r="L236" s="2953">
        <f t="shared" ca="1" si="30"/>
        <v>4559508</v>
      </c>
    </row>
    <row r="237" spans="1:12">
      <c r="A237" s="2953" t="s">
        <v>3069</v>
      </c>
      <c r="B237" s="2953" t="s">
        <v>3115</v>
      </c>
      <c r="C237" s="2953">
        <v>19</v>
      </c>
      <c r="D237" s="2953" t="s">
        <v>3107</v>
      </c>
      <c r="E237" s="2953">
        <v>90.850399999999993</v>
      </c>
      <c r="F237" s="2953">
        <f t="shared" ca="1" si="31"/>
        <v>4563856</v>
      </c>
      <c r="G237" s="2953">
        <f t="shared" ca="1" si="32"/>
        <v>50235</v>
      </c>
      <c r="I237" s="2953">
        <f t="shared" si="34"/>
        <v>104</v>
      </c>
      <c r="J237" s="2953">
        <v>100</v>
      </c>
      <c r="K237" s="2953">
        <f t="shared" si="33"/>
        <v>94.48</v>
      </c>
      <c r="L237" s="2953">
        <f t="shared" ca="1" si="30"/>
        <v>4563856</v>
      </c>
    </row>
    <row r="238" spans="1:12">
      <c r="A238" s="2953" t="s">
        <v>3069</v>
      </c>
      <c r="B238" s="2953" t="s">
        <v>3115</v>
      </c>
      <c r="C238" s="2953">
        <v>19</v>
      </c>
      <c r="D238" s="2953" t="s">
        <v>3108</v>
      </c>
      <c r="E238" s="2953">
        <v>92.628600000000006</v>
      </c>
      <c r="F238" s="2953">
        <f t="shared" ca="1" si="31"/>
        <v>4653220</v>
      </c>
      <c r="G238" s="2953">
        <f t="shared" ca="1" si="32"/>
        <v>50235</v>
      </c>
      <c r="I238" s="2953">
        <f t="shared" si="34"/>
        <v>104</v>
      </c>
      <c r="J238" s="2953">
        <v>100</v>
      </c>
      <c r="K238" s="2953">
        <f t="shared" si="33"/>
        <v>96.33</v>
      </c>
      <c r="L238" s="2953">
        <f t="shared" ca="1" si="30"/>
        <v>4653220</v>
      </c>
    </row>
    <row r="239" spans="1:12">
      <c r="A239" s="2953" t="s">
        <v>3069</v>
      </c>
      <c r="B239" s="2953" t="s">
        <v>3115</v>
      </c>
      <c r="C239" s="2953">
        <v>19</v>
      </c>
      <c r="D239" s="2953" t="s">
        <v>3109</v>
      </c>
      <c r="E239" s="2953">
        <v>92.628600000000006</v>
      </c>
      <c r="F239" s="2953">
        <f t="shared" ca="1" si="31"/>
        <v>4653220</v>
      </c>
      <c r="G239" s="2953">
        <f t="shared" ca="1" si="32"/>
        <v>50235</v>
      </c>
      <c r="I239" s="2953">
        <f t="shared" si="34"/>
        <v>104</v>
      </c>
      <c r="J239" s="2953">
        <v>100</v>
      </c>
      <c r="K239" s="2953">
        <f t="shared" si="33"/>
        <v>96.33</v>
      </c>
      <c r="L239" s="2953">
        <f t="shared" ca="1" si="30"/>
        <v>4653220</v>
      </c>
    </row>
    <row r="240" spans="1:12">
      <c r="A240" s="2953" t="s">
        <v>3069</v>
      </c>
      <c r="B240" s="2953" t="s">
        <v>3106</v>
      </c>
      <c r="C240" s="2953">
        <v>20</v>
      </c>
      <c r="D240" s="2953" t="s">
        <v>3071</v>
      </c>
      <c r="E240" s="2953">
        <v>103.6872</v>
      </c>
      <c r="F240" s="2953">
        <f t="shared" ca="1" si="31"/>
        <v>5221287</v>
      </c>
      <c r="G240" s="2953">
        <f t="shared" ca="1" si="32"/>
        <v>50356</v>
      </c>
      <c r="I240" s="2953">
        <f>I239+$I$34</f>
        <v>104.25</v>
      </c>
      <c r="J240" s="2953">
        <v>100</v>
      </c>
      <c r="K240" s="2953">
        <f t="shared" si="33"/>
        <v>108.09</v>
      </c>
      <c r="L240" s="2953">
        <f t="shared" ca="1" si="30"/>
        <v>5221287</v>
      </c>
    </row>
    <row r="241" spans="1:12">
      <c r="A241" s="2953" t="s">
        <v>3069</v>
      </c>
      <c r="B241" s="2953" t="s">
        <v>3106</v>
      </c>
      <c r="C241" s="2953">
        <v>20</v>
      </c>
      <c r="D241" s="2953" t="s">
        <v>3107</v>
      </c>
      <c r="E241" s="2953">
        <v>103.7864</v>
      </c>
      <c r="F241" s="2953">
        <f t="shared" ca="1" si="31"/>
        <v>5226600</v>
      </c>
      <c r="G241" s="2953">
        <f t="shared" ca="1" si="32"/>
        <v>50359</v>
      </c>
      <c r="I241" s="2953">
        <f>$I$240</f>
        <v>104.25</v>
      </c>
      <c r="J241" s="2953">
        <v>100</v>
      </c>
      <c r="K241" s="2953">
        <f t="shared" si="33"/>
        <v>108.2</v>
      </c>
      <c r="L241" s="2953">
        <f t="shared" ca="1" si="30"/>
        <v>5226600</v>
      </c>
    </row>
    <row r="242" spans="1:12">
      <c r="A242" s="2953" t="s">
        <v>3069</v>
      </c>
      <c r="B242" s="2953" t="s">
        <v>3106</v>
      </c>
      <c r="C242" s="2953">
        <v>20</v>
      </c>
      <c r="D242" s="2953" t="s">
        <v>3108</v>
      </c>
      <c r="E242" s="2953">
        <v>131.83160000000001</v>
      </c>
      <c r="F242" s="2953">
        <f t="shared" ca="1" si="31"/>
        <v>6572378</v>
      </c>
      <c r="G242" s="2953">
        <f t="shared" ca="1" si="32"/>
        <v>49854</v>
      </c>
      <c r="I242" s="2953">
        <f t="shared" ref="I242:I251" si="35">$I$240</f>
        <v>104.25</v>
      </c>
      <c r="J242" s="2953">
        <v>99</v>
      </c>
      <c r="K242" s="2953">
        <f t="shared" si="33"/>
        <v>136.06</v>
      </c>
      <c r="L242" s="2953">
        <f t="shared" ca="1" si="30"/>
        <v>6572378</v>
      </c>
    </row>
    <row r="243" spans="1:12">
      <c r="A243" s="2953" t="s">
        <v>3069</v>
      </c>
      <c r="B243" s="2953" t="s">
        <v>3106</v>
      </c>
      <c r="C243" s="2953">
        <v>20</v>
      </c>
      <c r="D243" s="2953" t="s">
        <v>3109</v>
      </c>
      <c r="E243" s="2953">
        <v>131.6439</v>
      </c>
      <c r="F243" s="2953">
        <f t="shared" ca="1" si="31"/>
        <v>6563200</v>
      </c>
      <c r="G243" s="2953">
        <f t="shared" ca="1" si="32"/>
        <v>49856</v>
      </c>
      <c r="I243" s="2953">
        <f t="shared" si="35"/>
        <v>104.25</v>
      </c>
      <c r="J243" s="2953">
        <v>99</v>
      </c>
      <c r="K243" s="2953">
        <f t="shared" si="33"/>
        <v>135.87</v>
      </c>
      <c r="L243" s="2953">
        <f t="shared" ca="1" si="30"/>
        <v>6563200</v>
      </c>
    </row>
    <row r="244" spans="1:12">
      <c r="A244" s="2953" t="s">
        <v>3069</v>
      </c>
      <c r="B244" s="2953" t="s">
        <v>3110</v>
      </c>
      <c r="C244" s="2953">
        <v>20</v>
      </c>
      <c r="D244" s="2953" t="s">
        <v>3071</v>
      </c>
      <c r="E244" s="2953">
        <v>103.7864</v>
      </c>
      <c r="F244" s="2953">
        <f t="shared" ca="1" si="31"/>
        <v>5226600</v>
      </c>
      <c r="G244" s="2953">
        <f t="shared" ca="1" si="32"/>
        <v>50359</v>
      </c>
      <c r="I244" s="2953">
        <f t="shared" si="35"/>
        <v>104.25</v>
      </c>
      <c r="J244" s="2953">
        <v>100</v>
      </c>
      <c r="K244" s="2953">
        <f t="shared" si="33"/>
        <v>108.2</v>
      </c>
      <c r="L244" s="2953">
        <f t="shared" ca="1" si="30"/>
        <v>5226600</v>
      </c>
    </row>
    <row r="245" spans="1:12">
      <c r="A245" s="2953" t="s">
        <v>3069</v>
      </c>
      <c r="B245" s="2953" t="s">
        <v>3110</v>
      </c>
      <c r="C245" s="2953">
        <v>20</v>
      </c>
      <c r="D245" s="2953" t="s">
        <v>3107</v>
      </c>
      <c r="E245" s="2953">
        <v>103.7864</v>
      </c>
      <c r="F245" s="2953">
        <f t="shared" ca="1" si="31"/>
        <v>5226600</v>
      </c>
      <c r="G245" s="2953">
        <f t="shared" ca="1" si="32"/>
        <v>50359</v>
      </c>
      <c r="I245" s="2953">
        <f t="shared" si="35"/>
        <v>104.25</v>
      </c>
      <c r="J245" s="2953">
        <v>100</v>
      </c>
      <c r="K245" s="2953">
        <f t="shared" si="33"/>
        <v>108.2</v>
      </c>
      <c r="L245" s="2953">
        <f t="shared" ca="1" si="30"/>
        <v>5226600</v>
      </c>
    </row>
    <row r="246" spans="1:12">
      <c r="A246" s="2953" t="s">
        <v>3069</v>
      </c>
      <c r="B246" s="2953" t="s">
        <v>3110</v>
      </c>
      <c r="C246" s="2953">
        <v>20</v>
      </c>
      <c r="D246" s="2953" t="s">
        <v>3108</v>
      </c>
      <c r="E246" s="2953">
        <v>131.50129999999999</v>
      </c>
      <c r="F246" s="2953">
        <f t="shared" ca="1" si="31"/>
        <v>6555954</v>
      </c>
      <c r="G246" s="2953">
        <f t="shared" ca="1" si="32"/>
        <v>49855</v>
      </c>
      <c r="I246" s="2953">
        <f t="shared" si="35"/>
        <v>104.25</v>
      </c>
      <c r="J246" s="2953">
        <v>99</v>
      </c>
      <c r="K246" s="2953">
        <f t="shared" si="33"/>
        <v>135.72</v>
      </c>
      <c r="L246" s="2953">
        <f t="shared" ca="1" si="30"/>
        <v>6555954</v>
      </c>
    </row>
    <row r="247" spans="1:12">
      <c r="A247" s="2953" t="s">
        <v>3069</v>
      </c>
      <c r="B247" s="2953" t="s">
        <v>3110</v>
      </c>
      <c r="C247" s="2953">
        <v>20</v>
      </c>
      <c r="D247" s="2953" t="s">
        <v>3109</v>
      </c>
      <c r="E247" s="2953">
        <v>131.83160000000001</v>
      </c>
      <c r="F247" s="2953">
        <f t="shared" ca="1" si="31"/>
        <v>6572378</v>
      </c>
      <c r="G247" s="2953">
        <f t="shared" ca="1" si="32"/>
        <v>49854</v>
      </c>
      <c r="I247" s="2953">
        <f t="shared" si="35"/>
        <v>104.25</v>
      </c>
      <c r="J247" s="2953">
        <v>99</v>
      </c>
      <c r="K247" s="2953">
        <f t="shared" si="33"/>
        <v>136.06</v>
      </c>
      <c r="L247" s="2953">
        <f t="shared" ca="1" si="30"/>
        <v>6572378</v>
      </c>
    </row>
    <row r="248" spans="1:12">
      <c r="A248" s="2953" t="s">
        <v>3069</v>
      </c>
      <c r="B248" s="2953" t="s">
        <v>3115</v>
      </c>
      <c r="C248" s="2953">
        <v>20</v>
      </c>
      <c r="D248" s="2953" t="s">
        <v>3071</v>
      </c>
      <c r="E248" s="2953">
        <v>90.76</v>
      </c>
      <c r="F248" s="2953">
        <f t="shared" ca="1" si="31"/>
        <v>4570619</v>
      </c>
      <c r="G248" s="2953">
        <f t="shared" ca="1" si="32"/>
        <v>50359</v>
      </c>
      <c r="I248" s="2953">
        <f t="shared" si="35"/>
        <v>104.25</v>
      </c>
      <c r="J248" s="2953">
        <v>100</v>
      </c>
      <c r="K248" s="2953">
        <f t="shared" si="33"/>
        <v>94.62</v>
      </c>
      <c r="L248" s="2953">
        <f t="shared" ca="1" si="30"/>
        <v>4570619</v>
      </c>
    </row>
    <row r="249" spans="1:12">
      <c r="A249" s="2953" t="s">
        <v>3069</v>
      </c>
      <c r="B249" s="2953" t="s">
        <v>3115</v>
      </c>
      <c r="C249" s="2953">
        <v>20</v>
      </c>
      <c r="D249" s="2953" t="s">
        <v>3107</v>
      </c>
      <c r="E249" s="2953">
        <v>90.850399999999993</v>
      </c>
      <c r="F249" s="2953">
        <f t="shared" ca="1" si="31"/>
        <v>4574966</v>
      </c>
      <c r="G249" s="2953">
        <f t="shared" ca="1" si="32"/>
        <v>50357</v>
      </c>
      <c r="I249" s="2953">
        <f t="shared" si="35"/>
        <v>104.25</v>
      </c>
      <c r="J249" s="2953">
        <v>100</v>
      </c>
      <c r="K249" s="2953">
        <f t="shared" si="33"/>
        <v>94.71</v>
      </c>
      <c r="L249" s="2953">
        <f t="shared" ca="1" si="30"/>
        <v>4574966</v>
      </c>
    </row>
    <row r="250" spans="1:12">
      <c r="A250" s="2953" t="s">
        <v>3069</v>
      </c>
      <c r="B250" s="2953" t="s">
        <v>3115</v>
      </c>
      <c r="C250" s="2953">
        <v>20</v>
      </c>
      <c r="D250" s="2953" t="s">
        <v>3108</v>
      </c>
      <c r="E250" s="2953">
        <v>92.628600000000006</v>
      </c>
      <c r="F250" s="2953">
        <f t="shared" ca="1" si="31"/>
        <v>4664813</v>
      </c>
      <c r="G250" s="2953">
        <f t="shared" ca="1" si="32"/>
        <v>50360</v>
      </c>
      <c r="I250" s="2953">
        <f t="shared" si="35"/>
        <v>104.25</v>
      </c>
      <c r="J250" s="2953">
        <v>100</v>
      </c>
      <c r="K250" s="2953">
        <f t="shared" si="33"/>
        <v>96.57</v>
      </c>
      <c r="L250" s="2953">
        <f t="shared" ca="1" si="30"/>
        <v>4664813</v>
      </c>
    </row>
    <row r="251" spans="1:12">
      <c r="A251" s="2953" t="s">
        <v>3069</v>
      </c>
      <c r="B251" s="2953" t="s">
        <v>3115</v>
      </c>
      <c r="C251" s="2953">
        <v>20</v>
      </c>
      <c r="D251" s="2953" t="s">
        <v>3109</v>
      </c>
      <c r="E251" s="2953">
        <v>92.628600000000006</v>
      </c>
      <c r="F251" s="2953">
        <f t="shared" ca="1" si="31"/>
        <v>4664813</v>
      </c>
      <c r="G251" s="2953">
        <f t="shared" ca="1" si="32"/>
        <v>50360</v>
      </c>
      <c r="I251" s="2953">
        <f t="shared" si="35"/>
        <v>104.25</v>
      </c>
      <c r="J251" s="2953">
        <v>100</v>
      </c>
      <c r="K251" s="2953">
        <f t="shared" si="33"/>
        <v>96.57</v>
      </c>
      <c r="L251" s="2953">
        <f t="shared" ca="1" si="30"/>
        <v>4664813</v>
      </c>
    </row>
    <row r="252" spans="1:12">
      <c r="A252" s="2953" t="s">
        <v>3069</v>
      </c>
      <c r="B252" s="2953" t="s">
        <v>3106</v>
      </c>
      <c r="C252" s="2953">
        <v>21</v>
      </c>
      <c r="D252" s="2953" t="s">
        <v>3071</v>
      </c>
      <c r="E252" s="2953">
        <v>103.6872</v>
      </c>
      <c r="F252" s="2953">
        <f t="shared" ca="1" si="31"/>
        <v>5233846</v>
      </c>
      <c r="G252" s="2953">
        <f t="shared" ca="1" si="32"/>
        <v>50477</v>
      </c>
      <c r="I252" s="2953">
        <f>I251+$I$34</f>
        <v>104.5</v>
      </c>
      <c r="J252" s="2953">
        <v>100</v>
      </c>
      <c r="K252" s="2953">
        <f t="shared" si="33"/>
        <v>108.35</v>
      </c>
      <c r="L252" s="2953">
        <f t="shared" ca="1" si="30"/>
        <v>5233846</v>
      </c>
    </row>
    <row r="253" spans="1:12">
      <c r="A253" s="2953" t="s">
        <v>3069</v>
      </c>
      <c r="B253" s="2953" t="s">
        <v>3106</v>
      </c>
      <c r="C253" s="2953">
        <v>21</v>
      </c>
      <c r="D253" s="2953" t="s">
        <v>3107</v>
      </c>
      <c r="E253" s="2953">
        <v>103.7864</v>
      </c>
      <c r="F253" s="2953">
        <f t="shared" ca="1" si="31"/>
        <v>5239160</v>
      </c>
      <c r="G253" s="2953">
        <f t="shared" ca="1" si="32"/>
        <v>50480</v>
      </c>
      <c r="I253" s="2953">
        <f>$I$252</f>
        <v>104.5</v>
      </c>
      <c r="J253" s="2953">
        <v>100</v>
      </c>
      <c r="K253" s="2953">
        <f t="shared" si="33"/>
        <v>108.46</v>
      </c>
      <c r="L253" s="2953">
        <f t="shared" ca="1" si="30"/>
        <v>5239160</v>
      </c>
    </row>
    <row r="254" spans="1:12">
      <c r="A254" s="2953" t="s">
        <v>3069</v>
      </c>
      <c r="B254" s="2953" t="s">
        <v>3106</v>
      </c>
      <c r="C254" s="2953">
        <v>21</v>
      </c>
      <c r="D254" s="2953" t="s">
        <v>3108</v>
      </c>
      <c r="E254" s="2953">
        <v>131.83160000000001</v>
      </c>
      <c r="F254" s="2953">
        <f t="shared" ca="1" si="31"/>
        <v>6588318</v>
      </c>
      <c r="G254" s="2953">
        <f t="shared" ca="1" si="32"/>
        <v>49975</v>
      </c>
      <c r="I254" s="2953">
        <f t="shared" ref="I254:I263" si="36">$I$252</f>
        <v>104.5</v>
      </c>
      <c r="J254" s="2953">
        <v>99</v>
      </c>
      <c r="K254" s="2953">
        <f t="shared" si="33"/>
        <v>136.38999999999999</v>
      </c>
      <c r="L254" s="2953">
        <f t="shared" ca="1" si="30"/>
        <v>6588318</v>
      </c>
    </row>
    <row r="255" spans="1:12">
      <c r="A255" s="2953" t="s">
        <v>3069</v>
      </c>
      <c r="B255" s="2953" t="s">
        <v>3106</v>
      </c>
      <c r="C255" s="2953">
        <v>21</v>
      </c>
      <c r="D255" s="2953" t="s">
        <v>3109</v>
      </c>
      <c r="E255" s="2953">
        <v>131.6439</v>
      </c>
      <c r="F255" s="2953">
        <f t="shared" ca="1" si="31"/>
        <v>6578657</v>
      </c>
      <c r="G255" s="2953">
        <f t="shared" ca="1" si="32"/>
        <v>49973</v>
      </c>
      <c r="I255" s="2953">
        <f t="shared" si="36"/>
        <v>104.5</v>
      </c>
      <c r="J255" s="2953">
        <v>99</v>
      </c>
      <c r="K255" s="2953">
        <f t="shared" si="33"/>
        <v>136.19</v>
      </c>
      <c r="L255" s="2953">
        <f t="shared" ca="1" si="30"/>
        <v>6578657</v>
      </c>
    </row>
    <row r="256" spans="1:12">
      <c r="A256" s="2953" t="s">
        <v>3069</v>
      </c>
      <c r="B256" s="2953" t="s">
        <v>3110</v>
      </c>
      <c r="C256" s="2953">
        <v>21</v>
      </c>
      <c r="D256" s="2953" t="s">
        <v>3071</v>
      </c>
      <c r="E256" s="2953">
        <v>103.7864</v>
      </c>
      <c r="F256" s="2953">
        <f t="shared" ca="1" si="31"/>
        <v>5239160</v>
      </c>
      <c r="G256" s="2953">
        <f t="shared" ca="1" si="32"/>
        <v>50480</v>
      </c>
      <c r="I256" s="2953">
        <f t="shared" si="36"/>
        <v>104.5</v>
      </c>
      <c r="J256" s="2953">
        <v>100</v>
      </c>
      <c r="K256" s="2953">
        <f t="shared" si="33"/>
        <v>108.46</v>
      </c>
      <c r="L256" s="2953">
        <f t="shared" ca="1" si="30"/>
        <v>5239160</v>
      </c>
    </row>
    <row r="257" spans="1:12">
      <c r="A257" s="2953" t="s">
        <v>3069</v>
      </c>
      <c r="B257" s="2953" t="s">
        <v>3110</v>
      </c>
      <c r="C257" s="2953">
        <v>21</v>
      </c>
      <c r="D257" s="2953" t="s">
        <v>3107</v>
      </c>
      <c r="E257" s="2953">
        <v>103.7864</v>
      </c>
      <c r="F257" s="2953">
        <f t="shared" ca="1" si="31"/>
        <v>5239160</v>
      </c>
      <c r="G257" s="2953">
        <f t="shared" ca="1" si="32"/>
        <v>50480</v>
      </c>
      <c r="I257" s="2953">
        <f t="shared" si="36"/>
        <v>104.5</v>
      </c>
      <c r="J257" s="2953">
        <v>100</v>
      </c>
      <c r="K257" s="2953">
        <f t="shared" si="33"/>
        <v>108.46</v>
      </c>
      <c r="L257" s="2953">
        <f t="shared" ca="1" si="30"/>
        <v>5239160</v>
      </c>
    </row>
    <row r="258" spans="1:12">
      <c r="A258" s="2953" t="s">
        <v>3069</v>
      </c>
      <c r="B258" s="2953" t="s">
        <v>3110</v>
      </c>
      <c r="C258" s="2953">
        <v>21</v>
      </c>
      <c r="D258" s="2953" t="s">
        <v>3108</v>
      </c>
      <c r="E258" s="2953">
        <v>131.50129999999999</v>
      </c>
      <c r="F258" s="2953">
        <f t="shared" ca="1" si="31"/>
        <v>6571411</v>
      </c>
      <c r="G258" s="2953">
        <f t="shared" ca="1" si="32"/>
        <v>49972</v>
      </c>
      <c r="I258" s="2953">
        <f t="shared" si="36"/>
        <v>104.5</v>
      </c>
      <c r="J258" s="2953">
        <v>99</v>
      </c>
      <c r="K258" s="2953">
        <f t="shared" si="33"/>
        <v>136.04</v>
      </c>
      <c r="L258" s="2953">
        <f t="shared" ca="1" si="30"/>
        <v>6571411</v>
      </c>
    </row>
    <row r="259" spans="1:12">
      <c r="A259" s="2953" t="s">
        <v>3069</v>
      </c>
      <c r="B259" s="2953" t="s">
        <v>3110</v>
      </c>
      <c r="C259" s="2953">
        <v>21</v>
      </c>
      <c r="D259" s="2953" t="s">
        <v>3109</v>
      </c>
      <c r="E259" s="2953">
        <v>131.83160000000001</v>
      </c>
      <c r="F259" s="2953">
        <f t="shared" ca="1" si="31"/>
        <v>6588318</v>
      </c>
      <c r="G259" s="2953">
        <f t="shared" ca="1" si="32"/>
        <v>49975</v>
      </c>
      <c r="I259" s="2953">
        <f t="shared" si="36"/>
        <v>104.5</v>
      </c>
      <c r="J259" s="2953">
        <v>99</v>
      </c>
      <c r="K259" s="2953">
        <f t="shared" si="33"/>
        <v>136.38999999999999</v>
      </c>
      <c r="L259" s="2953">
        <f t="shared" ca="1" si="30"/>
        <v>6588318</v>
      </c>
    </row>
    <row r="260" spans="1:12">
      <c r="A260" s="2953" t="s">
        <v>3069</v>
      </c>
      <c r="B260" s="2953" t="s">
        <v>3115</v>
      </c>
      <c r="C260" s="2953">
        <v>21</v>
      </c>
      <c r="D260" s="2953" t="s">
        <v>3071</v>
      </c>
      <c r="E260" s="2953">
        <v>90.76</v>
      </c>
      <c r="F260" s="2953">
        <f t="shared" ca="1" si="31"/>
        <v>4581246</v>
      </c>
      <c r="G260" s="2953">
        <f t="shared" ca="1" si="32"/>
        <v>50476</v>
      </c>
      <c r="I260" s="2953">
        <f t="shared" si="36"/>
        <v>104.5</v>
      </c>
      <c r="J260" s="2953">
        <v>100</v>
      </c>
      <c r="K260" s="2953">
        <f t="shared" si="33"/>
        <v>94.84</v>
      </c>
      <c r="L260" s="2953">
        <f t="shared" ca="1" si="30"/>
        <v>4581246</v>
      </c>
    </row>
    <row r="261" spans="1:12">
      <c r="A261" s="2953" t="s">
        <v>3069</v>
      </c>
      <c r="B261" s="2953" t="s">
        <v>3115</v>
      </c>
      <c r="C261" s="2953">
        <v>21</v>
      </c>
      <c r="D261" s="2953" t="s">
        <v>3107</v>
      </c>
      <c r="E261" s="2953">
        <v>90.850399999999993</v>
      </c>
      <c r="F261" s="2953">
        <f t="shared" ca="1" si="31"/>
        <v>4586076</v>
      </c>
      <c r="G261" s="2953">
        <f t="shared" ca="1" si="32"/>
        <v>50479</v>
      </c>
      <c r="I261" s="2953">
        <f t="shared" si="36"/>
        <v>104.5</v>
      </c>
      <c r="J261" s="2953">
        <v>100</v>
      </c>
      <c r="K261" s="2953">
        <f t="shared" si="33"/>
        <v>94.94</v>
      </c>
      <c r="L261" s="2953">
        <f t="shared" ca="1" si="30"/>
        <v>4586076</v>
      </c>
    </row>
    <row r="262" spans="1:12">
      <c r="A262" s="2953" t="s">
        <v>3069</v>
      </c>
      <c r="B262" s="2953" t="s">
        <v>3115</v>
      </c>
      <c r="C262" s="2953">
        <v>21</v>
      </c>
      <c r="D262" s="2953" t="s">
        <v>3108</v>
      </c>
      <c r="E262" s="2953">
        <v>92.628600000000006</v>
      </c>
      <c r="F262" s="2953">
        <f t="shared" ca="1" si="31"/>
        <v>4675923</v>
      </c>
      <c r="G262" s="2953">
        <f t="shared" ca="1" si="32"/>
        <v>50480</v>
      </c>
      <c r="I262" s="2953">
        <f t="shared" si="36"/>
        <v>104.5</v>
      </c>
      <c r="J262" s="2953">
        <v>100</v>
      </c>
      <c r="K262" s="2953">
        <f t="shared" si="33"/>
        <v>96.8</v>
      </c>
      <c r="L262" s="2953">
        <f t="shared" ca="1" si="30"/>
        <v>4675923</v>
      </c>
    </row>
    <row r="263" spans="1:12">
      <c r="A263" s="2953" t="s">
        <v>3069</v>
      </c>
      <c r="B263" s="2953" t="s">
        <v>3115</v>
      </c>
      <c r="C263" s="2953">
        <v>21</v>
      </c>
      <c r="D263" s="2953" t="s">
        <v>3109</v>
      </c>
      <c r="E263" s="2953">
        <v>92.628600000000006</v>
      </c>
      <c r="F263" s="2953">
        <f t="shared" ca="1" si="31"/>
        <v>4675923</v>
      </c>
      <c r="G263" s="2953">
        <f t="shared" ca="1" si="32"/>
        <v>50480</v>
      </c>
      <c r="I263" s="2953">
        <f t="shared" si="36"/>
        <v>104.5</v>
      </c>
      <c r="J263" s="2953">
        <v>100</v>
      </c>
      <c r="K263" s="2953">
        <f t="shared" si="33"/>
        <v>96.8</v>
      </c>
      <c r="L263" s="2953">
        <f t="shared" ca="1" si="30"/>
        <v>4675923</v>
      </c>
    </row>
    <row r="264" spans="1:12">
      <c r="A264" s="2953" t="s">
        <v>3069</v>
      </c>
      <c r="B264" s="2953" t="s">
        <v>3106</v>
      </c>
      <c r="C264" s="2953">
        <v>22</v>
      </c>
      <c r="D264" s="2953" t="s">
        <v>3071</v>
      </c>
      <c r="E264" s="2953">
        <v>103.6872</v>
      </c>
      <c r="F264" s="2953">
        <f t="shared" ca="1" si="31"/>
        <v>5246405</v>
      </c>
      <c r="G264" s="2953">
        <f t="shared" ca="1" si="32"/>
        <v>50598</v>
      </c>
      <c r="I264" s="2953">
        <f>I263+$I$34</f>
        <v>104.75</v>
      </c>
      <c r="J264" s="2953">
        <v>100</v>
      </c>
      <c r="K264" s="2953">
        <f t="shared" si="33"/>
        <v>108.61</v>
      </c>
      <c r="L264" s="2953">
        <f t="shared" ca="1" si="30"/>
        <v>5246405</v>
      </c>
    </row>
    <row r="265" spans="1:12">
      <c r="A265" s="2953" t="s">
        <v>3069</v>
      </c>
      <c r="B265" s="2953" t="s">
        <v>3106</v>
      </c>
      <c r="C265" s="2953">
        <v>22</v>
      </c>
      <c r="D265" s="2953" t="s">
        <v>3107</v>
      </c>
      <c r="E265" s="2953">
        <v>103.7864</v>
      </c>
      <c r="F265" s="2953">
        <f t="shared" ca="1" si="31"/>
        <v>5251719</v>
      </c>
      <c r="G265" s="2953">
        <f t="shared" ca="1" si="32"/>
        <v>50601</v>
      </c>
      <c r="I265" s="2953">
        <f>$I$264</f>
        <v>104.75</v>
      </c>
      <c r="J265" s="2953">
        <v>100</v>
      </c>
      <c r="K265" s="2953">
        <f t="shared" si="33"/>
        <v>108.72</v>
      </c>
      <c r="L265" s="2953">
        <f t="shared" ca="1" si="30"/>
        <v>5251719</v>
      </c>
    </row>
    <row r="266" spans="1:12">
      <c r="A266" s="2953" t="s">
        <v>3069</v>
      </c>
      <c r="B266" s="2953" t="s">
        <v>3106</v>
      </c>
      <c r="C266" s="2953">
        <v>22</v>
      </c>
      <c r="D266" s="2953" t="s">
        <v>3108</v>
      </c>
      <c r="E266" s="2953">
        <v>131.83160000000001</v>
      </c>
      <c r="F266" s="2953">
        <f t="shared" ca="1" si="31"/>
        <v>6603776</v>
      </c>
      <c r="G266" s="2953">
        <f t="shared" ca="1" si="32"/>
        <v>50093</v>
      </c>
      <c r="I266" s="2953">
        <f t="shared" ref="I266:I275" si="37">$I$264</f>
        <v>104.75</v>
      </c>
      <c r="J266" s="2953">
        <v>99</v>
      </c>
      <c r="K266" s="2953">
        <f t="shared" si="33"/>
        <v>136.71</v>
      </c>
      <c r="L266" s="2953">
        <f t="shared" ca="1" si="30"/>
        <v>6603776</v>
      </c>
    </row>
    <row r="267" spans="1:12">
      <c r="A267" s="2953" t="s">
        <v>3069</v>
      </c>
      <c r="B267" s="2953" t="s">
        <v>3106</v>
      </c>
      <c r="C267" s="2953">
        <v>22</v>
      </c>
      <c r="D267" s="2953" t="s">
        <v>3109</v>
      </c>
      <c r="E267" s="2953">
        <v>131.6439</v>
      </c>
      <c r="F267" s="2953">
        <f t="shared" ca="1" si="31"/>
        <v>6594598</v>
      </c>
      <c r="G267" s="2953">
        <f t="shared" ca="1" si="32"/>
        <v>50094</v>
      </c>
      <c r="I267" s="2953">
        <f t="shared" si="37"/>
        <v>104.75</v>
      </c>
      <c r="J267" s="2953">
        <v>99</v>
      </c>
      <c r="K267" s="2953">
        <f t="shared" si="33"/>
        <v>136.52000000000001</v>
      </c>
      <c r="L267" s="2953">
        <f t="shared" ca="1" si="30"/>
        <v>6594598</v>
      </c>
    </row>
    <row r="268" spans="1:12">
      <c r="A268" s="2953" t="s">
        <v>3069</v>
      </c>
      <c r="B268" s="2953" t="s">
        <v>3110</v>
      </c>
      <c r="C268" s="2953">
        <v>22</v>
      </c>
      <c r="D268" s="2953" t="s">
        <v>3071</v>
      </c>
      <c r="E268" s="2953">
        <v>103.7864</v>
      </c>
      <c r="F268" s="2953">
        <f t="shared" ca="1" si="31"/>
        <v>5251719</v>
      </c>
      <c r="G268" s="2953">
        <f t="shared" ca="1" si="32"/>
        <v>50601</v>
      </c>
      <c r="I268" s="2953">
        <f t="shared" si="37"/>
        <v>104.75</v>
      </c>
      <c r="J268" s="2953">
        <v>100</v>
      </c>
      <c r="K268" s="2953">
        <f t="shared" si="33"/>
        <v>108.72</v>
      </c>
      <c r="L268" s="2953">
        <f t="shared" ca="1" si="30"/>
        <v>5251719</v>
      </c>
    </row>
    <row r="269" spans="1:12">
      <c r="A269" s="2953" t="s">
        <v>3069</v>
      </c>
      <c r="B269" s="2953" t="s">
        <v>3110</v>
      </c>
      <c r="C269" s="2953">
        <v>22</v>
      </c>
      <c r="D269" s="2953" t="s">
        <v>3107</v>
      </c>
      <c r="E269" s="2953">
        <v>103.7864</v>
      </c>
      <c r="F269" s="2953">
        <f t="shared" ca="1" si="31"/>
        <v>5251719</v>
      </c>
      <c r="G269" s="2953">
        <f t="shared" ca="1" si="32"/>
        <v>50601</v>
      </c>
      <c r="I269" s="2953">
        <f t="shared" si="37"/>
        <v>104.75</v>
      </c>
      <c r="J269" s="2953">
        <v>100</v>
      </c>
      <c r="K269" s="2953">
        <f t="shared" si="33"/>
        <v>108.72</v>
      </c>
      <c r="L269" s="2953">
        <f t="shared" ca="1" si="30"/>
        <v>5251719</v>
      </c>
    </row>
    <row r="270" spans="1:12">
      <c r="A270" s="2953" t="s">
        <v>3069</v>
      </c>
      <c r="B270" s="2953" t="s">
        <v>3110</v>
      </c>
      <c r="C270" s="2953">
        <v>22</v>
      </c>
      <c r="D270" s="2953" t="s">
        <v>3108</v>
      </c>
      <c r="E270" s="2953">
        <v>131.50129999999999</v>
      </c>
      <c r="F270" s="2953">
        <f t="shared" ca="1" si="31"/>
        <v>6587352</v>
      </c>
      <c r="G270" s="2953">
        <f t="shared" ca="1" si="32"/>
        <v>50093</v>
      </c>
      <c r="I270" s="2953">
        <f t="shared" si="37"/>
        <v>104.75</v>
      </c>
      <c r="J270" s="2953">
        <v>99</v>
      </c>
      <c r="K270" s="2953">
        <f t="shared" si="33"/>
        <v>136.37</v>
      </c>
      <c r="L270" s="2953">
        <f t="shared" ca="1" si="30"/>
        <v>6587352</v>
      </c>
    </row>
    <row r="271" spans="1:12">
      <c r="A271" s="2953" t="s">
        <v>3069</v>
      </c>
      <c r="B271" s="2953" t="s">
        <v>3110</v>
      </c>
      <c r="C271" s="2953">
        <v>22</v>
      </c>
      <c r="D271" s="2953" t="s">
        <v>3109</v>
      </c>
      <c r="E271" s="2953">
        <v>131.83160000000001</v>
      </c>
      <c r="F271" s="2953">
        <f t="shared" ca="1" si="31"/>
        <v>6603776</v>
      </c>
      <c r="G271" s="2953">
        <f t="shared" ca="1" si="32"/>
        <v>50093</v>
      </c>
      <c r="I271" s="2953">
        <f t="shared" si="37"/>
        <v>104.75</v>
      </c>
      <c r="J271" s="2953">
        <v>99</v>
      </c>
      <c r="K271" s="2953">
        <f t="shared" si="33"/>
        <v>136.71</v>
      </c>
      <c r="L271" s="2953">
        <f t="shared" ca="1" si="30"/>
        <v>6603776</v>
      </c>
    </row>
    <row r="272" spans="1:12">
      <c r="A272" s="2953" t="s">
        <v>3069</v>
      </c>
      <c r="B272" s="2953" t="s">
        <v>3115</v>
      </c>
      <c r="C272" s="2953">
        <v>22</v>
      </c>
      <c r="D272" s="2953" t="s">
        <v>3071</v>
      </c>
      <c r="E272" s="2953">
        <v>90.76</v>
      </c>
      <c r="F272" s="2953">
        <f t="shared" ca="1" si="31"/>
        <v>4592356</v>
      </c>
      <c r="G272" s="2953">
        <f t="shared" ca="1" si="32"/>
        <v>50599</v>
      </c>
      <c r="I272" s="2953">
        <f t="shared" si="37"/>
        <v>104.75</v>
      </c>
      <c r="J272" s="2953">
        <v>100</v>
      </c>
      <c r="K272" s="2953">
        <f t="shared" si="33"/>
        <v>95.07</v>
      </c>
      <c r="L272" s="2953">
        <f t="shared" ca="1" si="30"/>
        <v>4592356</v>
      </c>
    </row>
    <row r="273" spans="1:12">
      <c r="A273" s="2953" t="s">
        <v>3069</v>
      </c>
      <c r="B273" s="2953" t="s">
        <v>3115</v>
      </c>
      <c r="C273" s="2953">
        <v>22</v>
      </c>
      <c r="D273" s="2953" t="s">
        <v>3107</v>
      </c>
      <c r="E273" s="2953">
        <v>90.850399999999993</v>
      </c>
      <c r="F273" s="2953">
        <f t="shared" ca="1" si="31"/>
        <v>4597186</v>
      </c>
      <c r="G273" s="2953">
        <f t="shared" ca="1" si="32"/>
        <v>50602</v>
      </c>
      <c r="I273" s="2953">
        <f t="shared" si="37"/>
        <v>104.75</v>
      </c>
      <c r="J273" s="2953">
        <v>100</v>
      </c>
      <c r="K273" s="2953">
        <f t="shared" si="33"/>
        <v>95.17</v>
      </c>
      <c r="L273" s="2953">
        <f t="shared" ca="1" si="30"/>
        <v>4597186</v>
      </c>
    </row>
    <row r="274" spans="1:12">
      <c r="A274" s="2953" t="s">
        <v>3069</v>
      </c>
      <c r="B274" s="2953" t="s">
        <v>3115</v>
      </c>
      <c r="C274" s="2953">
        <v>22</v>
      </c>
      <c r="D274" s="2953" t="s">
        <v>3108</v>
      </c>
      <c r="E274" s="2953">
        <v>92.628600000000006</v>
      </c>
      <c r="F274" s="2953">
        <f t="shared" ca="1" si="31"/>
        <v>4687034</v>
      </c>
      <c r="G274" s="2953">
        <f t="shared" ca="1" si="32"/>
        <v>50600</v>
      </c>
      <c r="I274" s="2953">
        <f t="shared" si="37"/>
        <v>104.75</v>
      </c>
      <c r="J274" s="2953">
        <v>100</v>
      </c>
      <c r="K274" s="2953">
        <f t="shared" si="33"/>
        <v>97.03</v>
      </c>
      <c r="L274" s="2953">
        <f t="shared" ca="1" si="30"/>
        <v>4687034</v>
      </c>
    </row>
    <row r="275" spans="1:12">
      <c r="A275" s="2953" t="s">
        <v>3069</v>
      </c>
      <c r="B275" s="2953" t="s">
        <v>3115</v>
      </c>
      <c r="C275" s="2953">
        <v>22</v>
      </c>
      <c r="D275" s="2953" t="s">
        <v>3109</v>
      </c>
      <c r="E275" s="2953">
        <v>92.628600000000006</v>
      </c>
      <c r="F275" s="2953">
        <f t="shared" ca="1" si="31"/>
        <v>4687034</v>
      </c>
      <c r="G275" s="2953">
        <f t="shared" ca="1" si="32"/>
        <v>50600</v>
      </c>
      <c r="I275" s="2953">
        <f t="shared" si="37"/>
        <v>104.75</v>
      </c>
      <c r="J275" s="2953">
        <v>100</v>
      </c>
      <c r="K275" s="2953">
        <f t="shared" si="33"/>
        <v>97.03</v>
      </c>
      <c r="L275" s="2953">
        <f t="shared" ca="1" si="30"/>
        <v>4687034</v>
      </c>
    </row>
    <row r="276" spans="1:12">
      <c r="A276" s="2953" t="s">
        <v>3069</v>
      </c>
      <c r="B276" s="2953" t="s">
        <v>3106</v>
      </c>
      <c r="C276" s="2953">
        <v>23</v>
      </c>
      <c r="D276" s="2953" t="s">
        <v>3071</v>
      </c>
      <c r="E276" s="2953">
        <v>103.6872</v>
      </c>
      <c r="F276" s="2953">
        <f t="shared" ca="1" si="31"/>
        <v>5258965</v>
      </c>
      <c r="G276" s="2953">
        <f t="shared" ca="1" si="32"/>
        <v>50720</v>
      </c>
      <c r="I276" s="2953">
        <f>I275+$I$34</f>
        <v>105</v>
      </c>
      <c r="J276" s="2953">
        <v>100</v>
      </c>
      <c r="K276" s="2953">
        <f t="shared" si="33"/>
        <v>108.87</v>
      </c>
      <c r="L276" s="2953">
        <f t="shared" ca="1" si="30"/>
        <v>5258965</v>
      </c>
    </row>
    <row r="277" spans="1:12">
      <c r="A277" s="2953" t="s">
        <v>3069</v>
      </c>
      <c r="B277" s="2953" t="s">
        <v>3106</v>
      </c>
      <c r="C277" s="2953">
        <v>23</v>
      </c>
      <c r="D277" s="2953" t="s">
        <v>3107</v>
      </c>
      <c r="E277" s="2953">
        <v>103.7864</v>
      </c>
      <c r="F277" s="2953">
        <f t="shared" ca="1" si="31"/>
        <v>5264278</v>
      </c>
      <c r="G277" s="2953">
        <f t="shared" ca="1" si="32"/>
        <v>50722</v>
      </c>
      <c r="I277" s="2953">
        <f>$I$276</f>
        <v>105</v>
      </c>
      <c r="J277" s="2953">
        <v>100</v>
      </c>
      <c r="K277" s="2953">
        <f t="shared" si="33"/>
        <v>108.98</v>
      </c>
      <c r="L277" s="2953">
        <f t="shared" ca="1" si="30"/>
        <v>5264278</v>
      </c>
    </row>
    <row r="278" spans="1:12">
      <c r="A278" s="2953" t="s">
        <v>3069</v>
      </c>
      <c r="B278" s="2953" t="s">
        <v>3106</v>
      </c>
      <c r="C278" s="2953">
        <v>23</v>
      </c>
      <c r="D278" s="2953" t="s">
        <v>3108</v>
      </c>
      <c r="E278" s="2953">
        <v>131.83160000000001</v>
      </c>
      <c r="F278" s="2953">
        <f t="shared" ca="1" si="31"/>
        <v>6619716</v>
      </c>
      <c r="G278" s="2953">
        <f t="shared" ca="1" si="32"/>
        <v>50213</v>
      </c>
      <c r="I278" s="2953">
        <f t="shared" ref="I278:I287" si="38">$I$276</f>
        <v>105</v>
      </c>
      <c r="J278" s="2953">
        <v>99</v>
      </c>
      <c r="K278" s="2953">
        <f t="shared" si="33"/>
        <v>137.04</v>
      </c>
      <c r="L278" s="2953">
        <f t="shared" ca="1" si="30"/>
        <v>6619716</v>
      </c>
    </row>
    <row r="279" spans="1:12">
      <c r="A279" s="2953" t="s">
        <v>3069</v>
      </c>
      <c r="B279" s="2953" t="s">
        <v>3106</v>
      </c>
      <c r="C279" s="2953">
        <v>23</v>
      </c>
      <c r="D279" s="2953" t="s">
        <v>3109</v>
      </c>
      <c r="E279" s="2953">
        <v>131.6439</v>
      </c>
      <c r="F279" s="2953">
        <f t="shared" ca="1" si="31"/>
        <v>6610055</v>
      </c>
      <c r="G279" s="2953">
        <f t="shared" ca="1" si="32"/>
        <v>50212</v>
      </c>
      <c r="I279" s="2953">
        <f t="shared" si="38"/>
        <v>105</v>
      </c>
      <c r="J279" s="2953">
        <v>99</v>
      </c>
      <c r="K279" s="2953">
        <f t="shared" si="33"/>
        <v>136.84</v>
      </c>
      <c r="L279" s="2953">
        <f t="shared" ca="1" si="30"/>
        <v>6610055</v>
      </c>
    </row>
    <row r="280" spans="1:12">
      <c r="A280" s="2953" t="s">
        <v>3069</v>
      </c>
      <c r="B280" s="2953" t="s">
        <v>3110</v>
      </c>
      <c r="C280" s="2953">
        <v>23</v>
      </c>
      <c r="D280" s="2953" t="s">
        <v>3071</v>
      </c>
      <c r="E280" s="2953">
        <v>103.7864</v>
      </c>
      <c r="F280" s="2953">
        <f t="shared" ca="1" si="31"/>
        <v>5264278</v>
      </c>
      <c r="G280" s="2953">
        <f t="shared" ca="1" si="32"/>
        <v>50722</v>
      </c>
      <c r="I280" s="2953">
        <f t="shared" si="38"/>
        <v>105</v>
      </c>
      <c r="J280" s="2953">
        <v>100</v>
      </c>
      <c r="K280" s="2953">
        <f t="shared" si="33"/>
        <v>108.98</v>
      </c>
      <c r="L280" s="2953">
        <f t="shared" ca="1" si="30"/>
        <v>5264278</v>
      </c>
    </row>
    <row r="281" spans="1:12">
      <c r="A281" s="2953" t="s">
        <v>3069</v>
      </c>
      <c r="B281" s="2953" t="s">
        <v>3110</v>
      </c>
      <c r="C281" s="2953">
        <v>23</v>
      </c>
      <c r="D281" s="2953" t="s">
        <v>3107</v>
      </c>
      <c r="E281" s="2953">
        <v>103.7864</v>
      </c>
      <c r="F281" s="2953">
        <f t="shared" ca="1" si="31"/>
        <v>5264278</v>
      </c>
      <c r="G281" s="2953">
        <f t="shared" ca="1" si="32"/>
        <v>50722</v>
      </c>
      <c r="I281" s="2953">
        <f t="shared" si="38"/>
        <v>105</v>
      </c>
      <c r="J281" s="2953">
        <v>100</v>
      </c>
      <c r="K281" s="2953">
        <f t="shared" si="33"/>
        <v>108.98</v>
      </c>
      <c r="L281" s="2953">
        <f t="shared" ca="1" si="30"/>
        <v>5264278</v>
      </c>
    </row>
    <row r="282" spans="1:12">
      <c r="A282" s="2953" t="s">
        <v>3069</v>
      </c>
      <c r="B282" s="2953" t="s">
        <v>3110</v>
      </c>
      <c r="C282" s="2953">
        <v>23</v>
      </c>
      <c r="D282" s="2953" t="s">
        <v>3108</v>
      </c>
      <c r="E282" s="2953">
        <v>131.50129999999999</v>
      </c>
      <c r="F282" s="2953">
        <f t="shared" ca="1" si="31"/>
        <v>6603293</v>
      </c>
      <c r="G282" s="2953">
        <f t="shared" ca="1" si="32"/>
        <v>50215</v>
      </c>
      <c r="I282" s="2953">
        <f t="shared" si="38"/>
        <v>105</v>
      </c>
      <c r="J282" s="2953">
        <v>99</v>
      </c>
      <c r="K282" s="2953">
        <f t="shared" si="33"/>
        <v>136.69999999999999</v>
      </c>
      <c r="L282" s="2953">
        <f t="shared" ca="1" si="30"/>
        <v>6603293</v>
      </c>
    </row>
    <row r="283" spans="1:12">
      <c r="A283" s="2953" t="s">
        <v>3069</v>
      </c>
      <c r="B283" s="2953" t="s">
        <v>3110</v>
      </c>
      <c r="C283" s="2953">
        <v>23</v>
      </c>
      <c r="D283" s="2953" t="s">
        <v>3109</v>
      </c>
      <c r="E283" s="2953">
        <v>131.83160000000001</v>
      </c>
      <c r="F283" s="2953">
        <f t="shared" ca="1" si="31"/>
        <v>6619716</v>
      </c>
      <c r="G283" s="2953">
        <f t="shared" ca="1" si="32"/>
        <v>50213</v>
      </c>
      <c r="I283" s="2953">
        <f t="shared" si="38"/>
        <v>105</v>
      </c>
      <c r="J283" s="2953">
        <v>99</v>
      </c>
      <c r="K283" s="2953">
        <f t="shared" si="33"/>
        <v>137.04</v>
      </c>
      <c r="L283" s="2953">
        <f t="shared" ca="1" si="30"/>
        <v>6619716</v>
      </c>
    </row>
    <row r="284" spans="1:12">
      <c r="A284" s="2953" t="s">
        <v>3069</v>
      </c>
      <c r="B284" s="2953" t="s">
        <v>3115</v>
      </c>
      <c r="C284" s="2953">
        <v>23</v>
      </c>
      <c r="D284" s="2953" t="s">
        <v>3071</v>
      </c>
      <c r="E284" s="2953">
        <v>90.76</v>
      </c>
      <c r="F284" s="2953">
        <f t="shared" ca="1" si="31"/>
        <v>4603466</v>
      </c>
      <c r="G284" s="2953">
        <f t="shared" ca="1" si="32"/>
        <v>50721</v>
      </c>
      <c r="I284" s="2953">
        <f t="shared" si="38"/>
        <v>105</v>
      </c>
      <c r="J284" s="2953">
        <v>100</v>
      </c>
      <c r="K284" s="2953">
        <f t="shared" si="33"/>
        <v>95.3</v>
      </c>
      <c r="L284" s="2953">
        <f t="shared" ca="1" si="30"/>
        <v>4603466</v>
      </c>
    </row>
    <row r="285" spans="1:12">
      <c r="A285" s="2953" t="s">
        <v>3069</v>
      </c>
      <c r="B285" s="2953" t="s">
        <v>3115</v>
      </c>
      <c r="C285" s="2953">
        <v>23</v>
      </c>
      <c r="D285" s="2953" t="s">
        <v>3107</v>
      </c>
      <c r="E285" s="2953">
        <v>90.850399999999993</v>
      </c>
      <c r="F285" s="2953">
        <f t="shared" ca="1" si="31"/>
        <v>4607813</v>
      </c>
      <c r="G285" s="2953">
        <f t="shared" ca="1" si="32"/>
        <v>50719</v>
      </c>
      <c r="I285" s="2953">
        <f t="shared" si="38"/>
        <v>105</v>
      </c>
      <c r="J285" s="2953">
        <v>100</v>
      </c>
      <c r="K285" s="2953">
        <f t="shared" si="33"/>
        <v>95.39</v>
      </c>
      <c r="L285" s="2953">
        <f t="shared" ca="1" si="30"/>
        <v>4607813</v>
      </c>
    </row>
    <row r="286" spans="1:12">
      <c r="A286" s="2953" t="s">
        <v>3069</v>
      </c>
      <c r="B286" s="2953" t="s">
        <v>3115</v>
      </c>
      <c r="C286" s="2953">
        <v>23</v>
      </c>
      <c r="D286" s="2953" t="s">
        <v>3108</v>
      </c>
      <c r="E286" s="2953">
        <v>92.628600000000006</v>
      </c>
      <c r="F286" s="2953">
        <f t="shared" ca="1" si="31"/>
        <v>4698144</v>
      </c>
      <c r="G286" s="2953">
        <f t="shared" ca="1" si="32"/>
        <v>50720</v>
      </c>
      <c r="I286" s="2953">
        <f t="shared" si="38"/>
        <v>105</v>
      </c>
      <c r="J286" s="2953">
        <v>100</v>
      </c>
      <c r="K286" s="2953">
        <f t="shared" si="33"/>
        <v>97.26</v>
      </c>
      <c r="L286" s="2953">
        <f t="shared" ca="1" si="30"/>
        <v>4698144</v>
      </c>
    </row>
    <row r="287" spans="1:12">
      <c r="A287" s="2953" t="s">
        <v>3069</v>
      </c>
      <c r="B287" s="2953" t="s">
        <v>3115</v>
      </c>
      <c r="C287" s="2953">
        <v>23</v>
      </c>
      <c r="D287" s="2953" t="s">
        <v>3109</v>
      </c>
      <c r="E287" s="2953">
        <v>92.628600000000006</v>
      </c>
      <c r="F287" s="2953">
        <f t="shared" ca="1" si="31"/>
        <v>4698144</v>
      </c>
      <c r="G287" s="2953">
        <f t="shared" ca="1" si="32"/>
        <v>50720</v>
      </c>
      <c r="I287" s="2953">
        <f t="shared" si="38"/>
        <v>105</v>
      </c>
      <c r="J287" s="2953">
        <v>100</v>
      </c>
      <c r="K287" s="2953">
        <f t="shared" si="33"/>
        <v>97.26</v>
      </c>
      <c r="L287" s="2953">
        <f t="shared" ca="1" si="30"/>
        <v>4698144</v>
      </c>
    </row>
    <row r="288" spans="1:12">
      <c r="A288" s="2953" t="s">
        <v>3069</v>
      </c>
      <c r="B288" s="2953" t="s">
        <v>3106</v>
      </c>
      <c r="C288" s="2953">
        <v>24</v>
      </c>
      <c r="D288" s="2953" t="s">
        <v>3071</v>
      </c>
      <c r="E288" s="2953">
        <v>103.6872</v>
      </c>
      <c r="F288" s="2953">
        <f t="shared" ca="1" si="31"/>
        <v>5271524</v>
      </c>
      <c r="G288" s="2953">
        <f t="shared" ca="1" si="32"/>
        <v>50841</v>
      </c>
      <c r="I288" s="2953">
        <f>I287+$I$34</f>
        <v>105.25</v>
      </c>
      <c r="J288" s="2953">
        <v>100</v>
      </c>
      <c r="K288" s="2953">
        <f t="shared" si="33"/>
        <v>109.13</v>
      </c>
      <c r="L288" s="2953">
        <f t="shared" ca="1" si="30"/>
        <v>5271524</v>
      </c>
    </row>
    <row r="289" spans="1:12">
      <c r="A289" s="2953" t="s">
        <v>3069</v>
      </c>
      <c r="B289" s="2953" t="s">
        <v>3106</v>
      </c>
      <c r="C289" s="2953">
        <v>24</v>
      </c>
      <c r="D289" s="2953" t="s">
        <v>3107</v>
      </c>
      <c r="E289" s="2953">
        <v>103.7864</v>
      </c>
      <c r="F289" s="2953">
        <f t="shared" ca="1" si="31"/>
        <v>5276838</v>
      </c>
      <c r="G289" s="2953">
        <f t="shared" ca="1" si="32"/>
        <v>50843</v>
      </c>
      <c r="I289" s="2953">
        <f>$I$288</f>
        <v>105.25</v>
      </c>
      <c r="J289" s="2953">
        <v>100</v>
      </c>
      <c r="K289" s="2953">
        <f t="shared" si="33"/>
        <v>109.24</v>
      </c>
      <c r="L289" s="2953">
        <f t="shared" ca="1" si="30"/>
        <v>5276838</v>
      </c>
    </row>
    <row r="290" spans="1:12">
      <c r="A290" s="2953" t="s">
        <v>3069</v>
      </c>
      <c r="B290" s="2953" t="s">
        <v>3106</v>
      </c>
      <c r="C290" s="2953">
        <v>24</v>
      </c>
      <c r="D290" s="2953" t="s">
        <v>3108</v>
      </c>
      <c r="E290" s="2953">
        <v>131.83160000000001</v>
      </c>
      <c r="F290" s="2953">
        <f t="shared" ca="1" si="31"/>
        <v>6635657</v>
      </c>
      <c r="G290" s="2953">
        <f t="shared" ca="1" si="32"/>
        <v>50334</v>
      </c>
      <c r="I290" s="2953">
        <f t="shared" ref="I290:I298" si="39">$I$288</f>
        <v>105.25</v>
      </c>
      <c r="J290" s="2953">
        <v>99</v>
      </c>
      <c r="K290" s="2953">
        <f t="shared" si="33"/>
        <v>137.37</v>
      </c>
      <c r="L290" s="2953">
        <f t="shared" ca="1" si="30"/>
        <v>6635657</v>
      </c>
    </row>
    <row r="291" spans="1:12">
      <c r="A291" s="2953" t="s">
        <v>3069</v>
      </c>
      <c r="B291" s="2953" t="s">
        <v>3106</v>
      </c>
      <c r="C291" s="2953">
        <v>24</v>
      </c>
      <c r="D291" s="2953" t="s">
        <v>3109</v>
      </c>
      <c r="E291" s="2953">
        <v>131.6439</v>
      </c>
      <c r="F291" s="2953">
        <f t="shared" ca="1" si="31"/>
        <v>6625996</v>
      </c>
      <c r="G291" s="2953">
        <f t="shared" ca="1" si="32"/>
        <v>50333</v>
      </c>
      <c r="I291" s="2953">
        <f t="shared" si="39"/>
        <v>105.25</v>
      </c>
      <c r="J291" s="2953">
        <v>99</v>
      </c>
      <c r="K291" s="2953">
        <f t="shared" si="33"/>
        <v>137.16999999999999</v>
      </c>
      <c r="L291" s="2953">
        <f t="shared" ca="1" si="30"/>
        <v>6625996</v>
      </c>
    </row>
    <row r="292" spans="1:12">
      <c r="A292" s="2953" t="s">
        <v>3069</v>
      </c>
      <c r="B292" s="2953" t="s">
        <v>3110</v>
      </c>
      <c r="C292" s="2953">
        <v>24</v>
      </c>
      <c r="D292" s="2953" t="s">
        <v>3071</v>
      </c>
      <c r="E292" s="2953">
        <v>103.7864</v>
      </c>
      <c r="F292" s="2953">
        <f t="shared" ca="1" si="31"/>
        <v>5276838</v>
      </c>
      <c r="G292" s="2953">
        <f t="shared" ca="1" si="32"/>
        <v>50843</v>
      </c>
      <c r="I292" s="2953">
        <f t="shared" si="39"/>
        <v>105.25</v>
      </c>
      <c r="J292" s="2953">
        <v>100</v>
      </c>
      <c r="K292" s="2953">
        <f t="shared" si="33"/>
        <v>109.24</v>
      </c>
      <c r="L292" s="2953">
        <f t="shared" ref="L292:L355" ca="1" si="40">ROUND($L$392/$K$392*K292*10000,0)</f>
        <v>5276838</v>
      </c>
    </row>
    <row r="293" spans="1:12">
      <c r="A293" s="2953" t="s">
        <v>3069</v>
      </c>
      <c r="B293" s="2953" t="s">
        <v>3110</v>
      </c>
      <c r="C293" s="2953">
        <v>24</v>
      </c>
      <c r="D293" s="2953" t="s">
        <v>3107</v>
      </c>
      <c r="E293" s="2953">
        <v>103.7864</v>
      </c>
      <c r="F293" s="2953">
        <f t="shared" ref="F293:F356" ca="1" si="41">L293</f>
        <v>5276838</v>
      </c>
      <c r="G293" s="2953">
        <f t="shared" ref="G293:G356" ca="1" si="42">ROUND(F293/E293,0)</f>
        <v>50843</v>
      </c>
      <c r="I293" s="2953">
        <f t="shared" si="39"/>
        <v>105.25</v>
      </c>
      <c r="J293" s="2953">
        <v>100</v>
      </c>
      <c r="K293" s="2953">
        <f t="shared" ref="K293:K356" si="43">ROUND(E293*1*I293/100*J293/100,2)</f>
        <v>109.24</v>
      </c>
      <c r="L293" s="2953">
        <f t="shared" ca="1" si="40"/>
        <v>5276838</v>
      </c>
    </row>
    <row r="294" spans="1:12">
      <c r="A294" s="2953" t="s">
        <v>3069</v>
      </c>
      <c r="B294" s="2953" t="s">
        <v>3110</v>
      </c>
      <c r="C294" s="2953">
        <v>24</v>
      </c>
      <c r="D294" s="2953" t="s">
        <v>3108</v>
      </c>
      <c r="E294" s="2953">
        <v>131.50129999999999</v>
      </c>
      <c r="F294" s="2953">
        <f t="shared" ca="1" si="41"/>
        <v>6618750</v>
      </c>
      <c r="G294" s="2953">
        <f t="shared" ca="1" si="42"/>
        <v>50332</v>
      </c>
      <c r="I294" s="2953">
        <f t="shared" si="39"/>
        <v>105.25</v>
      </c>
      <c r="J294" s="2953">
        <v>99</v>
      </c>
      <c r="K294" s="2953">
        <f t="shared" si="43"/>
        <v>137.02000000000001</v>
      </c>
      <c r="L294" s="2953">
        <f t="shared" ca="1" si="40"/>
        <v>6618750</v>
      </c>
    </row>
    <row r="295" spans="1:12">
      <c r="A295" s="2953" t="s">
        <v>3069</v>
      </c>
      <c r="B295" s="2953" t="s">
        <v>3110</v>
      </c>
      <c r="C295" s="2953">
        <v>24</v>
      </c>
      <c r="D295" s="2953" t="s">
        <v>3109</v>
      </c>
      <c r="E295" s="2953">
        <v>131.83160000000001</v>
      </c>
      <c r="F295" s="2953">
        <f t="shared" ca="1" si="41"/>
        <v>6635657</v>
      </c>
      <c r="G295" s="2953">
        <f t="shared" ca="1" si="42"/>
        <v>50334</v>
      </c>
      <c r="I295" s="2953">
        <f t="shared" si="39"/>
        <v>105.25</v>
      </c>
      <c r="J295" s="2953">
        <v>99</v>
      </c>
      <c r="K295" s="2953">
        <f t="shared" si="43"/>
        <v>137.37</v>
      </c>
      <c r="L295" s="2953">
        <f t="shared" ca="1" si="40"/>
        <v>6635657</v>
      </c>
    </row>
    <row r="296" spans="1:12">
      <c r="A296" s="2953" t="s">
        <v>3069</v>
      </c>
      <c r="B296" s="2953" t="s">
        <v>3115</v>
      </c>
      <c r="C296" s="2953">
        <v>24</v>
      </c>
      <c r="D296" s="2953" t="s">
        <v>3071</v>
      </c>
      <c r="E296" s="2953">
        <v>90.76</v>
      </c>
      <c r="F296" s="2953">
        <f t="shared" ca="1" si="41"/>
        <v>4614093</v>
      </c>
      <c r="G296" s="2953">
        <f t="shared" ca="1" si="42"/>
        <v>50838</v>
      </c>
      <c r="I296" s="2953">
        <f t="shared" si="39"/>
        <v>105.25</v>
      </c>
      <c r="J296" s="2953">
        <v>100</v>
      </c>
      <c r="K296" s="2953">
        <f t="shared" si="43"/>
        <v>95.52</v>
      </c>
      <c r="L296" s="2953">
        <f t="shared" ca="1" si="40"/>
        <v>4614093</v>
      </c>
    </row>
    <row r="297" spans="1:12">
      <c r="A297" s="2953" t="s">
        <v>3069</v>
      </c>
      <c r="B297" s="2953" t="s">
        <v>3115</v>
      </c>
      <c r="C297" s="2953">
        <v>24</v>
      </c>
      <c r="D297" s="2953" t="s">
        <v>3107</v>
      </c>
      <c r="E297" s="2953">
        <v>90.850399999999993</v>
      </c>
      <c r="F297" s="2953">
        <f t="shared" ca="1" si="41"/>
        <v>4618924</v>
      </c>
      <c r="G297" s="2953">
        <f t="shared" ca="1" si="42"/>
        <v>50841</v>
      </c>
      <c r="I297" s="2953">
        <f t="shared" si="39"/>
        <v>105.25</v>
      </c>
      <c r="J297" s="2953">
        <v>100</v>
      </c>
      <c r="K297" s="2953">
        <f t="shared" si="43"/>
        <v>95.62</v>
      </c>
      <c r="L297" s="2953">
        <f t="shared" ca="1" si="40"/>
        <v>4618924</v>
      </c>
    </row>
    <row r="298" spans="1:12">
      <c r="A298" s="2953" t="s">
        <v>3069</v>
      </c>
      <c r="B298" s="2953" t="s">
        <v>3115</v>
      </c>
      <c r="C298" s="2953">
        <v>24</v>
      </c>
      <c r="D298" s="2953" t="s">
        <v>3108</v>
      </c>
      <c r="E298" s="2953">
        <v>92.628600000000006</v>
      </c>
      <c r="F298" s="2953">
        <f t="shared" ca="1" si="41"/>
        <v>4709254</v>
      </c>
      <c r="G298" s="2953">
        <f t="shared" ca="1" si="42"/>
        <v>50840</v>
      </c>
      <c r="I298" s="2953">
        <f t="shared" si="39"/>
        <v>105.25</v>
      </c>
      <c r="J298" s="2953">
        <v>100</v>
      </c>
      <c r="K298" s="2953">
        <f t="shared" si="43"/>
        <v>97.49</v>
      </c>
      <c r="L298" s="2953">
        <f t="shared" ca="1" si="40"/>
        <v>4709254</v>
      </c>
    </row>
    <row r="299" spans="1:12">
      <c r="A299" s="2953" t="s">
        <v>3069</v>
      </c>
      <c r="B299" s="2953" t="s">
        <v>3115</v>
      </c>
      <c r="C299" s="2953">
        <v>24</v>
      </c>
      <c r="D299" s="2953" t="s">
        <v>3109</v>
      </c>
      <c r="E299" s="2953">
        <v>92.628600000000006</v>
      </c>
      <c r="F299" s="2953">
        <f t="shared" ca="1" si="41"/>
        <v>4709254</v>
      </c>
      <c r="G299" s="2953">
        <f t="shared" ca="1" si="42"/>
        <v>50840</v>
      </c>
      <c r="I299" s="2953">
        <f>$I$288</f>
        <v>105.25</v>
      </c>
      <c r="J299" s="2953">
        <v>100</v>
      </c>
      <c r="K299" s="2953">
        <f t="shared" si="43"/>
        <v>97.49</v>
      </c>
      <c r="L299" s="2953">
        <f t="shared" ca="1" si="40"/>
        <v>4709254</v>
      </c>
    </row>
    <row r="300" spans="1:12">
      <c r="A300" s="2953" t="s">
        <v>3069</v>
      </c>
      <c r="B300" s="2953" t="s">
        <v>3106</v>
      </c>
      <c r="C300" s="2953">
        <v>25</v>
      </c>
      <c r="D300" s="2953" t="s">
        <v>3071</v>
      </c>
      <c r="E300" s="2953">
        <v>103.6872</v>
      </c>
      <c r="F300" s="2953">
        <f t="shared" ca="1" si="41"/>
        <v>5284083</v>
      </c>
      <c r="G300" s="2953">
        <f t="shared" ca="1" si="42"/>
        <v>50962</v>
      </c>
      <c r="I300" s="2953">
        <f>I299+$I$34</f>
        <v>105.5</v>
      </c>
      <c r="J300" s="2953">
        <v>100</v>
      </c>
      <c r="K300" s="2953">
        <f t="shared" si="43"/>
        <v>109.39</v>
      </c>
      <c r="L300" s="2953">
        <f t="shared" ca="1" si="40"/>
        <v>5284083</v>
      </c>
    </row>
    <row r="301" spans="1:12">
      <c r="A301" s="2953" t="s">
        <v>3069</v>
      </c>
      <c r="B301" s="2953" t="s">
        <v>3106</v>
      </c>
      <c r="C301" s="2953">
        <v>25</v>
      </c>
      <c r="D301" s="2953" t="s">
        <v>3107</v>
      </c>
      <c r="E301" s="2953">
        <v>103.7864</v>
      </c>
      <c r="F301" s="2953">
        <f t="shared" ca="1" si="41"/>
        <v>5288914</v>
      </c>
      <c r="G301" s="2953">
        <f t="shared" ca="1" si="42"/>
        <v>50960</v>
      </c>
      <c r="I301" s="2953">
        <f>$I$300</f>
        <v>105.5</v>
      </c>
      <c r="J301" s="2953">
        <v>100</v>
      </c>
      <c r="K301" s="2953">
        <f t="shared" si="43"/>
        <v>109.49</v>
      </c>
      <c r="L301" s="2953">
        <f t="shared" ca="1" si="40"/>
        <v>5288914</v>
      </c>
    </row>
    <row r="302" spans="1:12">
      <c r="A302" s="2953" t="s">
        <v>3069</v>
      </c>
      <c r="B302" s="2953" t="s">
        <v>3106</v>
      </c>
      <c r="C302" s="2953">
        <v>25</v>
      </c>
      <c r="D302" s="2953" t="s">
        <v>3108</v>
      </c>
      <c r="E302" s="2953">
        <v>131.83160000000001</v>
      </c>
      <c r="F302" s="2953">
        <f t="shared" ca="1" si="41"/>
        <v>6651115</v>
      </c>
      <c r="G302" s="2953">
        <f t="shared" ca="1" si="42"/>
        <v>50452</v>
      </c>
      <c r="I302" s="2953">
        <f t="shared" ref="I302:I311" si="44">$I$300</f>
        <v>105.5</v>
      </c>
      <c r="J302" s="2953">
        <v>99</v>
      </c>
      <c r="K302" s="2953">
        <f t="shared" si="43"/>
        <v>137.69</v>
      </c>
      <c r="L302" s="2953">
        <f t="shared" ca="1" si="40"/>
        <v>6651115</v>
      </c>
    </row>
    <row r="303" spans="1:12">
      <c r="A303" s="2953" t="s">
        <v>3069</v>
      </c>
      <c r="B303" s="2953" t="s">
        <v>3106</v>
      </c>
      <c r="C303" s="2953">
        <v>25</v>
      </c>
      <c r="D303" s="2953" t="s">
        <v>3109</v>
      </c>
      <c r="E303" s="2953">
        <v>131.6439</v>
      </c>
      <c r="F303" s="2953">
        <f t="shared" ca="1" si="41"/>
        <v>6641937</v>
      </c>
      <c r="G303" s="2953">
        <f t="shared" ca="1" si="42"/>
        <v>50454</v>
      </c>
      <c r="I303" s="2953">
        <f t="shared" si="44"/>
        <v>105.5</v>
      </c>
      <c r="J303" s="2953">
        <v>99</v>
      </c>
      <c r="K303" s="2953">
        <f t="shared" si="43"/>
        <v>137.5</v>
      </c>
      <c r="L303" s="2953">
        <f t="shared" ca="1" si="40"/>
        <v>6641937</v>
      </c>
    </row>
    <row r="304" spans="1:12">
      <c r="A304" s="2953" t="s">
        <v>3069</v>
      </c>
      <c r="B304" s="2953" t="s">
        <v>3110</v>
      </c>
      <c r="C304" s="2953">
        <v>25</v>
      </c>
      <c r="D304" s="2953" t="s">
        <v>3071</v>
      </c>
      <c r="E304" s="2953">
        <v>103.7864</v>
      </c>
      <c r="F304" s="2953">
        <f t="shared" ca="1" si="41"/>
        <v>5288914</v>
      </c>
      <c r="G304" s="2953">
        <f t="shared" ca="1" si="42"/>
        <v>50960</v>
      </c>
      <c r="I304" s="2953">
        <f t="shared" si="44"/>
        <v>105.5</v>
      </c>
      <c r="J304" s="2953">
        <v>100</v>
      </c>
      <c r="K304" s="2953">
        <f t="shared" si="43"/>
        <v>109.49</v>
      </c>
      <c r="L304" s="2953">
        <f t="shared" ca="1" si="40"/>
        <v>5288914</v>
      </c>
    </row>
    <row r="305" spans="1:12">
      <c r="A305" s="2953" t="s">
        <v>3069</v>
      </c>
      <c r="B305" s="2953" t="s">
        <v>3110</v>
      </c>
      <c r="C305" s="2953">
        <v>25</v>
      </c>
      <c r="D305" s="2953" t="s">
        <v>3107</v>
      </c>
      <c r="E305" s="2953">
        <v>103.7864</v>
      </c>
      <c r="F305" s="2953">
        <f t="shared" ca="1" si="41"/>
        <v>5288914</v>
      </c>
      <c r="G305" s="2953">
        <f t="shared" ca="1" si="42"/>
        <v>50960</v>
      </c>
      <c r="I305" s="2953">
        <f t="shared" si="44"/>
        <v>105.5</v>
      </c>
      <c r="J305" s="2953">
        <v>100</v>
      </c>
      <c r="K305" s="2953">
        <f t="shared" si="43"/>
        <v>109.49</v>
      </c>
      <c r="L305" s="2953">
        <f t="shared" ca="1" si="40"/>
        <v>5288914</v>
      </c>
    </row>
    <row r="306" spans="1:12">
      <c r="A306" s="2953" t="s">
        <v>3069</v>
      </c>
      <c r="B306" s="2953" t="s">
        <v>3110</v>
      </c>
      <c r="C306" s="2953">
        <v>25</v>
      </c>
      <c r="D306" s="2953" t="s">
        <v>3108</v>
      </c>
      <c r="E306" s="2953">
        <v>131.50129999999999</v>
      </c>
      <c r="F306" s="2953">
        <f t="shared" ca="1" si="41"/>
        <v>6634691</v>
      </c>
      <c r="G306" s="2953">
        <f t="shared" ca="1" si="42"/>
        <v>50453</v>
      </c>
      <c r="I306" s="2953">
        <f t="shared" si="44"/>
        <v>105.5</v>
      </c>
      <c r="J306" s="2953">
        <v>99</v>
      </c>
      <c r="K306" s="2953">
        <f t="shared" si="43"/>
        <v>137.35</v>
      </c>
      <c r="L306" s="2953">
        <f t="shared" ca="1" si="40"/>
        <v>6634691</v>
      </c>
    </row>
    <row r="307" spans="1:12">
      <c r="A307" s="2953" t="s">
        <v>3069</v>
      </c>
      <c r="B307" s="2953" t="s">
        <v>3110</v>
      </c>
      <c r="C307" s="2953">
        <v>25</v>
      </c>
      <c r="D307" s="2953" t="s">
        <v>3109</v>
      </c>
      <c r="E307" s="2953">
        <v>131.83160000000001</v>
      </c>
      <c r="F307" s="2953">
        <f t="shared" ca="1" si="41"/>
        <v>6651115</v>
      </c>
      <c r="G307" s="2953">
        <f t="shared" ca="1" si="42"/>
        <v>50452</v>
      </c>
      <c r="I307" s="2953">
        <f t="shared" si="44"/>
        <v>105.5</v>
      </c>
      <c r="J307" s="2953">
        <v>99</v>
      </c>
      <c r="K307" s="2953">
        <f t="shared" si="43"/>
        <v>137.69</v>
      </c>
      <c r="L307" s="2953">
        <f t="shared" ca="1" si="40"/>
        <v>6651115</v>
      </c>
    </row>
    <row r="308" spans="1:12">
      <c r="A308" s="2953" t="s">
        <v>3069</v>
      </c>
      <c r="B308" s="2953" t="s">
        <v>3115</v>
      </c>
      <c r="C308" s="2953">
        <v>25</v>
      </c>
      <c r="D308" s="2953" t="s">
        <v>3071</v>
      </c>
      <c r="E308" s="2953">
        <v>90.76</v>
      </c>
      <c r="F308" s="2953">
        <f t="shared" ca="1" si="41"/>
        <v>4625203</v>
      </c>
      <c r="G308" s="2953">
        <f t="shared" ca="1" si="42"/>
        <v>50961</v>
      </c>
      <c r="I308" s="2953">
        <f t="shared" si="44"/>
        <v>105.5</v>
      </c>
      <c r="J308" s="2953">
        <v>100</v>
      </c>
      <c r="K308" s="2953">
        <f t="shared" si="43"/>
        <v>95.75</v>
      </c>
      <c r="L308" s="2953">
        <f t="shared" ca="1" si="40"/>
        <v>4625203</v>
      </c>
    </row>
    <row r="309" spans="1:12">
      <c r="A309" s="2953" t="s">
        <v>3069</v>
      </c>
      <c r="B309" s="2953" t="s">
        <v>3115</v>
      </c>
      <c r="C309" s="2953">
        <v>25</v>
      </c>
      <c r="D309" s="2953" t="s">
        <v>3107</v>
      </c>
      <c r="E309" s="2953">
        <v>90.850399999999993</v>
      </c>
      <c r="F309" s="2953">
        <f t="shared" ca="1" si="41"/>
        <v>4630034</v>
      </c>
      <c r="G309" s="2953">
        <f t="shared" ca="1" si="42"/>
        <v>50963</v>
      </c>
      <c r="I309" s="2953">
        <f t="shared" si="44"/>
        <v>105.5</v>
      </c>
      <c r="J309" s="2953">
        <v>100</v>
      </c>
      <c r="K309" s="2953">
        <f t="shared" si="43"/>
        <v>95.85</v>
      </c>
      <c r="L309" s="2953">
        <f t="shared" ca="1" si="40"/>
        <v>4630034</v>
      </c>
    </row>
    <row r="310" spans="1:12">
      <c r="A310" s="2953" t="s">
        <v>3069</v>
      </c>
      <c r="B310" s="2953" t="s">
        <v>3115</v>
      </c>
      <c r="C310" s="2953">
        <v>25</v>
      </c>
      <c r="D310" s="2953" t="s">
        <v>3108</v>
      </c>
      <c r="E310" s="2953">
        <v>92.628600000000006</v>
      </c>
      <c r="F310" s="2953">
        <f t="shared" ca="1" si="41"/>
        <v>4720364</v>
      </c>
      <c r="G310" s="2953">
        <f t="shared" ca="1" si="42"/>
        <v>50960</v>
      </c>
      <c r="I310" s="2953">
        <f t="shared" si="44"/>
        <v>105.5</v>
      </c>
      <c r="J310" s="2953">
        <v>100</v>
      </c>
      <c r="K310" s="2953">
        <f t="shared" si="43"/>
        <v>97.72</v>
      </c>
      <c r="L310" s="2953">
        <f t="shared" ca="1" si="40"/>
        <v>4720364</v>
      </c>
    </row>
    <row r="311" spans="1:12">
      <c r="A311" s="2953" t="s">
        <v>3069</v>
      </c>
      <c r="B311" s="2953" t="s">
        <v>3115</v>
      </c>
      <c r="C311" s="2953">
        <v>25</v>
      </c>
      <c r="D311" s="2953" t="s">
        <v>3109</v>
      </c>
      <c r="E311" s="2953">
        <v>92.628600000000006</v>
      </c>
      <c r="F311" s="2953">
        <f t="shared" ca="1" si="41"/>
        <v>4720364</v>
      </c>
      <c r="G311" s="2953">
        <f t="shared" ca="1" si="42"/>
        <v>50960</v>
      </c>
      <c r="I311" s="2953">
        <f t="shared" si="44"/>
        <v>105.5</v>
      </c>
      <c r="J311" s="2953">
        <v>100</v>
      </c>
      <c r="K311" s="2953">
        <f t="shared" si="43"/>
        <v>97.72</v>
      </c>
      <c r="L311" s="2953">
        <f t="shared" ca="1" si="40"/>
        <v>4720364</v>
      </c>
    </row>
    <row r="312" spans="1:12">
      <c r="A312" s="2953" t="s">
        <v>3069</v>
      </c>
      <c r="B312" s="2953" t="s">
        <v>3106</v>
      </c>
      <c r="C312" s="2953">
        <v>26</v>
      </c>
      <c r="D312" s="2953" t="s">
        <v>3071</v>
      </c>
      <c r="E312" s="2953">
        <v>103.6872</v>
      </c>
      <c r="F312" s="2953">
        <f t="shared" ca="1" si="41"/>
        <v>5296643</v>
      </c>
      <c r="G312" s="2953">
        <f t="shared" ca="1" si="42"/>
        <v>51083</v>
      </c>
      <c r="I312" s="2953">
        <f>I311+$I$34</f>
        <v>105.75</v>
      </c>
      <c r="J312" s="2953">
        <v>100</v>
      </c>
      <c r="K312" s="2953">
        <f t="shared" si="43"/>
        <v>109.65</v>
      </c>
      <c r="L312" s="2953">
        <f t="shared" ca="1" si="40"/>
        <v>5296643</v>
      </c>
    </row>
    <row r="313" spans="1:12">
      <c r="A313" s="2953" t="s">
        <v>3069</v>
      </c>
      <c r="B313" s="2953" t="s">
        <v>3106</v>
      </c>
      <c r="C313" s="2953">
        <v>26</v>
      </c>
      <c r="D313" s="2953" t="s">
        <v>3107</v>
      </c>
      <c r="E313" s="2953">
        <v>103.7864</v>
      </c>
      <c r="F313" s="2953">
        <f t="shared" ca="1" si="41"/>
        <v>5301473</v>
      </c>
      <c r="G313" s="2953">
        <f t="shared" ca="1" si="42"/>
        <v>51081</v>
      </c>
      <c r="I313" s="2953">
        <f>$I$312</f>
        <v>105.75</v>
      </c>
      <c r="J313" s="2953">
        <v>100</v>
      </c>
      <c r="K313" s="2953">
        <f t="shared" si="43"/>
        <v>109.75</v>
      </c>
      <c r="L313" s="2953">
        <f t="shared" ca="1" si="40"/>
        <v>5301473</v>
      </c>
    </row>
    <row r="314" spans="1:12">
      <c r="A314" s="2953" t="s">
        <v>3069</v>
      </c>
      <c r="B314" s="2953" t="s">
        <v>3106</v>
      </c>
      <c r="C314" s="2953">
        <v>26</v>
      </c>
      <c r="D314" s="2953" t="s">
        <v>3108</v>
      </c>
      <c r="E314" s="2953">
        <v>131.83160000000001</v>
      </c>
      <c r="F314" s="2953">
        <f t="shared" ca="1" si="41"/>
        <v>6667055</v>
      </c>
      <c r="G314" s="2953">
        <f t="shared" ca="1" si="42"/>
        <v>50573</v>
      </c>
      <c r="I314" s="2953">
        <f t="shared" ref="I314:I323" si="45">$I$312</f>
        <v>105.75</v>
      </c>
      <c r="J314" s="2953">
        <v>99</v>
      </c>
      <c r="K314" s="2953">
        <f t="shared" si="43"/>
        <v>138.02000000000001</v>
      </c>
      <c r="L314" s="2953">
        <f t="shared" ca="1" si="40"/>
        <v>6667055</v>
      </c>
    </row>
    <row r="315" spans="1:12">
      <c r="A315" s="2953" t="s">
        <v>3069</v>
      </c>
      <c r="B315" s="2953" t="s">
        <v>3106</v>
      </c>
      <c r="C315" s="2953">
        <v>26</v>
      </c>
      <c r="D315" s="2953" t="s">
        <v>3109</v>
      </c>
      <c r="E315" s="2953">
        <v>131.6439</v>
      </c>
      <c r="F315" s="2953">
        <f t="shared" ca="1" si="41"/>
        <v>6657394</v>
      </c>
      <c r="G315" s="2953">
        <f t="shared" ca="1" si="42"/>
        <v>50571</v>
      </c>
      <c r="I315" s="2953">
        <f t="shared" si="45"/>
        <v>105.75</v>
      </c>
      <c r="J315" s="2953">
        <v>99</v>
      </c>
      <c r="K315" s="2953">
        <f t="shared" si="43"/>
        <v>137.82</v>
      </c>
      <c r="L315" s="2953">
        <f t="shared" ca="1" si="40"/>
        <v>6657394</v>
      </c>
    </row>
    <row r="316" spans="1:12">
      <c r="A316" s="2953" t="s">
        <v>3069</v>
      </c>
      <c r="B316" s="2953" t="s">
        <v>3110</v>
      </c>
      <c r="C316" s="2953">
        <v>26</v>
      </c>
      <c r="D316" s="2953" t="s">
        <v>3071</v>
      </c>
      <c r="E316" s="2953">
        <v>103.7864</v>
      </c>
      <c r="F316" s="2953">
        <f t="shared" ca="1" si="41"/>
        <v>5301473</v>
      </c>
      <c r="G316" s="2953">
        <f t="shared" ca="1" si="42"/>
        <v>51081</v>
      </c>
      <c r="I316" s="2953">
        <f t="shared" si="45"/>
        <v>105.75</v>
      </c>
      <c r="J316" s="2953">
        <v>100</v>
      </c>
      <c r="K316" s="2953">
        <f t="shared" si="43"/>
        <v>109.75</v>
      </c>
      <c r="L316" s="2953">
        <f t="shared" ca="1" si="40"/>
        <v>5301473</v>
      </c>
    </row>
    <row r="317" spans="1:12">
      <c r="A317" s="2953" t="s">
        <v>3069</v>
      </c>
      <c r="B317" s="2953" t="s">
        <v>3110</v>
      </c>
      <c r="C317" s="2953">
        <v>26</v>
      </c>
      <c r="D317" s="2953" t="s">
        <v>3107</v>
      </c>
      <c r="E317" s="2953">
        <v>103.7864</v>
      </c>
      <c r="F317" s="2953">
        <f t="shared" ca="1" si="41"/>
        <v>5301473</v>
      </c>
      <c r="G317" s="2953">
        <f t="shared" ca="1" si="42"/>
        <v>51081</v>
      </c>
      <c r="I317" s="2953">
        <f t="shared" si="45"/>
        <v>105.75</v>
      </c>
      <c r="J317" s="2953">
        <v>100</v>
      </c>
      <c r="K317" s="2953">
        <f t="shared" si="43"/>
        <v>109.75</v>
      </c>
      <c r="L317" s="2953">
        <f t="shared" ca="1" si="40"/>
        <v>5301473</v>
      </c>
    </row>
    <row r="318" spans="1:12">
      <c r="A318" s="2953" t="s">
        <v>3069</v>
      </c>
      <c r="B318" s="2953" t="s">
        <v>3110</v>
      </c>
      <c r="C318" s="2953">
        <v>26</v>
      </c>
      <c r="D318" s="2953" t="s">
        <v>3108</v>
      </c>
      <c r="E318" s="2953">
        <v>131.50129999999999</v>
      </c>
      <c r="F318" s="2953">
        <f t="shared" ca="1" si="41"/>
        <v>6650149</v>
      </c>
      <c r="G318" s="2953">
        <f t="shared" ca="1" si="42"/>
        <v>50571</v>
      </c>
      <c r="I318" s="2953">
        <f t="shared" si="45"/>
        <v>105.75</v>
      </c>
      <c r="J318" s="2953">
        <v>99</v>
      </c>
      <c r="K318" s="2953">
        <f t="shared" si="43"/>
        <v>137.66999999999999</v>
      </c>
      <c r="L318" s="2953">
        <f t="shared" ca="1" si="40"/>
        <v>6650149</v>
      </c>
    </row>
    <row r="319" spans="1:12">
      <c r="A319" s="2953" t="s">
        <v>3069</v>
      </c>
      <c r="B319" s="2953" t="s">
        <v>3110</v>
      </c>
      <c r="C319" s="2953">
        <v>26</v>
      </c>
      <c r="D319" s="2953" t="s">
        <v>3109</v>
      </c>
      <c r="E319" s="2953">
        <v>131.83160000000001</v>
      </c>
      <c r="F319" s="2953">
        <f t="shared" ca="1" si="41"/>
        <v>6667055</v>
      </c>
      <c r="G319" s="2953">
        <f t="shared" ca="1" si="42"/>
        <v>50573</v>
      </c>
      <c r="I319" s="2953">
        <f t="shared" si="45"/>
        <v>105.75</v>
      </c>
      <c r="J319" s="2953">
        <v>99</v>
      </c>
      <c r="K319" s="2953">
        <f t="shared" si="43"/>
        <v>138.02000000000001</v>
      </c>
      <c r="L319" s="2953">
        <f t="shared" ca="1" si="40"/>
        <v>6667055</v>
      </c>
    </row>
    <row r="320" spans="1:12">
      <c r="A320" s="2953" t="s">
        <v>3069</v>
      </c>
      <c r="B320" s="2953" t="s">
        <v>3115</v>
      </c>
      <c r="C320" s="2953">
        <v>26</v>
      </c>
      <c r="D320" s="2953" t="s">
        <v>3071</v>
      </c>
      <c r="E320" s="2953">
        <v>90.76</v>
      </c>
      <c r="F320" s="2953">
        <f t="shared" ca="1" si="41"/>
        <v>4636313</v>
      </c>
      <c r="G320" s="2953">
        <f t="shared" ca="1" si="42"/>
        <v>51083</v>
      </c>
      <c r="I320" s="2953">
        <f t="shared" si="45"/>
        <v>105.75</v>
      </c>
      <c r="J320" s="2953">
        <v>100</v>
      </c>
      <c r="K320" s="2953">
        <f t="shared" si="43"/>
        <v>95.98</v>
      </c>
      <c r="L320" s="2953">
        <f t="shared" ca="1" si="40"/>
        <v>4636313</v>
      </c>
    </row>
    <row r="321" spans="1:12">
      <c r="A321" s="2953" t="s">
        <v>3069</v>
      </c>
      <c r="B321" s="2953" t="s">
        <v>3115</v>
      </c>
      <c r="C321" s="2953">
        <v>26</v>
      </c>
      <c r="D321" s="2953" t="s">
        <v>3107</v>
      </c>
      <c r="E321" s="2953">
        <v>90.850399999999993</v>
      </c>
      <c r="F321" s="2953">
        <f t="shared" ca="1" si="41"/>
        <v>4640661</v>
      </c>
      <c r="G321" s="2953">
        <f t="shared" ca="1" si="42"/>
        <v>51080</v>
      </c>
      <c r="I321" s="2953">
        <f t="shared" si="45"/>
        <v>105.75</v>
      </c>
      <c r="J321" s="2953">
        <v>100</v>
      </c>
      <c r="K321" s="2953">
        <f t="shared" si="43"/>
        <v>96.07</v>
      </c>
      <c r="L321" s="2953">
        <f t="shared" ca="1" si="40"/>
        <v>4640661</v>
      </c>
    </row>
    <row r="322" spans="1:12">
      <c r="A322" s="2953" t="s">
        <v>3069</v>
      </c>
      <c r="B322" s="2953" t="s">
        <v>3115</v>
      </c>
      <c r="C322" s="2953">
        <v>26</v>
      </c>
      <c r="D322" s="2953" t="s">
        <v>3108</v>
      </c>
      <c r="E322" s="2953">
        <v>92.628600000000006</v>
      </c>
      <c r="F322" s="2953">
        <f t="shared" ca="1" si="41"/>
        <v>4731474</v>
      </c>
      <c r="G322" s="2953">
        <f t="shared" ca="1" si="42"/>
        <v>51080</v>
      </c>
      <c r="I322" s="2953">
        <f t="shared" si="45"/>
        <v>105.75</v>
      </c>
      <c r="J322" s="2953">
        <v>100</v>
      </c>
      <c r="K322" s="2953">
        <f t="shared" si="43"/>
        <v>97.95</v>
      </c>
      <c r="L322" s="2953">
        <f t="shared" ca="1" si="40"/>
        <v>4731474</v>
      </c>
    </row>
    <row r="323" spans="1:12">
      <c r="A323" s="2953" t="s">
        <v>3069</v>
      </c>
      <c r="B323" s="2953" t="s">
        <v>3115</v>
      </c>
      <c r="C323" s="2953">
        <v>26</v>
      </c>
      <c r="D323" s="2953" t="s">
        <v>3109</v>
      </c>
      <c r="E323" s="2953">
        <v>92.628600000000006</v>
      </c>
      <c r="F323" s="2953">
        <f t="shared" ca="1" si="41"/>
        <v>4731474</v>
      </c>
      <c r="G323" s="2953">
        <f t="shared" ca="1" si="42"/>
        <v>51080</v>
      </c>
      <c r="I323" s="2953">
        <f t="shared" si="45"/>
        <v>105.75</v>
      </c>
      <c r="J323" s="2953">
        <v>100</v>
      </c>
      <c r="K323" s="2953">
        <f t="shared" si="43"/>
        <v>97.95</v>
      </c>
      <c r="L323" s="2953">
        <f t="shared" ca="1" si="40"/>
        <v>4731474</v>
      </c>
    </row>
    <row r="324" spans="1:12">
      <c r="A324" s="2953" t="s">
        <v>3069</v>
      </c>
      <c r="B324" s="2953" t="s">
        <v>3106</v>
      </c>
      <c r="C324" s="2953">
        <v>27</v>
      </c>
      <c r="D324" s="2953" t="s">
        <v>3071</v>
      </c>
      <c r="E324" s="2953">
        <v>103.6872</v>
      </c>
      <c r="F324" s="2953">
        <f t="shared" ca="1" si="41"/>
        <v>5309202</v>
      </c>
      <c r="G324" s="2953">
        <f t="shared" ca="1" si="42"/>
        <v>51204</v>
      </c>
      <c r="I324" s="2953">
        <f>I323+$I$34</f>
        <v>106</v>
      </c>
      <c r="J324" s="2953">
        <v>100</v>
      </c>
      <c r="K324" s="2953">
        <f t="shared" si="43"/>
        <v>109.91</v>
      </c>
      <c r="L324" s="2953">
        <f t="shared" ca="1" si="40"/>
        <v>5309202</v>
      </c>
    </row>
    <row r="325" spans="1:12">
      <c r="A325" s="2953" t="s">
        <v>3069</v>
      </c>
      <c r="B325" s="2953" t="s">
        <v>3106</v>
      </c>
      <c r="C325" s="2953">
        <v>27</v>
      </c>
      <c r="D325" s="2953" t="s">
        <v>3107</v>
      </c>
      <c r="E325" s="2953">
        <v>103.7864</v>
      </c>
      <c r="F325" s="2953">
        <f t="shared" ca="1" si="41"/>
        <v>5314032</v>
      </c>
      <c r="G325" s="2953">
        <f t="shared" ca="1" si="42"/>
        <v>51202</v>
      </c>
      <c r="I325" s="2953">
        <f>$I$324</f>
        <v>106</v>
      </c>
      <c r="J325" s="2953">
        <v>100</v>
      </c>
      <c r="K325" s="2953">
        <f t="shared" si="43"/>
        <v>110.01</v>
      </c>
      <c r="L325" s="2953">
        <f t="shared" ca="1" si="40"/>
        <v>5314032</v>
      </c>
    </row>
    <row r="326" spans="1:12">
      <c r="A326" s="2953" t="s">
        <v>3069</v>
      </c>
      <c r="B326" s="2953" t="s">
        <v>3106</v>
      </c>
      <c r="C326" s="2953">
        <v>27</v>
      </c>
      <c r="D326" s="2953" t="s">
        <v>3108</v>
      </c>
      <c r="E326" s="2953">
        <v>131.83160000000001</v>
      </c>
      <c r="F326" s="2953">
        <f t="shared" ca="1" si="41"/>
        <v>6682513</v>
      </c>
      <c r="G326" s="2953">
        <f t="shared" ca="1" si="42"/>
        <v>50690</v>
      </c>
      <c r="I326" s="2953">
        <f t="shared" ref="I326:I335" si="46">$I$324</f>
        <v>106</v>
      </c>
      <c r="J326" s="2953">
        <v>99</v>
      </c>
      <c r="K326" s="2953">
        <f t="shared" si="43"/>
        <v>138.34</v>
      </c>
      <c r="L326" s="2953">
        <f t="shared" ca="1" si="40"/>
        <v>6682513</v>
      </c>
    </row>
    <row r="327" spans="1:12">
      <c r="A327" s="2953" t="s">
        <v>3069</v>
      </c>
      <c r="B327" s="2953" t="s">
        <v>3106</v>
      </c>
      <c r="C327" s="2953">
        <v>27</v>
      </c>
      <c r="D327" s="2953" t="s">
        <v>3109</v>
      </c>
      <c r="E327" s="2953">
        <v>131.6439</v>
      </c>
      <c r="F327" s="2953">
        <f t="shared" ca="1" si="41"/>
        <v>6673335</v>
      </c>
      <c r="G327" s="2953">
        <f t="shared" ca="1" si="42"/>
        <v>50692</v>
      </c>
      <c r="I327" s="2953">
        <f t="shared" si="46"/>
        <v>106</v>
      </c>
      <c r="J327" s="2953">
        <v>99</v>
      </c>
      <c r="K327" s="2953">
        <f t="shared" si="43"/>
        <v>138.15</v>
      </c>
      <c r="L327" s="2953">
        <f t="shared" ca="1" si="40"/>
        <v>6673335</v>
      </c>
    </row>
    <row r="328" spans="1:12">
      <c r="A328" s="2953" t="s">
        <v>3069</v>
      </c>
      <c r="B328" s="2953" t="s">
        <v>3110</v>
      </c>
      <c r="C328" s="2953">
        <v>27</v>
      </c>
      <c r="D328" s="2953" t="s">
        <v>3071</v>
      </c>
      <c r="E328" s="2953">
        <v>103.7864</v>
      </c>
      <c r="F328" s="2953">
        <f t="shared" ca="1" si="41"/>
        <v>5314032</v>
      </c>
      <c r="G328" s="2953">
        <f t="shared" ca="1" si="42"/>
        <v>51202</v>
      </c>
      <c r="I328" s="2953">
        <f t="shared" si="46"/>
        <v>106</v>
      </c>
      <c r="J328" s="2953">
        <v>100</v>
      </c>
      <c r="K328" s="2953">
        <f t="shared" si="43"/>
        <v>110.01</v>
      </c>
      <c r="L328" s="2953">
        <f t="shared" ca="1" si="40"/>
        <v>5314032</v>
      </c>
    </row>
    <row r="329" spans="1:12">
      <c r="A329" s="2953" t="s">
        <v>3069</v>
      </c>
      <c r="B329" s="2953" t="s">
        <v>3110</v>
      </c>
      <c r="C329" s="2953">
        <v>27</v>
      </c>
      <c r="D329" s="2953" t="s">
        <v>3107</v>
      </c>
      <c r="E329" s="2953">
        <v>103.7864</v>
      </c>
      <c r="F329" s="2953">
        <f t="shared" ca="1" si="41"/>
        <v>5314032</v>
      </c>
      <c r="G329" s="2953">
        <f t="shared" ca="1" si="42"/>
        <v>51202</v>
      </c>
      <c r="I329" s="2953">
        <f t="shared" si="46"/>
        <v>106</v>
      </c>
      <c r="J329" s="2953">
        <v>100</v>
      </c>
      <c r="K329" s="2953">
        <f t="shared" si="43"/>
        <v>110.01</v>
      </c>
      <c r="L329" s="2953">
        <f t="shared" ca="1" si="40"/>
        <v>5314032</v>
      </c>
    </row>
    <row r="330" spans="1:12">
      <c r="A330" s="2953" t="s">
        <v>3069</v>
      </c>
      <c r="B330" s="2953" t="s">
        <v>3110</v>
      </c>
      <c r="C330" s="2953">
        <v>27</v>
      </c>
      <c r="D330" s="2953" t="s">
        <v>3108</v>
      </c>
      <c r="E330" s="2953">
        <v>131.50129999999999</v>
      </c>
      <c r="F330" s="2953">
        <f t="shared" ca="1" si="41"/>
        <v>6666089</v>
      </c>
      <c r="G330" s="2953">
        <f t="shared" ca="1" si="42"/>
        <v>50692</v>
      </c>
      <c r="I330" s="2953">
        <f t="shared" si="46"/>
        <v>106</v>
      </c>
      <c r="J330" s="2953">
        <v>99</v>
      </c>
      <c r="K330" s="2953">
        <f t="shared" si="43"/>
        <v>138</v>
      </c>
      <c r="L330" s="2953">
        <f t="shared" ca="1" si="40"/>
        <v>6666089</v>
      </c>
    </row>
    <row r="331" spans="1:12">
      <c r="A331" s="2953" t="s">
        <v>3069</v>
      </c>
      <c r="B331" s="2953" t="s">
        <v>3110</v>
      </c>
      <c r="C331" s="2953">
        <v>27</v>
      </c>
      <c r="D331" s="2953" t="s">
        <v>3109</v>
      </c>
      <c r="E331" s="2953">
        <v>131.83160000000001</v>
      </c>
      <c r="F331" s="2953">
        <f t="shared" ca="1" si="41"/>
        <v>6682513</v>
      </c>
      <c r="G331" s="2953">
        <f t="shared" ca="1" si="42"/>
        <v>50690</v>
      </c>
      <c r="I331" s="2953">
        <f t="shared" si="46"/>
        <v>106</v>
      </c>
      <c r="J331" s="2953">
        <v>99</v>
      </c>
      <c r="K331" s="2953">
        <f t="shared" si="43"/>
        <v>138.34</v>
      </c>
      <c r="L331" s="2953">
        <f t="shared" ca="1" si="40"/>
        <v>6682513</v>
      </c>
    </row>
    <row r="332" spans="1:12">
      <c r="A332" s="2953" t="s">
        <v>3069</v>
      </c>
      <c r="B332" s="2953" t="s">
        <v>3115</v>
      </c>
      <c r="C332" s="2953">
        <v>27</v>
      </c>
      <c r="D332" s="2953" t="s">
        <v>3071</v>
      </c>
      <c r="E332" s="2953">
        <v>90.76</v>
      </c>
      <c r="F332" s="2953">
        <f t="shared" ca="1" si="41"/>
        <v>4647424</v>
      </c>
      <c r="G332" s="2953">
        <f t="shared" ca="1" si="42"/>
        <v>51206</v>
      </c>
      <c r="I332" s="2953">
        <f t="shared" si="46"/>
        <v>106</v>
      </c>
      <c r="J332" s="2953">
        <v>100</v>
      </c>
      <c r="K332" s="2953">
        <f t="shared" si="43"/>
        <v>96.21</v>
      </c>
      <c r="L332" s="2953">
        <f t="shared" ca="1" si="40"/>
        <v>4647424</v>
      </c>
    </row>
    <row r="333" spans="1:12">
      <c r="A333" s="2953" t="s">
        <v>3069</v>
      </c>
      <c r="B333" s="2953" t="s">
        <v>3115</v>
      </c>
      <c r="C333" s="2953">
        <v>27</v>
      </c>
      <c r="D333" s="2953" t="s">
        <v>3107</v>
      </c>
      <c r="E333" s="2953">
        <v>90.850399999999993</v>
      </c>
      <c r="F333" s="2953">
        <f t="shared" ca="1" si="41"/>
        <v>4651771</v>
      </c>
      <c r="G333" s="2953">
        <f t="shared" ca="1" si="42"/>
        <v>51203</v>
      </c>
      <c r="I333" s="2953">
        <f t="shared" si="46"/>
        <v>106</v>
      </c>
      <c r="J333" s="2953">
        <v>100</v>
      </c>
      <c r="K333" s="2953">
        <f t="shared" si="43"/>
        <v>96.3</v>
      </c>
      <c r="L333" s="2953">
        <f t="shared" ca="1" si="40"/>
        <v>4651771</v>
      </c>
    </row>
    <row r="334" spans="1:12">
      <c r="A334" s="2953" t="s">
        <v>3069</v>
      </c>
      <c r="B334" s="2953" t="s">
        <v>3115</v>
      </c>
      <c r="C334" s="2953">
        <v>27</v>
      </c>
      <c r="D334" s="2953" t="s">
        <v>3108</v>
      </c>
      <c r="E334" s="2953">
        <v>92.628600000000006</v>
      </c>
      <c r="F334" s="2953">
        <f t="shared" ca="1" si="41"/>
        <v>4743067</v>
      </c>
      <c r="G334" s="2953">
        <f t="shared" ca="1" si="42"/>
        <v>51205</v>
      </c>
      <c r="I334" s="2953">
        <f t="shared" si="46"/>
        <v>106</v>
      </c>
      <c r="J334" s="2953">
        <v>100</v>
      </c>
      <c r="K334" s="2953">
        <f t="shared" si="43"/>
        <v>98.19</v>
      </c>
      <c r="L334" s="2953">
        <f t="shared" ca="1" si="40"/>
        <v>4743067</v>
      </c>
    </row>
    <row r="335" spans="1:12">
      <c r="A335" s="2953" t="s">
        <v>3069</v>
      </c>
      <c r="B335" s="2953" t="s">
        <v>3115</v>
      </c>
      <c r="C335" s="2953">
        <v>27</v>
      </c>
      <c r="D335" s="2953" t="s">
        <v>3109</v>
      </c>
      <c r="E335" s="2953">
        <v>92.628600000000006</v>
      </c>
      <c r="F335" s="2953">
        <f t="shared" ca="1" si="41"/>
        <v>4743067</v>
      </c>
      <c r="G335" s="2953">
        <f t="shared" ca="1" si="42"/>
        <v>51205</v>
      </c>
      <c r="I335" s="2953">
        <f t="shared" si="46"/>
        <v>106</v>
      </c>
      <c r="J335" s="2953">
        <v>100</v>
      </c>
      <c r="K335" s="2953">
        <f t="shared" si="43"/>
        <v>98.19</v>
      </c>
      <c r="L335" s="2953">
        <f t="shared" ca="1" si="40"/>
        <v>4743067</v>
      </c>
    </row>
    <row r="336" spans="1:12">
      <c r="A336" s="2953" t="s">
        <v>3069</v>
      </c>
      <c r="B336" s="2953" t="s">
        <v>3106</v>
      </c>
      <c r="C336" s="2953">
        <v>28</v>
      </c>
      <c r="D336" s="2953" t="s">
        <v>3071</v>
      </c>
      <c r="E336" s="2953">
        <v>103.6872</v>
      </c>
      <c r="F336" s="2953">
        <f t="shared" ca="1" si="41"/>
        <v>5321761</v>
      </c>
      <c r="G336" s="2953">
        <f t="shared" ca="1" si="42"/>
        <v>51325</v>
      </c>
      <c r="I336" s="2953">
        <f>I335+$I$34</f>
        <v>106.25</v>
      </c>
      <c r="J336" s="2953">
        <v>100</v>
      </c>
      <c r="K336" s="2953">
        <f t="shared" si="43"/>
        <v>110.17</v>
      </c>
      <c r="L336" s="2953">
        <f t="shared" ca="1" si="40"/>
        <v>5321761</v>
      </c>
    </row>
    <row r="337" spans="1:12">
      <c r="A337" s="2953" t="s">
        <v>3069</v>
      </c>
      <c r="B337" s="2953" t="s">
        <v>3106</v>
      </c>
      <c r="C337" s="2953">
        <v>28</v>
      </c>
      <c r="D337" s="2953" t="s">
        <v>3107</v>
      </c>
      <c r="E337" s="2953">
        <v>103.7864</v>
      </c>
      <c r="F337" s="2953">
        <f t="shared" ca="1" si="41"/>
        <v>5326592</v>
      </c>
      <c r="G337" s="2953">
        <f t="shared" ca="1" si="42"/>
        <v>51323</v>
      </c>
      <c r="I337" s="2953">
        <f>$I$336</f>
        <v>106.25</v>
      </c>
      <c r="J337" s="2953">
        <v>100</v>
      </c>
      <c r="K337" s="2953">
        <f t="shared" si="43"/>
        <v>110.27</v>
      </c>
      <c r="L337" s="2953">
        <f t="shared" ca="1" si="40"/>
        <v>5326592</v>
      </c>
    </row>
    <row r="338" spans="1:12">
      <c r="A338" s="2953" t="s">
        <v>3069</v>
      </c>
      <c r="B338" s="2953" t="s">
        <v>3106</v>
      </c>
      <c r="C338" s="2953">
        <v>28</v>
      </c>
      <c r="D338" s="2953" t="s">
        <v>3108</v>
      </c>
      <c r="E338" s="2953">
        <v>131.83160000000001</v>
      </c>
      <c r="F338" s="2953">
        <f t="shared" ca="1" si="41"/>
        <v>6698454</v>
      </c>
      <c r="G338" s="2953">
        <f t="shared" ca="1" si="42"/>
        <v>50811</v>
      </c>
      <c r="I338" s="2953">
        <f t="shared" ref="I338:I347" si="47">$I$336</f>
        <v>106.25</v>
      </c>
      <c r="J338" s="2953">
        <v>99</v>
      </c>
      <c r="K338" s="2953">
        <f t="shared" si="43"/>
        <v>138.66999999999999</v>
      </c>
      <c r="L338" s="2953">
        <f t="shared" ca="1" si="40"/>
        <v>6698454</v>
      </c>
    </row>
    <row r="339" spans="1:12">
      <c r="A339" s="2953" t="s">
        <v>3069</v>
      </c>
      <c r="B339" s="2953" t="s">
        <v>3106</v>
      </c>
      <c r="C339" s="2953">
        <v>28</v>
      </c>
      <c r="D339" s="2953" t="s">
        <v>3109</v>
      </c>
      <c r="E339" s="2953">
        <v>131.6439</v>
      </c>
      <c r="F339" s="2953">
        <f t="shared" ca="1" si="41"/>
        <v>6688793</v>
      </c>
      <c r="G339" s="2953">
        <f t="shared" ca="1" si="42"/>
        <v>50810</v>
      </c>
      <c r="I339" s="2953">
        <f t="shared" si="47"/>
        <v>106.25</v>
      </c>
      <c r="J339" s="2953">
        <v>99</v>
      </c>
      <c r="K339" s="2953">
        <f t="shared" si="43"/>
        <v>138.47</v>
      </c>
      <c r="L339" s="2953">
        <f t="shared" ca="1" si="40"/>
        <v>6688793</v>
      </c>
    </row>
    <row r="340" spans="1:12">
      <c r="A340" s="2953" t="s">
        <v>3069</v>
      </c>
      <c r="B340" s="2953" t="s">
        <v>3110</v>
      </c>
      <c r="C340" s="2953">
        <v>28</v>
      </c>
      <c r="D340" s="2953" t="s">
        <v>3071</v>
      </c>
      <c r="E340" s="2953">
        <v>103.7864</v>
      </c>
      <c r="F340" s="2953">
        <f t="shared" ca="1" si="41"/>
        <v>5326592</v>
      </c>
      <c r="G340" s="2953">
        <f t="shared" ca="1" si="42"/>
        <v>51323</v>
      </c>
      <c r="I340" s="2953">
        <f t="shared" si="47"/>
        <v>106.25</v>
      </c>
      <c r="J340" s="2953">
        <v>100</v>
      </c>
      <c r="K340" s="2953">
        <f t="shared" si="43"/>
        <v>110.27</v>
      </c>
      <c r="L340" s="2953">
        <f t="shared" ca="1" si="40"/>
        <v>5326592</v>
      </c>
    </row>
    <row r="341" spans="1:12">
      <c r="A341" s="2953" t="s">
        <v>3069</v>
      </c>
      <c r="B341" s="2953" t="s">
        <v>3110</v>
      </c>
      <c r="C341" s="2953">
        <v>28</v>
      </c>
      <c r="D341" s="2953" t="s">
        <v>3107</v>
      </c>
      <c r="E341" s="2953">
        <v>103.7864</v>
      </c>
      <c r="F341" s="2953">
        <f t="shared" ca="1" si="41"/>
        <v>5326592</v>
      </c>
      <c r="G341" s="2953">
        <f t="shared" ca="1" si="42"/>
        <v>51323</v>
      </c>
      <c r="I341" s="2953">
        <f t="shared" si="47"/>
        <v>106.25</v>
      </c>
      <c r="J341" s="2953">
        <v>100</v>
      </c>
      <c r="K341" s="2953">
        <f t="shared" si="43"/>
        <v>110.27</v>
      </c>
      <c r="L341" s="2953">
        <f t="shared" ca="1" si="40"/>
        <v>5326592</v>
      </c>
    </row>
    <row r="342" spans="1:12">
      <c r="A342" s="2953" t="s">
        <v>3069</v>
      </c>
      <c r="B342" s="2953" t="s">
        <v>3110</v>
      </c>
      <c r="C342" s="2953">
        <v>28</v>
      </c>
      <c r="D342" s="2953" t="s">
        <v>3108</v>
      </c>
      <c r="E342" s="2953">
        <v>131.50129999999999</v>
      </c>
      <c r="F342" s="2953">
        <f t="shared" ca="1" si="41"/>
        <v>6681547</v>
      </c>
      <c r="G342" s="2953">
        <f t="shared" ca="1" si="42"/>
        <v>50810</v>
      </c>
      <c r="I342" s="2953">
        <f t="shared" si="47"/>
        <v>106.25</v>
      </c>
      <c r="J342" s="2953">
        <v>99</v>
      </c>
      <c r="K342" s="2953">
        <f t="shared" si="43"/>
        <v>138.32</v>
      </c>
      <c r="L342" s="2953">
        <f t="shared" ca="1" si="40"/>
        <v>6681547</v>
      </c>
    </row>
    <row r="343" spans="1:12">
      <c r="A343" s="2953" t="s">
        <v>3069</v>
      </c>
      <c r="B343" s="2953" t="s">
        <v>3110</v>
      </c>
      <c r="C343" s="2953">
        <v>28</v>
      </c>
      <c r="D343" s="2953" t="s">
        <v>3109</v>
      </c>
      <c r="E343" s="2953">
        <v>131.83160000000001</v>
      </c>
      <c r="F343" s="2953">
        <f t="shared" ca="1" si="41"/>
        <v>6698454</v>
      </c>
      <c r="G343" s="2953">
        <f t="shared" ca="1" si="42"/>
        <v>50811</v>
      </c>
      <c r="I343" s="2953">
        <f t="shared" si="47"/>
        <v>106.25</v>
      </c>
      <c r="J343" s="2953">
        <v>99</v>
      </c>
      <c r="K343" s="2953">
        <f t="shared" si="43"/>
        <v>138.66999999999999</v>
      </c>
      <c r="L343" s="2953">
        <f t="shared" ca="1" si="40"/>
        <v>6698454</v>
      </c>
    </row>
    <row r="344" spans="1:12">
      <c r="A344" s="2953" t="s">
        <v>3069</v>
      </c>
      <c r="B344" s="2953" t="s">
        <v>3115</v>
      </c>
      <c r="C344" s="2953">
        <v>28</v>
      </c>
      <c r="D344" s="2953" t="s">
        <v>3071</v>
      </c>
      <c r="E344" s="2953">
        <v>90.76</v>
      </c>
      <c r="F344" s="2953">
        <f t="shared" ca="1" si="41"/>
        <v>4658051</v>
      </c>
      <c r="G344" s="2953">
        <f t="shared" ca="1" si="42"/>
        <v>51323</v>
      </c>
      <c r="I344" s="2953">
        <f t="shared" si="47"/>
        <v>106.25</v>
      </c>
      <c r="J344" s="2953">
        <v>100</v>
      </c>
      <c r="K344" s="2953">
        <f t="shared" si="43"/>
        <v>96.43</v>
      </c>
      <c r="L344" s="2953">
        <f t="shared" ca="1" si="40"/>
        <v>4658051</v>
      </c>
    </row>
    <row r="345" spans="1:12">
      <c r="A345" s="2953" t="s">
        <v>3069</v>
      </c>
      <c r="B345" s="2953" t="s">
        <v>3115</v>
      </c>
      <c r="C345" s="2953">
        <v>28</v>
      </c>
      <c r="D345" s="2953" t="s">
        <v>3107</v>
      </c>
      <c r="E345" s="2953">
        <v>90.850399999999993</v>
      </c>
      <c r="F345" s="2953">
        <f t="shared" ca="1" si="41"/>
        <v>4662881</v>
      </c>
      <c r="G345" s="2953">
        <f t="shared" ca="1" si="42"/>
        <v>51325</v>
      </c>
      <c r="I345" s="2953">
        <f t="shared" si="47"/>
        <v>106.25</v>
      </c>
      <c r="J345" s="2953">
        <v>100</v>
      </c>
      <c r="K345" s="2953">
        <f t="shared" si="43"/>
        <v>96.53</v>
      </c>
      <c r="L345" s="2953">
        <f t="shared" ca="1" si="40"/>
        <v>4662881</v>
      </c>
    </row>
    <row r="346" spans="1:12">
      <c r="A346" s="2953" t="s">
        <v>3069</v>
      </c>
      <c r="B346" s="2953" t="s">
        <v>3115</v>
      </c>
      <c r="C346" s="2953">
        <v>28</v>
      </c>
      <c r="D346" s="2953" t="s">
        <v>3108</v>
      </c>
      <c r="E346" s="2953">
        <v>92.628600000000006</v>
      </c>
      <c r="F346" s="2953">
        <f t="shared" ca="1" si="41"/>
        <v>4754178</v>
      </c>
      <c r="G346" s="2953">
        <f t="shared" ca="1" si="42"/>
        <v>51325</v>
      </c>
      <c r="I346" s="2953">
        <f t="shared" si="47"/>
        <v>106.25</v>
      </c>
      <c r="J346" s="2953">
        <v>100</v>
      </c>
      <c r="K346" s="2953">
        <f t="shared" si="43"/>
        <v>98.42</v>
      </c>
      <c r="L346" s="2953">
        <f t="shared" ca="1" si="40"/>
        <v>4754178</v>
      </c>
    </row>
    <row r="347" spans="1:12">
      <c r="A347" s="2953" t="s">
        <v>3069</v>
      </c>
      <c r="B347" s="2953" t="s">
        <v>3115</v>
      </c>
      <c r="C347" s="2953">
        <v>28</v>
      </c>
      <c r="D347" s="2953" t="s">
        <v>3109</v>
      </c>
      <c r="E347" s="2953">
        <v>92.628600000000006</v>
      </c>
      <c r="F347" s="2953">
        <f t="shared" ca="1" si="41"/>
        <v>4754178</v>
      </c>
      <c r="G347" s="2953">
        <f t="shared" ca="1" si="42"/>
        <v>51325</v>
      </c>
      <c r="I347" s="2953">
        <f t="shared" si="47"/>
        <v>106.25</v>
      </c>
      <c r="J347" s="2953">
        <v>100</v>
      </c>
      <c r="K347" s="2953">
        <f t="shared" si="43"/>
        <v>98.42</v>
      </c>
      <c r="L347" s="2953">
        <f t="shared" ca="1" si="40"/>
        <v>4754178</v>
      </c>
    </row>
    <row r="348" spans="1:12">
      <c r="A348" s="2953" t="s">
        <v>3069</v>
      </c>
      <c r="B348" s="2953" t="s">
        <v>3106</v>
      </c>
      <c r="C348" s="2953">
        <v>29</v>
      </c>
      <c r="D348" s="2953" t="s">
        <v>3071</v>
      </c>
      <c r="E348" s="2953">
        <v>103.6872</v>
      </c>
      <c r="F348" s="2953">
        <f t="shared" ca="1" si="41"/>
        <v>5334321</v>
      </c>
      <c r="G348" s="2953">
        <f t="shared" ca="1" si="42"/>
        <v>51446</v>
      </c>
      <c r="I348" s="2953">
        <f>I347+$I$34</f>
        <v>106.5</v>
      </c>
      <c r="J348" s="2953">
        <v>100</v>
      </c>
      <c r="K348" s="2953">
        <f t="shared" si="43"/>
        <v>110.43</v>
      </c>
      <c r="L348" s="2953">
        <f t="shared" ca="1" si="40"/>
        <v>5334321</v>
      </c>
    </row>
    <row r="349" spans="1:12">
      <c r="A349" s="2953" t="s">
        <v>3069</v>
      </c>
      <c r="B349" s="2953" t="s">
        <v>3106</v>
      </c>
      <c r="C349" s="2953">
        <v>29</v>
      </c>
      <c r="D349" s="2953" t="s">
        <v>3107</v>
      </c>
      <c r="E349" s="2953">
        <v>103.7864</v>
      </c>
      <c r="F349" s="2953">
        <f t="shared" ca="1" si="41"/>
        <v>5339151</v>
      </c>
      <c r="G349" s="2953">
        <f t="shared" ca="1" si="42"/>
        <v>51444</v>
      </c>
      <c r="I349" s="2953">
        <f>$I$348</f>
        <v>106.5</v>
      </c>
      <c r="J349" s="2953">
        <v>100</v>
      </c>
      <c r="K349" s="2953">
        <f t="shared" si="43"/>
        <v>110.53</v>
      </c>
      <c r="L349" s="2953">
        <f t="shared" ca="1" si="40"/>
        <v>5339151</v>
      </c>
    </row>
    <row r="350" spans="1:12">
      <c r="A350" s="2953" t="s">
        <v>3069</v>
      </c>
      <c r="B350" s="2953" t="s">
        <v>3106</v>
      </c>
      <c r="C350" s="2953">
        <v>29</v>
      </c>
      <c r="D350" s="2953" t="s">
        <v>3108</v>
      </c>
      <c r="E350" s="2953">
        <v>131.83160000000001</v>
      </c>
      <c r="F350" s="2953">
        <f t="shared" ca="1" si="41"/>
        <v>6714394</v>
      </c>
      <c r="G350" s="2953">
        <f t="shared" ca="1" si="42"/>
        <v>50932</v>
      </c>
      <c r="I350" s="2953">
        <f t="shared" ref="I350:I359" si="48">$I$348</f>
        <v>106.5</v>
      </c>
      <c r="J350" s="2953">
        <v>99</v>
      </c>
      <c r="K350" s="2953">
        <f t="shared" si="43"/>
        <v>139</v>
      </c>
      <c r="L350" s="2953">
        <f t="shared" ca="1" si="40"/>
        <v>6714394</v>
      </c>
    </row>
    <row r="351" spans="1:12">
      <c r="A351" s="2953" t="s">
        <v>3069</v>
      </c>
      <c r="B351" s="2953" t="s">
        <v>3106</v>
      </c>
      <c r="C351" s="2953">
        <v>29</v>
      </c>
      <c r="D351" s="2953" t="s">
        <v>3109</v>
      </c>
      <c r="E351" s="2953">
        <v>131.6439</v>
      </c>
      <c r="F351" s="2953">
        <f t="shared" ca="1" si="41"/>
        <v>6704733</v>
      </c>
      <c r="G351" s="2953">
        <f t="shared" ca="1" si="42"/>
        <v>50931</v>
      </c>
      <c r="I351" s="2953">
        <f t="shared" si="48"/>
        <v>106.5</v>
      </c>
      <c r="J351" s="2953">
        <v>99</v>
      </c>
      <c r="K351" s="2953">
        <f t="shared" si="43"/>
        <v>138.80000000000001</v>
      </c>
      <c r="L351" s="2953">
        <f t="shared" ca="1" si="40"/>
        <v>6704733</v>
      </c>
    </row>
    <row r="352" spans="1:12">
      <c r="A352" s="2953" t="s">
        <v>3069</v>
      </c>
      <c r="B352" s="2953" t="s">
        <v>3110</v>
      </c>
      <c r="C352" s="2953">
        <v>29</v>
      </c>
      <c r="D352" s="2953" t="s">
        <v>3071</v>
      </c>
      <c r="E352" s="2953">
        <v>103.7864</v>
      </c>
      <c r="F352" s="2953">
        <f t="shared" ca="1" si="41"/>
        <v>5339151</v>
      </c>
      <c r="G352" s="2953">
        <f t="shared" ca="1" si="42"/>
        <v>51444</v>
      </c>
      <c r="I352" s="2953">
        <f t="shared" si="48"/>
        <v>106.5</v>
      </c>
      <c r="J352" s="2953">
        <v>100</v>
      </c>
      <c r="K352" s="2953">
        <f t="shared" si="43"/>
        <v>110.53</v>
      </c>
      <c r="L352" s="2953">
        <f t="shared" ca="1" si="40"/>
        <v>5339151</v>
      </c>
    </row>
    <row r="353" spans="1:12">
      <c r="A353" s="2953" t="s">
        <v>3069</v>
      </c>
      <c r="B353" s="2953" t="s">
        <v>3110</v>
      </c>
      <c r="C353" s="2953">
        <v>29</v>
      </c>
      <c r="D353" s="2953" t="s">
        <v>3107</v>
      </c>
      <c r="E353" s="2953">
        <v>103.7864</v>
      </c>
      <c r="F353" s="2953">
        <f t="shared" ca="1" si="41"/>
        <v>5339151</v>
      </c>
      <c r="G353" s="2953">
        <f t="shared" ca="1" si="42"/>
        <v>51444</v>
      </c>
      <c r="I353" s="2953">
        <f t="shared" si="48"/>
        <v>106.5</v>
      </c>
      <c r="J353" s="2953">
        <v>100</v>
      </c>
      <c r="K353" s="2953">
        <f t="shared" si="43"/>
        <v>110.53</v>
      </c>
      <c r="L353" s="2953">
        <f t="shared" ca="1" si="40"/>
        <v>5339151</v>
      </c>
    </row>
    <row r="354" spans="1:12">
      <c r="A354" s="2953" t="s">
        <v>3069</v>
      </c>
      <c r="B354" s="2953" t="s">
        <v>3110</v>
      </c>
      <c r="C354" s="2953">
        <v>29</v>
      </c>
      <c r="D354" s="2953" t="s">
        <v>3108</v>
      </c>
      <c r="E354" s="2953">
        <v>131.50129999999999</v>
      </c>
      <c r="F354" s="2953">
        <f t="shared" ca="1" si="41"/>
        <v>6697488</v>
      </c>
      <c r="G354" s="2953">
        <f t="shared" ca="1" si="42"/>
        <v>50931</v>
      </c>
      <c r="I354" s="2953">
        <f t="shared" si="48"/>
        <v>106.5</v>
      </c>
      <c r="J354" s="2953">
        <v>99</v>
      </c>
      <c r="K354" s="2953">
        <f t="shared" si="43"/>
        <v>138.65</v>
      </c>
      <c r="L354" s="2953">
        <f t="shared" ca="1" si="40"/>
        <v>6697488</v>
      </c>
    </row>
    <row r="355" spans="1:12">
      <c r="A355" s="2953" t="s">
        <v>3069</v>
      </c>
      <c r="B355" s="2953" t="s">
        <v>3110</v>
      </c>
      <c r="C355" s="2953">
        <v>29</v>
      </c>
      <c r="D355" s="2953" t="s">
        <v>3109</v>
      </c>
      <c r="E355" s="2953">
        <v>131.83160000000001</v>
      </c>
      <c r="F355" s="2953">
        <f t="shared" ca="1" si="41"/>
        <v>6714394</v>
      </c>
      <c r="G355" s="2953">
        <f t="shared" ca="1" si="42"/>
        <v>50932</v>
      </c>
      <c r="I355" s="2953">
        <f t="shared" si="48"/>
        <v>106.5</v>
      </c>
      <c r="J355" s="2953">
        <v>99</v>
      </c>
      <c r="K355" s="2953">
        <f t="shared" si="43"/>
        <v>139</v>
      </c>
      <c r="L355" s="2953">
        <f t="shared" ca="1" si="40"/>
        <v>6714394</v>
      </c>
    </row>
    <row r="356" spans="1:12">
      <c r="A356" s="2953" t="s">
        <v>3069</v>
      </c>
      <c r="B356" s="2953" t="s">
        <v>3115</v>
      </c>
      <c r="C356" s="2953">
        <v>29</v>
      </c>
      <c r="D356" s="2953" t="s">
        <v>3071</v>
      </c>
      <c r="E356" s="2953">
        <v>90.76</v>
      </c>
      <c r="F356" s="2953">
        <f t="shared" ca="1" si="41"/>
        <v>4669161</v>
      </c>
      <c r="G356" s="2953">
        <f t="shared" ca="1" si="42"/>
        <v>51445</v>
      </c>
      <c r="I356" s="2953">
        <f t="shared" si="48"/>
        <v>106.5</v>
      </c>
      <c r="J356" s="2953">
        <v>100</v>
      </c>
      <c r="K356" s="2953">
        <f t="shared" si="43"/>
        <v>96.66</v>
      </c>
      <c r="L356" s="2953">
        <f t="shared" ref="L356:L390" ca="1" si="49">ROUND($L$392/$K$392*K356*10000,0)</f>
        <v>4669161</v>
      </c>
    </row>
    <row r="357" spans="1:12">
      <c r="A357" s="2953" t="s">
        <v>3069</v>
      </c>
      <c r="B357" s="2953" t="s">
        <v>3115</v>
      </c>
      <c r="C357" s="2953">
        <v>29</v>
      </c>
      <c r="D357" s="2953" t="s">
        <v>3107</v>
      </c>
      <c r="E357" s="2953">
        <v>90.850399999999993</v>
      </c>
      <c r="F357" s="2953">
        <f t="shared" ref="F357:F391" ca="1" si="50">L357</f>
        <v>4673991</v>
      </c>
      <c r="G357" s="2953">
        <f t="shared" ref="G357:G391" ca="1" si="51">ROUND(F357/E357,0)</f>
        <v>51447</v>
      </c>
      <c r="I357" s="2953">
        <f t="shared" si="48"/>
        <v>106.5</v>
      </c>
      <c r="J357" s="2953">
        <v>100</v>
      </c>
      <c r="K357" s="2953">
        <f t="shared" ref="K357:K391" si="52">ROUND(E357*1*I357/100*J357/100,2)</f>
        <v>96.76</v>
      </c>
      <c r="L357" s="2953">
        <f t="shared" ca="1" si="49"/>
        <v>4673991</v>
      </c>
    </row>
    <row r="358" spans="1:12">
      <c r="A358" s="2953" t="s">
        <v>3069</v>
      </c>
      <c r="B358" s="2953" t="s">
        <v>3115</v>
      </c>
      <c r="C358" s="2953">
        <v>29</v>
      </c>
      <c r="D358" s="2953" t="s">
        <v>3108</v>
      </c>
      <c r="E358" s="2953">
        <v>92.628600000000006</v>
      </c>
      <c r="F358" s="2953">
        <f t="shared" ca="1" si="50"/>
        <v>4765288</v>
      </c>
      <c r="G358" s="2953">
        <f t="shared" ca="1" si="51"/>
        <v>51445</v>
      </c>
      <c r="I358" s="2953">
        <f t="shared" si="48"/>
        <v>106.5</v>
      </c>
      <c r="J358" s="2953">
        <v>100</v>
      </c>
      <c r="K358" s="2953">
        <f t="shared" si="52"/>
        <v>98.65</v>
      </c>
      <c r="L358" s="2953">
        <f t="shared" ca="1" si="49"/>
        <v>4765288</v>
      </c>
    </row>
    <row r="359" spans="1:12">
      <c r="A359" s="2953" t="s">
        <v>3069</v>
      </c>
      <c r="B359" s="2953" t="s">
        <v>3115</v>
      </c>
      <c r="C359" s="2953">
        <v>29</v>
      </c>
      <c r="D359" s="2953" t="s">
        <v>3109</v>
      </c>
      <c r="E359" s="2953">
        <v>92.628600000000006</v>
      </c>
      <c r="F359" s="2953">
        <f t="shared" ca="1" si="50"/>
        <v>4765288</v>
      </c>
      <c r="G359" s="2953">
        <f t="shared" ca="1" si="51"/>
        <v>51445</v>
      </c>
      <c r="I359" s="2953">
        <f t="shared" si="48"/>
        <v>106.5</v>
      </c>
      <c r="J359" s="2953">
        <v>100</v>
      </c>
      <c r="K359" s="2953">
        <f t="shared" si="52"/>
        <v>98.65</v>
      </c>
      <c r="L359" s="2953">
        <f t="shared" ca="1" si="49"/>
        <v>4765288</v>
      </c>
    </row>
    <row r="360" spans="1:12">
      <c r="A360" s="2953" t="s">
        <v>3069</v>
      </c>
      <c r="B360" s="2953" t="s">
        <v>3106</v>
      </c>
      <c r="C360" s="2953">
        <v>30</v>
      </c>
      <c r="D360" s="2953" t="s">
        <v>3071</v>
      </c>
      <c r="E360" s="2953">
        <v>103.6872</v>
      </c>
      <c r="F360" s="2953">
        <f t="shared" ca="1" si="50"/>
        <v>5346880</v>
      </c>
      <c r="G360" s="2953">
        <f t="shared" ca="1" si="51"/>
        <v>51567</v>
      </c>
      <c r="I360" s="2953">
        <f>I359+$I$34</f>
        <v>106.75</v>
      </c>
      <c r="J360" s="2953">
        <v>100</v>
      </c>
      <c r="K360" s="2953">
        <f t="shared" si="52"/>
        <v>110.69</v>
      </c>
      <c r="L360" s="2953">
        <f t="shared" ca="1" si="49"/>
        <v>5346880</v>
      </c>
    </row>
    <row r="361" spans="1:12">
      <c r="A361" s="2953" t="s">
        <v>3069</v>
      </c>
      <c r="B361" s="2953" t="s">
        <v>3106</v>
      </c>
      <c r="C361" s="2953">
        <v>30</v>
      </c>
      <c r="D361" s="2953" t="s">
        <v>3107</v>
      </c>
      <c r="E361" s="2953">
        <v>103.7864</v>
      </c>
      <c r="F361" s="2953">
        <f t="shared" ca="1" si="50"/>
        <v>5351710</v>
      </c>
      <c r="G361" s="2953">
        <f t="shared" ca="1" si="51"/>
        <v>51565</v>
      </c>
      <c r="I361" s="2953">
        <f>$I$360</f>
        <v>106.75</v>
      </c>
      <c r="J361" s="2953">
        <v>100</v>
      </c>
      <c r="K361" s="2953">
        <f t="shared" si="52"/>
        <v>110.79</v>
      </c>
      <c r="L361" s="2953">
        <f t="shared" ca="1" si="49"/>
        <v>5351710</v>
      </c>
    </row>
    <row r="362" spans="1:12">
      <c r="A362" s="2953" t="s">
        <v>3069</v>
      </c>
      <c r="B362" s="2953" t="s">
        <v>3106</v>
      </c>
      <c r="C362" s="2953">
        <v>30</v>
      </c>
      <c r="D362" s="2953" t="s">
        <v>3108</v>
      </c>
      <c r="E362" s="2953">
        <v>131.83160000000001</v>
      </c>
      <c r="F362" s="2953">
        <f t="shared" ca="1" si="50"/>
        <v>6729852</v>
      </c>
      <c r="G362" s="2953">
        <f t="shared" ca="1" si="51"/>
        <v>51049</v>
      </c>
      <c r="I362" s="2953">
        <f t="shared" ref="I362:I371" si="53">$I$360</f>
        <v>106.75</v>
      </c>
      <c r="J362" s="2953">
        <v>99</v>
      </c>
      <c r="K362" s="2953">
        <f t="shared" si="52"/>
        <v>139.32</v>
      </c>
      <c r="L362" s="2953">
        <f t="shared" ca="1" si="49"/>
        <v>6729852</v>
      </c>
    </row>
    <row r="363" spans="1:12">
      <c r="A363" s="2953" t="s">
        <v>3069</v>
      </c>
      <c r="B363" s="2953" t="s">
        <v>3106</v>
      </c>
      <c r="C363" s="2953">
        <v>30</v>
      </c>
      <c r="D363" s="2953" t="s">
        <v>3109</v>
      </c>
      <c r="E363" s="2953">
        <v>131.6439</v>
      </c>
      <c r="F363" s="2953">
        <f t="shared" ca="1" si="50"/>
        <v>6720191</v>
      </c>
      <c r="G363" s="2953">
        <f t="shared" ca="1" si="51"/>
        <v>51048</v>
      </c>
      <c r="I363" s="2953">
        <f t="shared" si="53"/>
        <v>106.75</v>
      </c>
      <c r="J363" s="2953">
        <v>99</v>
      </c>
      <c r="K363" s="2953">
        <f t="shared" si="52"/>
        <v>139.12</v>
      </c>
      <c r="L363" s="2953">
        <f t="shared" ca="1" si="49"/>
        <v>6720191</v>
      </c>
    </row>
    <row r="364" spans="1:12">
      <c r="A364" s="2953" t="s">
        <v>3069</v>
      </c>
      <c r="B364" s="2953" t="s">
        <v>3110</v>
      </c>
      <c r="C364" s="2953">
        <v>30</v>
      </c>
      <c r="D364" s="2953" t="s">
        <v>3071</v>
      </c>
      <c r="E364" s="2953">
        <v>103.7864</v>
      </c>
      <c r="F364" s="2953">
        <f t="shared" ca="1" si="50"/>
        <v>5351710</v>
      </c>
      <c r="G364" s="2953">
        <f t="shared" ca="1" si="51"/>
        <v>51565</v>
      </c>
      <c r="I364" s="2953">
        <f t="shared" si="53"/>
        <v>106.75</v>
      </c>
      <c r="J364" s="2953">
        <v>100</v>
      </c>
      <c r="K364" s="2953">
        <f t="shared" si="52"/>
        <v>110.79</v>
      </c>
      <c r="L364" s="2953">
        <f t="shared" ca="1" si="49"/>
        <v>5351710</v>
      </c>
    </row>
    <row r="365" spans="1:12">
      <c r="A365" s="2953" t="s">
        <v>3069</v>
      </c>
      <c r="B365" s="2953" t="s">
        <v>3110</v>
      </c>
      <c r="C365" s="2953">
        <v>30</v>
      </c>
      <c r="D365" s="2953" t="s">
        <v>3107</v>
      </c>
      <c r="E365" s="2953">
        <v>103.7864</v>
      </c>
      <c r="F365" s="2953">
        <f t="shared" ca="1" si="50"/>
        <v>5351710</v>
      </c>
      <c r="G365" s="2953">
        <f t="shared" ca="1" si="51"/>
        <v>51565</v>
      </c>
      <c r="I365" s="2953">
        <f t="shared" si="53"/>
        <v>106.75</v>
      </c>
      <c r="J365" s="2953">
        <v>100</v>
      </c>
      <c r="K365" s="2953">
        <f t="shared" si="52"/>
        <v>110.79</v>
      </c>
      <c r="L365" s="2953">
        <f t="shared" ca="1" si="49"/>
        <v>5351710</v>
      </c>
    </row>
    <row r="366" spans="1:12">
      <c r="A366" s="2953" t="s">
        <v>3069</v>
      </c>
      <c r="B366" s="2953" t="s">
        <v>3110</v>
      </c>
      <c r="C366" s="2953">
        <v>30</v>
      </c>
      <c r="D366" s="2953" t="s">
        <v>3108</v>
      </c>
      <c r="E366" s="2953">
        <v>131.50129999999999</v>
      </c>
      <c r="F366" s="2953">
        <f t="shared" ca="1" si="50"/>
        <v>6712945</v>
      </c>
      <c r="G366" s="2953">
        <f t="shared" ca="1" si="51"/>
        <v>51049</v>
      </c>
      <c r="I366" s="2953">
        <f t="shared" si="53"/>
        <v>106.75</v>
      </c>
      <c r="J366" s="2953">
        <v>99</v>
      </c>
      <c r="K366" s="2953">
        <f t="shared" si="52"/>
        <v>138.97</v>
      </c>
      <c r="L366" s="2953">
        <f t="shared" ca="1" si="49"/>
        <v>6712945</v>
      </c>
    </row>
    <row r="367" spans="1:12">
      <c r="A367" s="2953" t="s">
        <v>3069</v>
      </c>
      <c r="B367" s="2953" t="s">
        <v>3110</v>
      </c>
      <c r="C367" s="2953">
        <v>30</v>
      </c>
      <c r="D367" s="2953" t="s">
        <v>3109</v>
      </c>
      <c r="E367" s="2953">
        <v>131.83160000000001</v>
      </c>
      <c r="F367" s="2953">
        <f t="shared" ca="1" si="50"/>
        <v>6729852</v>
      </c>
      <c r="G367" s="2953">
        <f t="shared" ca="1" si="51"/>
        <v>51049</v>
      </c>
      <c r="I367" s="2953">
        <f t="shared" si="53"/>
        <v>106.75</v>
      </c>
      <c r="J367" s="2953">
        <v>99</v>
      </c>
      <c r="K367" s="2953">
        <f t="shared" si="52"/>
        <v>139.32</v>
      </c>
      <c r="L367" s="2953">
        <f t="shared" ca="1" si="49"/>
        <v>6729852</v>
      </c>
    </row>
    <row r="368" spans="1:12">
      <c r="A368" s="2953" t="s">
        <v>3069</v>
      </c>
      <c r="B368" s="2953" t="s">
        <v>3115</v>
      </c>
      <c r="C368" s="2953">
        <v>30</v>
      </c>
      <c r="D368" s="2953" t="s">
        <v>3071</v>
      </c>
      <c r="E368" s="2953">
        <v>90.76</v>
      </c>
      <c r="F368" s="2953">
        <f t="shared" ca="1" si="50"/>
        <v>4680271</v>
      </c>
      <c r="G368" s="2953">
        <f t="shared" ca="1" si="51"/>
        <v>51568</v>
      </c>
      <c r="I368" s="2953">
        <f t="shared" si="53"/>
        <v>106.75</v>
      </c>
      <c r="J368" s="2953">
        <v>100</v>
      </c>
      <c r="K368" s="2953">
        <f t="shared" si="52"/>
        <v>96.89</v>
      </c>
      <c r="L368" s="2953">
        <f t="shared" ca="1" si="49"/>
        <v>4680271</v>
      </c>
    </row>
    <row r="369" spans="1:12">
      <c r="A369" s="2953" t="s">
        <v>3069</v>
      </c>
      <c r="B369" s="2953" t="s">
        <v>3115</v>
      </c>
      <c r="C369" s="2953">
        <v>30</v>
      </c>
      <c r="D369" s="2953" t="s">
        <v>3107</v>
      </c>
      <c r="E369" s="2953">
        <v>90.850399999999993</v>
      </c>
      <c r="F369" s="2953">
        <f t="shared" ca="1" si="50"/>
        <v>4684618</v>
      </c>
      <c r="G369" s="2953">
        <f t="shared" ca="1" si="51"/>
        <v>51564</v>
      </c>
      <c r="I369" s="2953">
        <f t="shared" si="53"/>
        <v>106.75</v>
      </c>
      <c r="J369" s="2953">
        <v>100</v>
      </c>
      <c r="K369" s="2953">
        <f t="shared" si="52"/>
        <v>96.98</v>
      </c>
      <c r="L369" s="2953">
        <f t="shared" ca="1" si="49"/>
        <v>4684618</v>
      </c>
    </row>
    <row r="370" spans="1:12">
      <c r="A370" s="2953" t="s">
        <v>3069</v>
      </c>
      <c r="B370" s="2953" t="s">
        <v>3115</v>
      </c>
      <c r="C370" s="2953">
        <v>30</v>
      </c>
      <c r="D370" s="2953" t="s">
        <v>3108</v>
      </c>
      <c r="E370" s="2953">
        <v>92.628600000000006</v>
      </c>
      <c r="F370" s="2953">
        <f t="shared" ca="1" si="50"/>
        <v>4776398</v>
      </c>
      <c r="G370" s="2953">
        <f t="shared" ca="1" si="51"/>
        <v>51565</v>
      </c>
      <c r="I370" s="2953">
        <f t="shared" si="53"/>
        <v>106.75</v>
      </c>
      <c r="J370" s="2953">
        <v>100</v>
      </c>
      <c r="K370" s="2953">
        <f t="shared" si="52"/>
        <v>98.88</v>
      </c>
      <c r="L370" s="2953">
        <f t="shared" ca="1" si="49"/>
        <v>4776398</v>
      </c>
    </row>
    <row r="371" spans="1:12">
      <c r="A371" s="2953" t="s">
        <v>3069</v>
      </c>
      <c r="B371" s="2953" t="s">
        <v>3115</v>
      </c>
      <c r="C371" s="2953">
        <v>30</v>
      </c>
      <c r="D371" s="2953" t="s">
        <v>3109</v>
      </c>
      <c r="E371" s="2953">
        <v>92.628600000000006</v>
      </c>
      <c r="F371" s="2953">
        <f t="shared" ca="1" si="50"/>
        <v>4776398</v>
      </c>
      <c r="G371" s="2953">
        <f t="shared" ca="1" si="51"/>
        <v>51565</v>
      </c>
      <c r="I371" s="2953">
        <f t="shared" si="53"/>
        <v>106.75</v>
      </c>
      <c r="J371" s="2953">
        <v>100</v>
      </c>
      <c r="K371" s="2953">
        <f t="shared" si="52"/>
        <v>98.88</v>
      </c>
      <c r="L371" s="2953">
        <f t="shared" ca="1" si="49"/>
        <v>4776398</v>
      </c>
    </row>
    <row r="372" spans="1:12">
      <c r="A372" s="2953" t="s">
        <v>3069</v>
      </c>
      <c r="B372" s="2953" t="s">
        <v>3106</v>
      </c>
      <c r="C372" s="2953">
        <v>31</v>
      </c>
      <c r="D372" s="2953" t="s">
        <v>3071</v>
      </c>
      <c r="E372" s="2953">
        <v>103.6872</v>
      </c>
      <c r="F372" s="2953">
        <f t="shared" ca="1" si="50"/>
        <v>5359439</v>
      </c>
      <c r="G372" s="2953">
        <f t="shared" ca="1" si="51"/>
        <v>51689</v>
      </c>
      <c r="I372" s="2953">
        <f>I371+$I$34</f>
        <v>107</v>
      </c>
      <c r="J372" s="2953">
        <v>100</v>
      </c>
      <c r="K372" s="2953">
        <f t="shared" si="52"/>
        <v>110.95</v>
      </c>
      <c r="L372" s="2953">
        <f t="shared" ca="1" si="49"/>
        <v>5359439</v>
      </c>
    </row>
    <row r="373" spans="1:12">
      <c r="A373" s="2953" t="s">
        <v>3069</v>
      </c>
      <c r="B373" s="2953" t="s">
        <v>3106</v>
      </c>
      <c r="C373" s="2953">
        <v>31</v>
      </c>
      <c r="D373" s="2953" t="s">
        <v>3107</v>
      </c>
      <c r="E373" s="2953">
        <v>103.7864</v>
      </c>
      <c r="F373" s="2953">
        <f t="shared" ca="1" si="50"/>
        <v>5364270</v>
      </c>
      <c r="G373" s="2953">
        <f t="shared" ca="1" si="51"/>
        <v>51686</v>
      </c>
      <c r="I373" s="2953">
        <f>$I$372</f>
        <v>107</v>
      </c>
      <c r="J373" s="2953">
        <v>100</v>
      </c>
      <c r="K373" s="2953">
        <f t="shared" si="52"/>
        <v>111.05</v>
      </c>
      <c r="L373" s="2953">
        <f t="shared" ca="1" si="49"/>
        <v>5364270</v>
      </c>
    </row>
    <row r="374" spans="1:12">
      <c r="A374" s="2953" t="s">
        <v>3069</v>
      </c>
      <c r="B374" s="2953" t="s">
        <v>3106</v>
      </c>
      <c r="C374" s="2953">
        <v>31</v>
      </c>
      <c r="D374" s="2953" t="s">
        <v>3108</v>
      </c>
      <c r="E374" s="2953">
        <v>131.83160000000001</v>
      </c>
      <c r="F374" s="2953">
        <f t="shared" ca="1" si="50"/>
        <v>6745793</v>
      </c>
      <c r="G374" s="2953">
        <f t="shared" ca="1" si="51"/>
        <v>51170</v>
      </c>
      <c r="I374" s="2953">
        <f t="shared" ref="I374:I383" si="54">$I$372</f>
        <v>107</v>
      </c>
      <c r="J374" s="2953">
        <v>99</v>
      </c>
      <c r="K374" s="2953">
        <f t="shared" si="52"/>
        <v>139.65</v>
      </c>
      <c r="L374" s="2953">
        <f t="shared" ca="1" si="49"/>
        <v>6745793</v>
      </c>
    </row>
    <row r="375" spans="1:12">
      <c r="A375" s="2953" t="s">
        <v>3069</v>
      </c>
      <c r="B375" s="2953" t="s">
        <v>3106</v>
      </c>
      <c r="C375" s="2953">
        <v>31</v>
      </c>
      <c r="D375" s="2953" t="s">
        <v>3109</v>
      </c>
      <c r="E375" s="2953">
        <v>131.6439</v>
      </c>
      <c r="F375" s="2953">
        <f t="shared" ca="1" si="50"/>
        <v>6736132</v>
      </c>
      <c r="G375" s="2953">
        <f t="shared" ca="1" si="51"/>
        <v>51169</v>
      </c>
      <c r="I375" s="2953">
        <f t="shared" si="54"/>
        <v>107</v>
      </c>
      <c r="J375" s="2953">
        <v>99</v>
      </c>
      <c r="K375" s="2953">
        <f t="shared" si="52"/>
        <v>139.44999999999999</v>
      </c>
      <c r="L375" s="2953">
        <f t="shared" ca="1" si="49"/>
        <v>6736132</v>
      </c>
    </row>
    <row r="376" spans="1:12">
      <c r="A376" s="2953" t="s">
        <v>3069</v>
      </c>
      <c r="B376" s="2953" t="s">
        <v>3110</v>
      </c>
      <c r="C376" s="2953">
        <v>31</v>
      </c>
      <c r="D376" s="2953" t="s">
        <v>3071</v>
      </c>
      <c r="E376" s="2953">
        <v>103.7864</v>
      </c>
      <c r="F376" s="2953">
        <f t="shared" ca="1" si="50"/>
        <v>5364270</v>
      </c>
      <c r="G376" s="2953">
        <f t="shared" ca="1" si="51"/>
        <v>51686</v>
      </c>
      <c r="I376" s="2953">
        <f t="shared" si="54"/>
        <v>107</v>
      </c>
      <c r="J376" s="2953">
        <v>100</v>
      </c>
      <c r="K376" s="2953">
        <f t="shared" si="52"/>
        <v>111.05</v>
      </c>
      <c r="L376" s="2953">
        <f t="shared" ca="1" si="49"/>
        <v>5364270</v>
      </c>
    </row>
    <row r="377" spans="1:12">
      <c r="A377" s="2953" t="s">
        <v>3069</v>
      </c>
      <c r="B377" s="2953" t="s">
        <v>3110</v>
      </c>
      <c r="C377" s="2953">
        <v>31</v>
      </c>
      <c r="D377" s="2953" t="s">
        <v>3107</v>
      </c>
      <c r="E377" s="2953">
        <v>103.7864</v>
      </c>
      <c r="F377" s="2953">
        <f t="shared" ca="1" si="50"/>
        <v>5364270</v>
      </c>
      <c r="G377" s="2953">
        <f t="shared" ca="1" si="51"/>
        <v>51686</v>
      </c>
      <c r="I377" s="2953">
        <f t="shared" si="54"/>
        <v>107</v>
      </c>
      <c r="J377" s="2953">
        <v>100</v>
      </c>
      <c r="K377" s="2953">
        <f t="shared" si="52"/>
        <v>111.05</v>
      </c>
      <c r="L377" s="2953">
        <f t="shared" ca="1" si="49"/>
        <v>5364270</v>
      </c>
    </row>
    <row r="378" spans="1:12">
      <c r="A378" s="2953" t="s">
        <v>3069</v>
      </c>
      <c r="B378" s="2953" t="s">
        <v>3110</v>
      </c>
      <c r="C378" s="2953">
        <v>31</v>
      </c>
      <c r="D378" s="2953" t="s">
        <v>3108</v>
      </c>
      <c r="E378" s="2953">
        <v>131.50129999999999</v>
      </c>
      <c r="F378" s="2953">
        <f t="shared" ca="1" si="50"/>
        <v>6728886</v>
      </c>
      <c r="G378" s="2953">
        <f t="shared" ca="1" si="51"/>
        <v>51170</v>
      </c>
      <c r="I378" s="2953">
        <f t="shared" si="54"/>
        <v>107</v>
      </c>
      <c r="J378" s="2953">
        <v>99</v>
      </c>
      <c r="K378" s="2953">
        <f t="shared" si="52"/>
        <v>139.30000000000001</v>
      </c>
      <c r="L378" s="2953">
        <f t="shared" ca="1" si="49"/>
        <v>6728886</v>
      </c>
    </row>
    <row r="379" spans="1:12">
      <c r="A379" s="2953" t="s">
        <v>3069</v>
      </c>
      <c r="B379" s="2953" t="s">
        <v>3110</v>
      </c>
      <c r="C379" s="2953">
        <v>31</v>
      </c>
      <c r="D379" s="2953" t="s">
        <v>3109</v>
      </c>
      <c r="E379" s="2953">
        <v>131.83160000000001</v>
      </c>
      <c r="F379" s="2953">
        <f t="shared" ca="1" si="50"/>
        <v>6745793</v>
      </c>
      <c r="G379" s="2953">
        <f t="shared" ca="1" si="51"/>
        <v>51170</v>
      </c>
      <c r="I379" s="2953">
        <f t="shared" si="54"/>
        <v>107</v>
      </c>
      <c r="J379" s="2953">
        <v>99</v>
      </c>
      <c r="K379" s="2953">
        <f t="shared" si="52"/>
        <v>139.65</v>
      </c>
      <c r="L379" s="2953">
        <f t="shared" ca="1" si="49"/>
        <v>6745793</v>
      </c>
    </row>
    <row r="380" spans="1:12">
      <c r="A380" s="2953" t="s">
        <v>3069</v>
      </c>
      <c r="B380" s="2953" t="s">
        <v>3115</v>
      </c>
      <c r="C380" s="2953">
        <v>31</v>
      </c>
      <c r="D380" s="2953" t="s">
        <v>3071</v>
      </c>
      <c r="E380" s="2953">
        <v>90.76</v>
      </c>
      <c r="F380" s="2953">
        <f t="shared" ca="1" si="50"/>
        <v>4690898</v>
      </c>
      <c r="G380" s="2953">
        <f t="shared" ca="1" si="51"/>
        <v>51685</v>
      </c>
      <c r="I380" s="2953">
        <f t="shared" si="54"/>
        <v>107</v>
      </c>
      <c r="J380" s="2953">
        <v>100</v>
      </c>
      <c r="K380" s="2953">
        <f t="shared" si="52"/>
        <v>97.11</v>
      </c>
      <c r="L380" s="2953">
        <f t="shared" ca="1" si="49"/>
        <v>4690898</v>
      </c>
    </row>
    <row r="381" spans="1:12">
      <c r="A381" s="2953" t="s">
        <v>3069</v>
      </c>
      <c r="B381" s="2953" t="s">
        <v>3115</v>
      </c>
      <c r="C381" s="2953">
        <v>31</v>
      </c>
      <c r="D381" s="2953" t="s">
        <v>3107</v>
      </c>
      <c r="E381" s="2953">
        <v>90.850399999999993</v>
      </c>
      <c r="F381" s="2953">
        <f t="shared" ca="1" si="50"/>
        <v>4695729</v>
      </c>
      <c r="G381" s="2953">
        <f t="shared" ca="1" si="51"/>
        <v>51686</v>
      </c>
      <c r="I381" s="2953">
        <f t="shared" si="54"/>
        <v>107</v>
      </c>
      <c r="J381" s="2953">
        <v>100</v>
      </c>
      <c r="K381" s="2953">
        <f t="shared" si="52"/>
        <v>97.21</v>
      </c>
      <c r="L381" s="2953">
        <f t="shared" ca="1" si="49"/>
        <v>4695729</v>
      </c>
    </row>
    <row r="382" spans="1:12">
      <c r="A382" s="2953" t="s">
        <v>3069</v>
      </c>
      <c r="B382" s="2953" t="s">
        <v>3115</v>
      </c>
      <c r="C382" s="2953">
        <v>31</v>
      </c>
      <c r="D382" s="2953" t="s">
        <v>3108</v>
      </c>
      <c r="E382" s="2953">
        <v>92.628600000000006</v>
      </c>
      <c r="F382" s="2953">
        <f t="shared" ca="1" si="50"/>
        <v>4787508</v>
      </c>
      <c r="G382" s="2953">
        <f t="shared" ca="1" si="51"/>
        <v>51685</v>
      </c>
      <c r="I382" s="2953">
        <f t="shared" si="54"/>
        <v>107</v>
      </c>
      <c r="J382" s="2953">
        <v>100</v>
      </c>
      <c r="K382" s="2953">
        <f t="shared" si="52"/>
        <v>99.11</v>
      </c>
      <c r="L382" s="2953">
        <f t="shared" ca="1" si="49"/>
        <v>4787508</v>
      </c>
    </row>
    <row r="383" spans="1:12">
      <c r="A383" s="2953" t="s">
        <v>3069</v>
      </c>
      <c r="B383" s="2953" t="s">
        <v>3115</v>
      </c>
      <c r="C383" s="2953">
        <v>31</v>
      </c>
      <c r="D383" s="2953" t="s">
        <v>3109</v>
      </c>
      <c r="E383" s="2953">
        <v>92.628600000000006</v>
      </c>
      <c r="F383" s="2953">
        <f t="shared" ca="1" si="50"/>
        <v>4787508</v>
      </c>
      <c r="G383" s="2953">
        <f t="shared" ca="1" si="51"/>
        <v>51685</v>
      </c>
      <c r="I383" s="2953">
        <f t="shared" si="54"/>
        <v>107</v>
      </c>
      <c r="J383" s="2953">
        <v>100</v>
      </c>
      <c r="K383" s="2953">
        <f t="shared" si="52"/>
        <v>99.11</v>
      </c>
      <c r="L383" s="2953">
        <f t="shared" ca="1" si="49"/>
        <v>4787508</v>
      </c>
    </row>
    <row r="384" spans="1:12">
      <c r="A384" s="2953" t="s">
        <v>3069</v>
      </c>
      <c r="B384" s="2953" t="s">
        <v>3106</v>
      </c>
      <c r="C384" s="2953">
        <v>32</v>
      </c>
      <c r="D384" s="2953" t="s">
        <v>3071</v>
      </c>
      <c r="E384" s="2953">
        <v>103.6872</v>
      </c>
      <c r="F384" s="2953">
        <f t="shared" ca="1" si="50"/>
        <v>5371515</v>
      </c>
      <c r="G384" s="2953">
        <f t="shared" ca="1" si="51"/>
        <v>51805</v>
      </c>
      <c r="I384" s="2953">
        <f>I383+$I$34</f>
        <v>107.25</v>
      </c>
      <c r="J384" s="2953">
        <v>100</v>
      </c>
      <c r="K384" s="2953">
        <f t="shared" si="52"/>
        <v>111.2</v>
      </c>
      <c r="L384" s="2953">
        <f t="shared" ca="1" si="49"/>
        <v>5371515</v>
      </c>
    </row>
    <row r="385" spans="1:12">
      <c r="A385" s="2953" t="s">
        <v>3069</v>
      </c>
      <c r="B385" s="2953" t="s">
        <v>3106</v>
      </c>
      <c r="C385" s="2953">
        <v>32</v>
      </c>
      <c r="D385" s="2953" t="s">
        <v>3107</v>
      </c>
      <c r="E385" s="2953">
        <v>103.7864</v>
      </c>
      <c r="F385" s="2953">
        <f t="shared" ca="1" si="50"/>
        <v>5376829</v>
      </c>
      <c r="G385" s="2953">
        <f t="shared" ca="1" si="51"/>
        <v>51807</v>
      </c>
      <c r="I385" s="2953">
        <f>$I$384</f>
        <v>107.25</v>
      </c>
      <c r="J385" s="2953">
        <v>100</v>
      </c>
      <c r="K385" s="2953">
        <f t="shared" si="52"/>
        <v>111.31</v>
      </c>
      <c r="L385" s="2953">
        <f t="shared" ca="1" si="49"/>
        <v>5376829</v>
      </c>
    </row>
    <row r="386" spans="1:12">
      <c r="A386" s="2953" t="s">
        <v>3069</v>
      </c>
      <c r="B386" s="2953" t="s">
        <v>3106</v>
      </c>
      <c r="C386" s="2953">
        <v>32</v>
      </c>
      <c r="D386" s="2953" t="s">
        <v>3108</v>
      </c>
      <c r="E386" s="2953">
        <v>131.83160000000001</v>
      </c>
      <c r="F386" s="2953">
        <f t="shared" ca="1" si="50"/>
        <v>6761733</v>
      </c>
      <c r="G386" s="2953">
        <f t="shared" ca="1" si="51"/>
        <v>51291</v>
      </c>
      <c r="I386" s="2953">
        <f t="shared" ref="I386:I391" si="55">$I$384</f>
        <v>107.25</v>
      </c>
      <c r="J386" s="2953">
        <v>99</v>
      </c>
      <c r="K386" s="2953">
        <f t="shared" si="52"/>
        <v>139.97999999999999</v>
      </c>
      <c r="L386" s="2953">
        <f t="shared" ca="1" si="49"/>
        <v>6761733</v>
      </c>
    </row>
    <row r="387" spans="1:12">
      <c r="A387" s="2953" t="s">
        <v>3069</v>
      </c>
      <c r="B387" s="2953" t="s">
        <v>3106</v>
      </c>
      <c r="C387" s="2953">
        <v>32</v>
      </c>
      <c r="D387" s="2953" t="s">
        <v>3109</v>
      </c>
      <c r="E387" s="2953">
        <v>131.6439</v>
      </c>
      <c r="F387" s="2953">
        <f t="shared" ca="1" si="50"/>
        <v>6752072</v>
      </c>
      <c r="G387" s="2953">
        <f t="shared" ca="1" si="51"/>
        <v>51290</v>
      </c>
      <c r="I387" s="2953">
        <f t="shared" si="55"/>
        <v>107.25</v>
      </c>
      <c r="J387" s="2953">
        <v>99</v>
      </c>
      <c r="K387" s="2953">
        <f t="shared" si="52"/>
        <v>139.78</v>
      </c>
      <c r="L387" s="2953">
        <f t="shared" ca="1" si="49"/>
        <v>6752072</v>
      </c>
    </row>
    <row r="388" spans="1:12">
      <c r="A388" s="2953" t="s">
        <v>3069</v>
      </c>
      <c r="B388" s="2953" t="s">
        <v>3110</v>
      </c>
      <c r="C388" s="2953">
        <v>32</v>
      </c>
      <c r="D388" s="2953" t="s">
        <v>3071</v>
      </c>
      <c r="E388" s="2953">
        <v>103.7864</v>
      </c>
      <c r="F388" s="2953">
        <f t="shared" ca="1" si="50"/>
        <v>5376829</v>
      </c>
      <c r="G388" s="2953">
        <f t="shared" ca="1" si="51"/>
        <v>51807</v>
      </c>
      <c r="I388" s="2953">
        <f t="shared" si="55"/>
        <v>107.25</v>
      </c>
      <c r="J388" s="2953">
        <v>100</v>
      </c>
      <c r="K388" s="2953">
        <f t="shared" si="52"/>
        <v>111.31</v>
      </c>
      <c r="L388" s="2953">
        <f t="shared" ca="1" si="49"/>
        <v>5376829</v>
      </c>
    </row>
    <row r="389" spans="1:12">
      <c r="A389" s="2953" t="s">
        <v>3069</v>
      </c>
      <c r="B389" s="2953" t="s">
        <v>3110</v>
      </c>
      <c r="C389" s="2953">
        <v>32</v>
      </c>
      <c r="D389" s="2953" t="s">
        <v>3107</v>
      </c>
      <c r="E389" s="2953">
        <v>103.7864</v>
      </c>
      <c r="F389" s="2953">
        <f t="shared" ca="1" si="50"/>
        <v>5376829</v>
      </c>
      <c r="G389" s="2953">
        <f t="shared" ca="1" si="51"/>
        <v>51807</v>
      </c>
      <c r="I389" s="2953">
        <f t="shared" si="55"/>
        <v>107.25</v>
      </c>
      <c r="J389" s="2953">
        <v>100</v>
      </c>
      <c r="K389" s="2953">
        <f t="shared" si="52"/>
        <v>111.31</v>
      </c>
      <c r="L389" s="2953">
        <f t="shared" ca="1" si="49"/>
        <v>5376829</v>
      </c>
    </row>
    <row r="390" spans="1:12">
      <c r="A390" s="2953" t="s">
        <v>3069</v>
      </c>
      <c r="B390" s="2953" t="s">
        <v>3110</v>
      </c>
      <c r="C390" s="2953">
        <v>32</v>
      </c>
      <c r="D390" s="2953" t="s">
        <v>3108</v>
      </c>
      <c r="E390" s="2953">
        <v>131.50129999999999</v>
      </c>
      <c r="F390" s="2953">
        <f t="shared" ca="1" si="50"/>
        <v>6744343</v>
      </c>
      <c r="G390" s="2953">
        <f t="shared" ca="1" si="51"/>
        <v>51287</v>
      </c>
      <c r="I390" s="2953">
        <f t="shared" si="55"/>
        <v>107.25</v>
      </c>
      <c r="J390" s="2953">
        <v>99</v>
      </c>
      <c r="K390" s="2953">
        <f t="shared" si="52"/>
        <v>139.62</v>
      </c>
      <c r="L390" s="2953">
        <f t="shared" ca="1" si="49"/>
        <v>6744343</v>
      </c>
    </row>
    <row r="391" spans="1:12">
      <c r="A391" s="2953" t="s">
        <v>3069</v>
      </c>
      <c r="B391" s="2953" t="s">
        <v>3110</v>
      </c>
      <c r="C391" s="2953">
        <v>32</v>
      </c>
      <c r="D391" s="2953" t="s">
        <v>3109</v>
      </c>
      <c r="E391" s="2953">
        <v>131.83160000000001</v>
      </c>
      <c r="F391" s="2953">
        <f t="shared" ca="1" si="50"/>
        <v>6761735</v>
      </c>
      <c r="G391" s="2953">
        <f t="shared" ca="1" si="51"/>
        <v>51291</v>
      </c>
      <c r="I391" s="2953">
        <f t="shared" si="55"/>
        <v>107.25</v>
      </c>
      <c r="J391" s="2953">
        <v>99</v>
      </c>
      <c r="K391" s="2953">
        <f t="shared" si="52"/>
        <v>139.97999999999999</v>
      </c>
      <c r="L391" s="2953">
        <f ca="1">L392*10000-SUM(L36:L390)</f>
        <v>6761735</v>
      </c>
    </row>
    <row r="392" spans="1:12">
      <c r="E392" s="2953">
        <f>SUM(E2:E391)</f>
        <v>41667.353900000009</v>
      </c>
      <c r="F392" s="2953">
        <f ca="1">SUM(F2:F391)</f>
        <v>2086760000</v>
      </c>
      <c r="K392" s="2953">
        <f>SUM(K36:K391)</f>
        <v>40111.380000000005</v>
      </c>
      <c r="L392" s="2953">
        <f ca="1">K13</f>
        <v>193758</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86" t="str">
        <f>项目基本情况!B1</f>
        <v>广东省广州市海珠区工业大道南北侧石溪村地段第三金碧花园自编68-70栋住宅楼项目出让国有建设用地使用权及在建建筑物房地产抵押价值预评估</v>
      </c>
      <c r="C37" s="2986"/>
      <c r="D37" s="2986"/>
      <c r="E37" s="2986"/>
      <c r="F37" s="2986"/>
      <c r="G37" s="2986"/>
      <c r="H37" s="2986"/>
      <c r="I37" s="2986"/>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6" zoomScaleNormal="100" zoomScaleSheetLayoutView="100" zoomScalePageLayoutView="80" workbookViewId="0">
      <selection activeCell="D123" sqref="D123:I123"/>
    </sheetView>
  </sheetViews>
  <sheetFormatPr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09375" style="795" bestFit="1" customWidth="1"/>
    <col min="14" max="26" width="12.6640625" style="795"/>
    <col min="27" max="35" width="12.6640625" style="2421"/>
    <col min="36" max="16384" width="12.6640625" style="2422"/>
  </cols>
  <sheetData>
    <row r="1" spans="1:12" ht="21.75" customHeight="1" thickBot="1">
      <c r="A1" s="2223" t="s">
        <v>2112</v>
      </c>
      <c r="B1" s="2416"/>
      <c r="C1" s="2417"/>
      <c r="D1" s="2416"/>
      <c r="E1" s="2416"/>
      <c r="F1" s="2418" t="s">
        <v>2113</v>
      </c>
      <c r="G1" s="2068" t="s">
        <v>2114</v>
      </c>
      <c r="H1" s="2419" t="str">
        <f>IF(G1="现房","——","估价对象范围")</f>
        <v>估价对象范围</v>
      </c>
      <c r="I1" s="2420"/>
    </row>
    <row r="2" spans="1:12" ht="21.75" customHeight="1" thickBot="1">
      <c r="A2" s="3151" t="str">
        <f>项目基本情况!S2</f>
        <v>广东省广州市海珠区工业大道南北侧石溪村地段第三金碧花园自编68-70栋住宅楼项目出让国有建设用地使用权及在建建筑物房地产</v>
      </c>
      <c r="B2" s="3152"/>
      <c r="C2" s="3152"/>
      <c r="D2" s="3152"/>
      <c r="E2" s="3152"/>
      <c r="F2" s="3152"/>
      <c r="G2" s="3152"/>
      <c r="H2" s="3152"/>
      <c r="I2" s="3153"/>
    </row>
    <row r="3" spans="1:12" ht="13.2">
      <c r="A3" s="3154" t="s">
        <v>2115</v>
      </c>
      <c r="B3" s="3155"/>
      <c r="C3" s="3155"/>
      <c r="D3" s="3155"/>
      <c r="E3" s="3155"/>
      <c r="F3" s="3155"/>
      <c r="G3" s="3155"/>
      <c r="H3" s="3155"/>
      <c r="I3" s="3155"/>
    </row>
    <row r="4" spans="1:12" ht="14.4">
      <c r="A4" s="2423" t="s">
        <v>2116</v>
      </c>
      <c r="B4" s="2424" t="s">
        <v>2117</v>
      </c>
      <c r="C4" s="2425" t="s">
        <v>3170</v>
      </c>
      <c r="D4" s="2425" t="s">
        <v>3171</v>
      </c>
      <c r="E4" s="3135" t="s">
        <v>2118</v>
      </c>
      <c r="F4" s="3148"/>
      <c r="G4" s="3148"/>
      <c r="H4" s="3148"/>
      <c r="I4" s="3136"/>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3.2">
      <c r="A5" s="3126" t="s">
        <v>2119</v>
      </c>
      <c r="B5" s="3052">
        <v>25</v>
      </c>
      <c r="C5" s="3156"/>
      <c r="D5" s="3144"/>
      <c r="E5" s="140" t="s">
        <v>2120</v>
      </c>
      <c r="F5" s="2427"/>
      <c r="G5" s="2427"/>
      <c r="H5" s="2427"/>
      <c r="I5" s="1830"/>
    </row>
    <row r="6" spans="1:12" ht="13.2">
      <c r="A6" s="3126"/>
      <c r="B6" s="3052"/>
      <c r="C6" s="3158"/>
      <c r="D6" s="3144"/>
      <c r="E6" s="140" t="s">
        <v>2121</v>
      </c>
      <c r="F6" s="2427"/>
      <c r="G6" s="2427"/>
      <c r="H6" s="2427"/>
      <c r="I6" s="1830"/>
    </row>
    <row r="7" spans="1:12" ht="13.2">
      <c r="A7" s="3126"/>
      <c r="B7" s="3052"/>
      <c r="C7" s="3157"/>
      <c r="D7" s="3144"/>
      <c r="E7" s="140" t="s">
        <v>2122</v>
      </c>
      <c r="F7" s="2427"/>
      <c r="G7" s="2427"/>
      <c r="H7" s="2427"/>
      <c r="I7" s="1830"/>
    </row>
    <row r="8" spans="1:12" ht="13.2">
      <c r="A8" s="3126" t="s">
        <v>2123</v>
      </c>
      <c r="B8" s="3052">
        <v>15</v>
      </c>
      <c r="C8" s="3156"/>
      <c r="D8" s="3144"/>
      <c r="E8" s="140" t="s">
        <v>2124</v>
      </c>
      <c r="F8" s="2427"/>
      <c r="G8" s="2427"/>
      <c r="H8" s="2427"/>
      <c r="I8" s="1830"/>
    </row>
    <row r="9" spans="1:12" ht="13.2">
      <c r="A9" s="3126"/>
      <c r="B9" s="3052"/>
      <c r="C9" s="3157"/>
      <c r="D9" s="3144"/>
      <c r="E9" s="140" t="s">
        <v>2125</v>
      </c>
      <c r="F9" s="2427"/>
      <c r="G9" s="2427"/>
      <c r="H9" s="2427"/>
      <c r="I9" s="1830"/>
    </row>
    <row r="10" spans="1:12" ht="13.2">
      <c r="A10" s="3126" t="s">
        <v>2126</v>
      </c>
      <c r="B10" s="3052">
        <v>15</v>
      </c>
      <c r="C10" s="3156"/>
      <c r="D10" s="3144"/>
      <c r="E10" s="140" t="s">
        <v>2127</v>
      </c>
      <c r="F10" s="2427"/>
      <c r="G10" s="2427"/>
      <c r="H10" s="2427"/>
      <c r="I10" s="1830"/>
    </row>
    <row r="11" spans="1:12" ht="13.2">
      <c r="A11" s="3126"/>
      <c r="B11" s="3052"/>
      <c r="C11" s="3157"/>
      <c r="D11" s="3144"/>
      <c r="E11" s="140" t="s">
        <v>2128</v>
      </c>
      <c r="F11" s="2427"/>
      <c r="G11" s="2427"/>
      <c r="H11" s="2427"/>
      <c r="I11" s="1830"/>
    </row>
    <row r="12" spans="1:12" ht="13.2">
      <c r="A12" s="3126" t="s">
        <v>2129</v>
      </c>
      <c r="B12" s="3052">
        <v>15</v>
      </c>
      <c r="C12" s="3156"/>
      <c r="D12" s="3144"/>
      <c r="E12" s="140" t="s">
        <v>2130</v>
      </c>
      <c r="F12" s="2427"/>
      <c r="G12" s="2427"/>
      <c r="H12" s="2427"/>
      <c r="I12" s="1830"/>
    </row>
    <row r="13" spans="1:12" ht="13.2">
      <c r="A13" s="3126"/>
      <c r="B13" s="3052"/>
      <c r="C13" s="3157"/>
      <c r="D13" s="3144"/>
      <c r="E13" s="140" t="s">
        <v>2131</v>
      </c>
      <c r="F13" s="2427"/>
      <c r="G13" s="2427"/>
      <c r="H13" s="2427"/>
      <c r="I13" s="1830"/>
    </row>
    <row r="14" spans="1:12" ht="13.2">
      <c r="A14" s="3126" t="s">
        <v>2132</v>
      </c>
      <c r="B14" s="3052">
        <v>30</v>
      </c>
      <c r="C14" s="3156">
        <v>5</v>
      </c>
      <c r="D14" s="3144">
        <v>5</v>
      </c>
      <c r="E14" s="140" t="s">
        <v>2133</v>
      </c>
      <c r="F14" s="2427"/>
      <c r="G14" s="2427"/>
      <c r="H14" s="2427"/>
      <c r="I14" s="1830"/>
    </row>
    <row r="15" spans="1:12" ht="13.2">
      <c r="A15" s="3126"/>
      <c r="B15" s="3052"/>
      <c r="C15" s="3158"/>
      <c r="D15" s="3144"/>
      <c r="E15" s="140" t="s">
        <v>2134</v>
      </c>
      <c r="F15" s="2427"/>
      <c r="G15" s="2427"/>
      <c r="H15" s="2427"/>
      <c r="I15" s="1830"/>
    </row>
    <row r="16" spans="1:12" ht="13.2">
      <c r="A16" s="3126"/>
      <c r="B16" s="3052"/>
      <c r="C16" s="3157"/>
      <c r="D16" s="3144"/>
      <c r="E16" s="140" t="s">
        <v>2135</v>
      </c>
      <c r="F16" s="2427"/>
      <c r="G16" s="2427"/>
      <c r="H16" s="2427"/>
      <c r="I16" s="1830"/>
    </row>
    <row r="17" spans="1:35" ht="14.4">
      <c r="A17" s="2428" t="s">
        <v>2136</v>
      </c>
      <c r="B17" s="64"/>
      <c r="C17" s="141">
        <f>SUM(C5:C16)</f>
        <v>5</v>
      </c>
      <c r="D17" s="141">
        <f>SUM(D5:D16)</f>
        <v>5</v>
      </c>
      <c r="E17" s="138"/>
      <c r="F17" s="138"/>
      <c r="G17" s="138"/>
      <c r="H17" s="138"/>
      <c r="I17" s="138"/>
      <c r="K17" s="2426"/>
      <c r="L17" s="2429" t="s">
        <v>2137</v>
      </c>
      <c r="M17" s="2429" t="s">
        <v>2138</v>
      </c>
    </row>
    <row r="18" spans="1:35" ht="15" thickBot="1">
      <c r="A18" s="2430" t="s">
        <v>2139</v>
      </c>
      <c r="B18" s="2431"/>
      <c r="C18" s="142">
        <f>ROUND(C17/SUM(C17:D17),2)</f>
        <v>0.5</v>
      </c>
      <c r="D18" s="142">
        <f>1-C18</f>
        <v>0.5</v>
      </c>
      <c r="E18" s="138"/>
      <c r="F18" s="138"/>
      <c r="G18" s="138"/>
      <c r="H18" s="138"/>
      <c r="I18" s="138"/>
      <c r="K18" s="2426" t="s">
        <v>2140</v>
      </c>
      <c r="L18" s="2426">
        <f>IF(C1="",'数据-汇总表'!E3,SUMIF(项目类型,C1,'数据-汇总表'!E17:E26)+SUMIF(项目类型,C1,'数据-汇总表'!I17:I26))</f>
        <v>41667.353900000002</v>
      </c>
      <c r="M18" s="2426">
        <f>IF(C1="",'数据-汇总表'!E3,SUMIF(项目类型,C1,'数据-汇总表'!E17:E26))</f>
        <v>41667.353900000002</v>
      </c>
    </row>
    <row r="19" spans="1:35" ht="14.4">
      <c r="A19" s="2432" t="s">
        <v>2141</v>
      </c>
      <c r="B19" s="2433" t="s">
        <v>2142</v>
      </c>
      <c r="C19" s="143">
        <f ca="1">SUMIF(INDIRECT("'"&amp;C4&amp;"'"&amp;"!A:A"),结果表!B19,INDIRECT("'"&amp;C4&amp;"'"&amp;"!B:B"))</f>
        <v>227757</v>
      </c>
      <c r="D19" s="144">
        <f ca="1">SUMIF(INDIRECT("'"&amp;D4&amp;"'"&amp;"!A:A"),结果表!B19,INDIRECT("'"&amp;D4&amp;"'"&amp;"!B:B"))</f>
        <v>189594</v>
      </c>
      <c r="E19" s="2432" t="s">
        <v>2143</v>
      </c>
      <c r="F19" s="2433" t="s">
        <v>2142</v>
      </c>
      <c r="G19" s="145">
        <f ca="1">ROUND(C19*$C$18+D19*$D$18,0)</f>
        <v>208676</v>
      </c>
      <c r="H19" s="2434" t="s">
        <v>2144</v>
      </c>
      <c r="I19" s="138"/>
      <c r="K19" s="2426" t="s">
        <v>2145</v>
      </c>
      <c r="L19" s="2426">
        <f>IF(C1="",'数据-汇总表'!D3,SUMIF(项目类型,C1,'数据-汇总表'!D17:D26)+SUMIF(项目类型,C1,'数据-汇总表'!H17:H27))</f>
        <v>19349.7</v>
      </c>
      <c r="M19" s="2426">
        <f>IF(C1="",'数据-汇总表'!D3,SUMIF(项目类型,C1,'数据-汇总表'!D17:D26))</f>
        <v>19349.7</v>
      </c>
    </row>
    <row r="20" spans="1:35" ht="14.4">
      <c r="A20" s="2435"/>
      <c r="B20" s="1247" t="s">
        <v>2146</v>
      </c>
      <c r="C20" s="146">
        <f ca="1">SUMIF(INDIRECT("'"&amp;C4&amp;"'"&amp;"!A:A"),结果表!B20,INDIRECT("'"&amp;C4&amp;"'"&amp;"!B:B"))</f>
        <v>54661</v>
      </c>
      <c r="D20" s="147">
        <f ca="1">SUMIF(INDIRECT("'"&amp;D4&amp;"'"&amp;"!A:A"),结果表!B20,INDIRECT("'"&amp;D4&amp;"'"&amp;"!B:B"))</f>
        <v>45502</v>
      </c>
      <c r="E20" s="2435"/>
      <c r="F20" s="1247" t="s">
        <v>2146</v>
      </c>
      <c r="G20" s="148">
        <f ca="1">ROUND(C20*$C$18+D20*$D$18,0)</f>
        <v>50082</v>
      </c>
      <c r="H20" s="980" t="s">
        <v>2147</v>
      </c>
      <c r="I20" s="138"/>
    </row>
    <row r="21" spans="1:35" ht="15" customHeight="1" thickBot="1">
      <c r="A21" s="1000"/>
      <c r="B21" s="2436" t="s">
        <v>2148</v>
      </c>
      <c r="C21" s="789">
        <f ca="1">ROUND(C19*10000/L19,0)</f>
        <v>117706</v>
      </c>
      <c r="D21" s="790">
        <f ca="1">ROUND(D19*10000/L19,0)</f>
        <v>97983</v>
      </c>
      <c r="E21" s="1000"/>
      <c r="F21" s="2436" t="s">
        <v>2148</v>
      </c>
      <c r="G21" s="149">
        <f ca="1">ROUND(G19*10000/L19,0)</f>
        <v>107845</v>
      </c>
      <c r="H21" s="2437" t="s">
        <v>2147</v>
      </c>
      <c r="I21" s="138"/>
    </row>
    <row r="22" spans="1:35" ht="15" thickBot="1">
      <c r="A22" s="2279" t="s">
        <v>2149</v>
      </c>
      <c r="B22" s="2438"/>
      <c r="C22" s="2439"/>
      <c r="D22" s="791">
        <f ca="1">IF(C19&lt;D19,D19/C19-1,C19/D19-1)</f>
        <v>0.20128801544352659</v>
      </c>
      <c r="E22" s="138"/>
      <c r="F22" s="138"/>
      <c r="G22" s="138"/>
      <c r="H22" s="138"/>
      <c r="I22" s="138"/>
    </row>
    <row r="23" spans="1:35" ht="13.8" thickBot="1">
      <c r="A23" s="2416"/>
      <c r="B23" s="2416"/>
      <c r="C23" s="2416"/>
      <c r="D23" s="2416"/>
      <c r="E23" s="138"/>
      <c r="F23" s="138"/>
      <c r="G23" s="138"/>
      <c r="H23" s="138"/>
      <c r="I23" s="138"/>
    </row>
    <row r="24" spans="1:35" ht="14.4">
      <c r="A24" s="3165" t="s">
        <v>2150</v>
      </c>
      <c r="B24" s="2433" t="s">
        <v>2142</v>
      </c>
      <c r="C24" s="145">
        <f>IF(B30=0,0,D30)</f>
        <v>0</v>
      </c>
      <c r="D24" s="2440"/>
      <c r="E24" s="138"/>
      <c r="F24" s="138"/>
      <c r="G24" s="138"/>
      <c r="H24" s="138"/>
      <c r="I24" s="138"/>
    </row>
    <row r="25" spans="1:35" ht="14.4">
      <c r="A25" s="3166"/>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2155</v>
      </c>
      <c r="B30" s="151"/>
      <c r="C30" s="151"/>
      <c r="D30" s="151"/>
      <c r="E30" s="2914" t="s">
        <v>3027</v>
      </c>
      <c r="F30" s="138"/>
      <c r="G30" s="138"/>
      <c r="H30" s="138"/>
      <c r="I30" s="138"/>
    </row>
    <row r="31" spans="1:35" s="2444" customFormat="1" ht="14.4"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2156</v>
      </c>
      <c r="B32" s="2446"/>
      <c r="C32" s="153">
        <f ca="1">IF(D32="总价",G19-C24,G20-C25)</f>
        <v>208676</v>
      </c>
      <c r="D32" s="2447" t="s">
        <v>2157</v>
      </c>
      <c r="E32" s="138"/>
      <c r="F32" s="138"/>
      <c r="G32" s="138"/>
      <c r="H32" s="138"/>
      <c r="I32" s="138"/>
    </row>
    <row r="33" spans="1:15" ht="14.4">
      <c r="A33" s="957" t="s">
        <v>2158</v>
      </c>
      <c r="B33" s="2448"/>
      <c r="C33" s="2449" t="s">
        <v>3657</v>
      </c>
      <c r="D33" s="2450" t="s">
        <v>3170</v>
      </c>
      <c r="E33" s="2451" t="s">
        <v>2159</v>
      </c>
      <c r="F33" s="2452" t="str">
        <f>IF(D32="楼面单价","取值（单价）","取值（总价）")</f>
        <v>取值（总价）</v>
      </c>
      <c r="G33" s="138"/>
      <c r="H33" s="138"/>
      <c r="I33" s="138"/>
    </row>
    <row r="34" spans="1:15" ht="14.4">
      <c r="A34" s="2453"/>
      <c r="B34" s="2454" t="s">
        <v>2160</v>
      </c>
      <c r="C34" s="157">
        <f ca="1">IF(C33="自定义",F34,C32-C35)</f>
        <v>196155</v>
      </c>
      <c r="D34" s="1055">
        <f ca="1">IF(C33="自定义",ROUND(C34/C32,3),IF(C33="收益比率",SUMIF(INDIRECT("'"&amp;D33&amp;"'"&amp;"!b:b"),"土地收益比率",INDIRECT("'"&amp;D33&amp;"'"&amp;"!c:c")),SUMIF(INDIRECT("'"&amp;D33&amp;"'"&amp;"!b:b"),"土地成本比率",INDIRECT("'"&amp;D33&amp;"'"&amp;"!c:c"))))</f>
        <v>0.94</v>
      </c>
      <c r="E34" s="2455" t="s">
        <v>2161</v>
      </c>
      <c r="F34" s="1735"/>
      <c r="G34" s="138"/>
      <c r="H34" s="138"/>
      <c r="I34" s="138"/>
    </row>
    <row r="35" spans="1:15" ht="15" thickBot="1">
      <c r="A35" s="2456"/>
      <c r="B35" s="2457" t="s">
        <v>2162</v>
      </c>
      <c r="C35" s="1441">
        <f ca="1">IF(C33="自定义",F35,ROUND(C32*D35,0))</f>
        <v>12521</v>
      </c>
      <c r="D35" s="1442">
        <f ca="1">IF(C33="自定义",ROUND(C35/C32,3),IF(C33="收益比率",SUMIF(INDIRECT("'"&amp;D33&amp;"'"&amp;"!b:b"),"建筑物收益比率",INDIRECT("'"&amp;D33&amp;"'"&amp;"!c:c")),SUMIF(INDIRECT("'"&amp;D33&amp;"'"&amp;"!b:b"),"建筑物成本比率",INDIRECT("'"&amp;D33&amp;"'"&amp;"!c:c"))))</f>
        <v>0.06</v>
      </c>
      <c r="E35" s="2458" t="s">
        <v>2163</v>
      </c>
      <c r="F35" s="163"/>
      <c r="G35" s="138"/>
      <c r="H35" s="138"/>
      <c r="I35" s="138"/>
    </row>
    <row r="36" spans="1:15" ht="15" thickBot="1">
      <c r="A36" s="3145" t="s">
        <v>2164</v>
      </c>
      <c r="B36" s="2459" t="s">
        <v>2165</v>
      </c>
      <c r="C36" s="154"/>
      <c r="D36" s="2460"/>
      <c r="E36" s="2461"/>
      <c r="F36" s="2462"/>
      <c r="G36" s="138"/>
      <c r="H36" s="138"/>
      <c r="I36" s="138"/>
    </row>
    <row r="37" spans="1:15" ht="15" thickBot="1">
      <c r="A37" s="3146"/>
      <c r="B37" s="2265" t="s">
        <v>2166</v>
      </c>
      <c r="C37" s="156"/>
      <c r="D37" s="1392"/>
      <c r="E37" s="1392"/>
      <c r="F37" s="2462"/>
      <c r="G37" s="138"/>
      <c r="H37" s="138"/>
      <c r="I37" s="138"/>
    </row>
    <row r="38" spans="1:15" ht="15" thickBot="1">
      <c r="A38" s="3147"/>
      <c r="B38" s="2463" t="s">
        <v>2167</v>
      </c>
      <c r="C38" s="727"/>
      <c r="D38" s="2464" t="s">
        <v>2168</v>
      </c>
      <c r="E38" s="1392"/>
      <c r="F38" s="2462"/>
      <c r="G38" s="138"/>
      <c r="H38" s="138"/>
      <c r="I38" s="138"/>
    </row>
    <row r="39" spans="1:15" ht="14.4">
      <c r="A39" s="2435" t="s">
        <v>2169</v>
      </c>
      <c r="B39" s="2465" t="s">
        <v>2170</v>
      </c>
      <c r="C39" s="2466" t="s">
        <v>2171</v>
      </c>
      <c r="D39" s="2466" t="s">
        <v>2172</v>
      </c>
      <c r="E39" s="2467" t="s">
        <v>2173</v>
      </c>
      <c r="F39" s="2462"/>
      <c r="G39" s="138"/>
      <c r="H39" s="138"/>
      <c r="I39" s="138"/>
    </row>
    <row r="40" spans="1:15" ht="13.8">
      <c r="A40" s="2468" t="s">
        <v>2174</v>
      </c>
      <c r="B40" s="158"/>
      <c r="C40" s="159"/>
      <c r="D40" s="159"/>
      <c r="E40" s="160"/>
      <c r="F40" s="2462"/>
      <c r="G40" s="138"/>
      <c r="H40" s="138"/>
      <c r="I40" s="138"/>
    </row>
    <row r="41" spans="1:15" ht="13.8">
      <c r="A41" s="2468" t="s">
        <v>2175</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3"/>
      <c r="B43" s="2163"/>
      <c r="C43" s="2163"/>
      <c r="D43" s="2163"/>
      <c r="E43" s="2163"/>
      <c r="F43" s="2470"/>
      <c r="G43" s="2470"/>
      <c r="H43" s="2470"/>
      <c r="I43" s="2471"/>
    </row>
    <row r="44" spans="1:15" ht="17.399999999999999">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162" t="s">
        <v>2178</v>
      </c>
      <c r="B45" s="3163"/>
      <c r="C45" s="3164"/>
      <c r="D45" s="164">
        <f ca="1">ROUND(H101*F45,0)</f>
        <v>208676</v>
      </c>
      <c r="E45" s="165" t="s">
        <v>2179</v>
      </c>
      <c r="F45" s="166">
        <v>1</v>
      </c>
      <c r="G45" s="167" t="s">
        <v>2180</v>
      </c>
      <c r="H45" s="138"/>
      <c r="I45" s="138"/>
      <c r="J45" s="3081" t="s">
        <v>2181</v>
      </c>
      <c r="K45" s="3081"/>
      <c r="L45" s="3081"/>
      <c r="M45" s="3081"/>
      <c r="N45" s="3081"/>
      <c r="O45" s="3081"/>
    </row>
    <row r="46" spans="1:15" ht="14.25" customHeight="1">
      <c r="A46" s="3159" t="s">
        <v>2182</v>
      </c>
      <c r="B46" s="3160"/>
      <c r="C46" s="3160"/>
      <c r="D46" s="3160"/>
      <c r="E46" s="3160"/>
      <c r="F46" s="3160"/>
      <c r="G46" s="3161"/>
      <c r="H46" s="2478"/>
      <c r="I46" s="168"/>
      <c r="J46" s="1808">
        <v>1</v>
      </c>
      <c r="K46" s="3081" t="s">
        <v>2183</v>
      </c>
      <c r="L46" s="3081"/>
      <c r="M46" s="3082"/>
      <c r="N46" s="3082"/>
      <c r="O46" s="3082"/>
    </row>
    <row r="47" spans="1:15" ht="12" customHeight="1">
      <c r="A47" s="169" t="s">
        <v>2184</v>
      </c>
      <c r="B47" s="170"/>
      <c r="C47" s="171"/>
      <c r="D47" s="172" t="s">
        <v>2185</v>
      </c>
      <c r="E47" s="24" t="s">
        <v>2186</v>
      </c>
      <c r="F47" s="173" t="s">
        <v>2187</v>
      </c>
      <c r="G47" s="174" t="s">
        <v>2188</v>
      </c>
      <c r="H47" s="2478"/>
      <c r="I47" s="168"/>
      <c r="J47" s="1808">
        <v>2</v>
      </c>
      <c r="K47" s="3081" t="s">
        <v>2189</v>
      </c>
      <c r="L47" s="3081"/>
      <c r="M47" s="3083">
        <f>'数据-取费表'!B2</f>
        <v>43712</v>
      </c>
      <c r="N47" s="3083"/>
      <c r="O47" s="3083"/>
    </row>
    <row r="48" spans="1:15" ht="26.4">
      <c r="A48" s="3149" t="s">
        <v>2190</v>
      </c>
      <c r="B48" s="3150"/>
      <c r="C48" s="3150"/>
      <c r="D48" s="140">
        <f ca="1">IF(H48="情况1",0,IF(H48="情况2",D52,IF(H48="情况3",D53,IF(H48="情况4",D54))))</f>
        <v>11129</v>
      </c>
      <c r="E48" s="1797" t="str">
        <f>IF(H48="情况4","(销售额-原购置价)×税（费）率","销售额×税（费）率")</f>
        <v>销售额×税（费）率</v>
      </c>
      <c r="F48" s="175">
        <f>IF(H48="情况1","免征",'数据-取费表'!B41)</f>
        <v>5.6000000000000001E-2</v>
      </c>
      <c r="G48" s="2479" t="s">
        <v>2191</v>
      </c>
      <c r="H48" s="2480" t="s">
        <v>3658</v>
      </c>
      <c r="I48" s="2478"/>
      <c r="J48" s="1808">
        <v>3</v>
      </c>
      <c r="K48" s="3081" t="s">
        <v>2192</v>
      </c>
      <c r="L48" s="3081"/>
      <c r="M48" s="3084">
        <f ca="1">H101</f>
        <v>208676</v>
      </c>
      <c r="N48" s="3084"/>
      <c r="O48" s="3084"/>
    </row>
    <row r="49" spans="1:35" ht="25.5" customHeight="1">
      <c r="A49" s="176" t="s">
        <v>2193</v>
      </c>
      <c r="B49" s="3129" t="s">
        <v>2194</v>
      </c>
      <c r="C49" s="3129"/>
      <c r="D49" s="177">
        <v>0</v>
      </c>
      <c r="E49" s="23" t="s">
        <v>2195</v>
      </c>
      <c r="F49" s="28" t="s">
        <v>34</v>
      </c>
      <c r="G49" s="3110"/>
      <c r="H49" s="138"/>
      <c r="I49" s="2481"/>
      <c r="J49" s="1808">
        <v>4</v>
      </c>
      <c r="K49" s="3081" t="str">
        <f>IF(项目基本情况!E8="房地产抵押价值","房地产抵押价值","抵押担保权已注销时的房地产抵押价值")</f>
        <v>房地产抵押价值</v>
      </c>
      <c r="L49" s="3081"/>
      <c r="M49" s="3084">
        <f ca="1">IF(项目基本情况!E8="房地产抵押价值",H107,H109)</f>
        <v>208676</v>
      </c>
      <c r="N49" s="3084"/>
      <c r="O49" s="3084"/>
    </row>
    <row r="50" spans="1:35" ht="25.5" customHeight="1">
      <c r="A50" s="178"/>
      <c r="B50" s="3129" t="s">
        <v>2196</v>
      </c>
      <c r="C50" s="3129"/>
      <c r="D50" s="179"/>
      <c r="E50" s="31"/>
      <c r="F50" s="180"/>
      <c r="G50" s="3111"/>
      <c r="H50" s="138"/>
      <c r="I50" s="2481"/>
      <c r="J50" s="3081" t="s">
        <v>2197</v>
      </c>
      <c r="K50" s="3081"/>
      <c r="L50" s="3081"/>
      <c r="M50" s="3081"/>
      <c r="N50" s="3081"/>
      <c r="O50" s="3081"/>
    </row>
    <row r="51" spans="1:35" ht="12" customHeight="1">
      <c r="A51" s="181"/>
      <c r="B51" s="3129" t="s">
        <v>2198</v>
      </c>
      <c r="C51" s="3129"/>
      <c r="D51" s="182"/>
      <c r="E51" s="30"/>
      <c r="F51" s="180"/>
      <c r="G51" s="3112"/>
      <c r="H51" s="138"/>
      <c r="I51" s="2481"/>
      <c r="J51" s="2482" t="s">
        <v>2199</v>
      </c>
      <c r="K51" s="3081" t="s">
        <v>2200</v>
      </c>
      <c r="L51" s="3081"/>
      <c r="M51" s="2482" t="s">
        <v>2201</v>
      </c>
      <c r="N51" s="2482" t="s">
        <v>2202</v>
      </c>
      <c r="O51" s="2482" t="s">
        <v>2203</v>
      </c>
    </row>
    <row r="52" spans="1:35" ht="24" customHeight="1">
      <c r="A52" s="183" t="s">
        <v>2204</v>
      </c>
      <c r="B52" s="3129" t="s">
        <v>2205</v>
      </c>
      <c r="C52" s="3129"/>
      <c r="D52" s="182">
        <f ca="1">ROUND(D45*'数据-取费表'!B41/(1+'数据-取费表'!C42),0)</f>
        <v>11129</v>
      </c>
      <c r="E52" s="11" t="s">
        <v>2206</v>
      </c>
      <c r="F52" s="184">
        <f>'数据-取费表'!B41</f>
        <v>5.6000000000000001E-2</v>
      </c>
      <c r="G52" s="2483"/>
      <c r="H52" s="138"/>
      <c r="I52" s="2481"/>
      <c r="J52" s="1808">
        <v>1</v>
      </c>
      <c r="K52" s="3104" t="s">
        <v>2207</v>
      </c>
      <c r="L52" s="3104"/>
      <c r="M52" s="1750">
        <f ca="1">D48</f>
        <v>11129</v>
      </c>
      <c r="N52" s="1808" t="str">
        <f>E48</f>
        <v>销售额×税（费）率</v>
      </c>
      <c r="O52" s="1751">
        <f>F48</f>
        <v>5.6000000000000001E-2</v>
      </c>
    </row>
    <row r="53" spans="1:35" ht="12" customHeight="1">
      <c r="A53" s="183" t="s">
        <v>2208</v>
      </c>
      <c r="B53" s="3130" t="s">
        <v>2209</v>
      </c>
      <c r="C53" s="3131"/>
      <c r="D53" s="182">
        <f ca="1">ROUND(D45*'数据-取费表'!B41/(1+'数据-取费表'!C42),0)</f>
        <v>11129</v>
      </c>
      <c r="E53" s="11" t="s">
        <v>2206</v>
      </c>
      <c r="F53" s="184">
        <f>'数据-取费表'!B41</f>
        <v>5.6000000000000001E-2</v>
      </c>
      <c r="G53" s="2483"/>
      <c r="H53" s="138"/>
      <c r="I53" s="2481"/>
      <c r="J53" s="1808">
        <v>2</v>
      </c>
      <c r="K53" s="3104" t="s">
        <v>2210</v>
      </c>
      <c r="L53" s="3104"/>
      <c r="M53" s="1750">
        <f t="shared" ref="M53:O54" ca="1" si="0">D55</f>
        <v>104</v>
      </c>
      <c r="N53" s="1808" t="str">
        <f t="shared" si="0"/>
        <v>销售额×税（费）率</v>
      </c>
      <c r="O53" s="1751">
        <f t="shared" si="0"/>
        <v>5.0000000000000001E-4</v>
      </c>
    </row>
    <row r="54" spans="1:35" ht="12" customHeight="1">
      <c r="A54" s="183" t="s">
        <v>2211</v>
      </c>
      <c r="B54" s="3130" t="s">
        <v>2212</v>
      </c>
      <c r="C54" s="3131"/>
      <c r="D54" s="182">
        <f ca="1">C68</f>
        <v>11129</v>
      </c>
      <c r="E54" s="30" t="s">
        <v>2213</v>
      </c>
      <c r="F54" s="184">
        <f>'数据-取费表'!B41</f>
        <v>5.6000000000000001E-2</v>
      </c>
      <c r="G54" s="2483"/>
      <c r="H54" s="2484"/>
      <c r="I54" s="2481"/>
      <c r="J54" s="1808">
        <v>3</v>
      </c>
      <c r="K54" s="3104" t="s">
        <v>2214</v>
      </c>
      <c r="L54" s="3104"/>
      <c r="M54" s="1750">
        <f t="shared" ca="1" si="0"/>
        <v>90470</v>
      </c>
      <c r="N54" s="1808" t="str">
        <f t="shared" si="0"/>
        <v>增值额×税（费）率</v>
      </c>
      <c r="O54" s="1752" t="str">
        <f t="shared" si="0"/>
        <v>——</v>
      </c>
    </row>
    <row r="55" spans="1:35" ht="24" customHeight="1">
      <c r="A55" s="3168" t="s">
        <v>2215</v>
      </c>
      <c r="B55" s="3150"/>
      <c r="C55" s="3150"/>
      <c r="D55" s="185">
        <f ca="1">IF(H55="个人住宅",0,ROUND(D45*I55,0))</f>
        <v>104</v>
      </c>
      <c r="E55" s="11" t="s">
        <v>2216</v>
      </c>
      <c r="F55" s="184">
        <f>IF(H55="正常",I55,"免征")</f>
        <v>5.0000000000000001E-4</v>
      </c>
      <c r="G55" s="2483"/>
      <c r="H55" s="2480" t="s">
        <v>2217</v>
      </c>
      <c r="I55" s="186">
        <f>'数据-取费表'!B49</f>
        <v>5.0000000000000001E-4</v>
      </c>
      <c r="J55" s="1808" t="str">
        <f>IF(H59="非个人房产","",4)</f>
        <v/>
      </c>
      <c r="K55" s="3104" t="str">
        <f>IF(H59="非个人房产","——","个人所得税")</f>
        <v>——</v>
      </c>
      <c r="L55" s="3104"/>
      <c r="M55" s="1753" t="str">
        <f>D59</f>
        <v>——</v>
      </c>
      <c r="N55" s="1806" t="str">
        <f>E59</f>
        <v>——</v>
      </c>
      <c r="O55" s="1754" t="str">
        <f>F59</f>
        <v>——</v>
      </c>
    </row>
    <row r="56" spans="1:35" ht="25.2">
      <c r="A56" s="3168" t="s">
        <v>2218</v>
      </c>
      <c r="B56" s="3150"/>
      <c r="C56" s="3150"/>
      <c r="D56" s="185">
        <f ca="1">IF(H56="个人住宅",D57,D58)</f>
        <v>90470</v>
      </c>
      <c r="E56" s="11" t="s">
        <v>2219</v>
      </c>
      <c r="F56" s="184" t="str">
        <f>IF(H56="正常",F58,"免征")</f>
        <v>——</v>
      </c>
      <c r="G56" s="2485" t="s">
        <v>2220</v>
      </c>
      <c r="H56" s="2486" t="s">
        <v>2217</v>
      </c>
      <c r="I56" s="2487"/>
      <c r="J56" s="1808"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3.2">
      <c r="A57" s="183" t="s">
        <v>2193</v>
      </c>
      <c r="B57" s="3135" t="s">
        <v>2221</v>
      </c>
      <c r="C57" s="3136"/>
      <c r="D57" s="187">
        <v>0</v>
      </c>
      <c r="E57" s="23" t="s">
        <v>2195</v>
      </c>
      <c r="F57" s="155"/>
      <c r="G57" s="2483"/>
      <c r="H57" s="2487"/>
      <c r="I57" s="2487"/>
      <c r="J57" s="3104">
        <f>IF(AND(J55="",J56=""),4,IF(项目基本情况!K6="上海银行",结果表!J56+1,结果表!J55+1))</f>
        <v>4</v>
      </c>
      <c r="K57" s="3104" t="s">
        <v>2222</v>
      </c>
      <c r="L57" s="2488" t="s">
        <v>2223</v>
      </c>
      <c r="M57" s="1755"/>
      <c r="N57" s="1756">
        <f ca="1">SUMIF(M52:M56,"&lt;9e307")</f>
        <v>101703</v>
      </c>
      <c r="O57" s="2489"/>
      <c r="P57" s="1749">
        <f ca="1">N57/M49</f>
        <v>0.48737276926910617</v>
      </c>
    </row>
    <row r="58" spans="1:35" ht="25.2">
      <c r="A58" s="183" t="s">
        <v>2204</v>
      </c>
      <c r="B58" s="3135" t="s">
        <v>2224</v>
      </c>
      <c r="C58" s="3148"/>
      <c r="D58" s="185">
        <f ca="1">IF(H58="转让取得",C81,C97)</f>
        <v>90470</v>
      </c>
      <c r="E58" s="11" t="s">
        <v>2219</v>
      </c>
      <c r="F58" s="24" t="s">
        <v>34</v>
      </c>
      <c r="G58" s="2483"/>
      <c r="H58" s="2486" t="s">
        <v>2225</v>
      </c>
      <c r="I58" s="2487"/>
      <c r="J58" s="3104"/>
      <c r="K58" s="3104"/>
      <c r="L58" s="2488" t="s">
        <v>2226</v>
      </c>
      <c r="M58" s="1757"/>
      <c r="N58" s="2490" t="str">
        <f ca="1">NUMBERSTRING(INT(N57*10000),2)&amp;"元整"</f>
        <v>壹拾亿壹仟柒佰零叁万元整</v>
      </c>
      <c r="O58" s="2491"/>
    </row>
    <row r="59" spans="1:35" ht="24.6" thickBot="1">
      <c r="A59" s="3108" t="s">
        <v>2227</v>
      </c>
      <c r="B59" s="3109"/>
      <c r="C59" s="3109"/>
      <c r="D59" s="188" t="str">
        <f>IF(H59="非个人房产","——",IF(H59="个人住宅",0,ROUND(D45*I59,0)))</f>
        <v>——</v>
      </c>
      <c r="E59" s="189" t="str">
        <f>IF(H59="非个人房产","——","销售额×税（费）率")</f>
        <v>——</v>
      </c>
      <c r="F59" s="190" t="str">
        <f>IF(H59="非个人房产","——",IF(H59="个人住宅","免征",I59))</f>
        <v>——</v>
      </c>
      <c r="G59" s="2492" t="s">
        <v>2220</v>
      </c>
      <c r="H59" s="2486" t="s">
        <v>2228</v>
      </c>
      <c r="I59" s="191">
        <v>0.01</v>
      </c>
      <c r="J59" s="3106">
        <f>J57+1</f>
        <v>5</v>
      </c>
      <c r="K59" s="3104" t="s">
        <v>2229</v>
      </c>
      <c r="L59" s="1808" t="s">
        <v>2223</v>
      </c>
      <c r="M59" s="1758"/>
      <c r="N59" s="1759">
        <f ca="1">M49-N57</f>
        <v>106973</v>
      </c>
      <c r="O59" s="2493"/>
    </row>
    <row r="60" spans="1:35" ht="12" customHeight="1">
      <c r="A60" s="2494"/>
      <c r="B60" s="2416"/>
      <c r="C60" s="2416"/>
      <c r="D60" s="2416"/>
      <c r="E60" s="2164"/>
      <c r="F60" s="2487"/>
      <c r="G60" s="2487"/>
      <c r="H60" s="2495"/>
      <c r="I60" s="138"/>
      <c r="J60" s="3107"/>
      <c r="K60" s="3104"/>
      <c r="L60" s="2488" t="s">
        <v>2226</v>
      </c>
      <c r="M60" s="1757"/>
      <c r="N60" s="2490" t="str">
        <f ca="1">NUMBERSTRING(INT(N59*10000),2)&amp;"元整"</f>
        <v>壹拾亿陆仟玖佰柒拾叁万元整</v>
      </c>
      <c r="O60" s="2491"/>
    </row>
    <row r="61" spans="1:35" ht="13.8" thickBot="1">
      <c r="A61" s="3167" t="s">
        <v>2230</v>
      </c>
      <c r="B61" s="3167"/>
      <c r="C61" s="3167"/>
      <c r="D61" s="3167"/>
      <c r="E61" s="3167"/>
      <c r="F61" s="2487"/>
      <c r="G61" s="2487"/>
      <c r="H61" s="2495"/>
      <c r="I61" s="138"/>
      <c r="J61" s="1808">
        <f>J59+1</f>
        <v>6</v>
      </c>
      <c r="K61" s="3104" t="s">
        <v>2231</v>
      </c>
      <c r="L61" s="3104"/>
      <c r="M61" s="1760"/>
      <c r="N61" s="1761">
        <f ca="1">ROUND(N59*10000/'数据-汇总表'!E3,0)</f>
        <v>25673</v>
      </c>
      <c r="O61" s="2496"/>
    </row>
    <row r="62" spans="1:35" ht="13.2">
      <c r="A62" s="3124" t="s">
        <v>2232</v>
      </c>
      <c r="B62" s="3125"/>
      <c r="C62" s="1800"/>
      <c r="D62" s="1800" t="s">
        <v>2233</v>
      </c>
      <c r="E62" s="192" t="s">
        <v>2234</v>
      </c>
      <c r="F62" s="2487"/>
      <c r="G62" s="2487"/>
      <c r="H62" s="2495"/>
      <c r="I62" s="138"/>
    </row>
    <row r="63" spans="1:35" ht="13.2">
      <c r="A63" s="203" t="s">
        <v>775</v>
      </c>
      <c r="B63" s="193" t="s">
        <v>2235</v>
      </c>
      <c r="C63" s="194">
        <f ca="1">ROUND((C64+C65)/(1+'数据-取费表'!C42),0)</f>
        <v>198739</v>
      </c>
      <c r="D63" s="195"/>
      <c r="E63" s="196"/>
      <c r="F63" s="2487"/>
      <c r="G63" s="2487"/>
      <c r="H63" s="2495"/>
      <c r="I63" s="138"/>
      <c r="J63" s="3089" t="s">
        <v>2236</v>
      </c>
      <c r="K63" s="2497" t="s">
        <v>2237</v>
      </c>
      <c r="L63" s="1748">
        <f ca="1">IF(M49&gt;10000,M49*0.5%,IF(AND(M49&gt;1000,M49&lt;=10000),M49*1%,IF(AND(M49&gt;100,M49&lt;=1000),M49*3%,IF(AND(M49&gt;10,M49&lt;=100),M49*5%,M49*8%))))</f>
        <v>1043.3800000000001</v>
      </c>
      <c r="M63" s="24">
        <f ca="1">ROUND(L63,1)</f>
        <v>1043.4000000000001</v>
      </c>
      <c r="Z63" s="2421"/>
      <c r="AI63" s="2422"/>
    </row>
    <row r="64" spans="1:35" ht="14.25" customHeight="1">
      <c r="A64" s="197" t="s">
        <v>770</v>
      </c>
      <c r="B64" s="198" t="s">
        <v>2238</v>
      </c>
      <c r="C64" s="199">
        <f ca="1">D45</f>
        <v>208676</v>
      </c>
      <c r="D64" s="200" t="s">
        <v>32</v>
      </c>
      <c r="E64" s="201"/>
      <c r="F64" s="2487"/>
      <c r="G64" s="2487"/>
      <c r="H64" s="2495"/>
      <c r="I64" s="138"/>
      <c r="J64" s="3089"/>
      <c r="K64" s="2497" t="s">
        <v>2239</v>
      </c>
      <c r="L64" s="1748">
        <f ca="1">IF(M49&gt;2000,M49*0.5%,IF(AND(M49&gt;1000,M49&lt;=2000),M49*0.6%,IF(AND(M49&gt;500,M49&lt;=1000),M49*0.7%,IF(AND(M49&gt;200,M49&lt;=500),M49*0.8%,IF(AND(M49&gt;100,M49&lt;=200),M49*0.9%,IF(AND(M49&gt;50,M49&lt;=100),M49*1%,IF(AND(M49&gt;20,M49&lt;=50),M49*1.5%,IF(AND(M49&gt;10,M49&lt;=20),M49*2%,IF(AND(M49&gt;1,M49&lt;=10),M49*2.5%)))))))))</f>
        <v>1043.3800000000001</v>
      </c>
      <c r="M64" s="24">
        <f t="shared" ref="M64:M65" ca="1" si="1">ROUND(L64,1)</f>
        <v>1043.4000000000001</v>
      </c>
      <c r="N64" s="138" t="s">
        <v>2240</v>
      </c>
      <c r="Z64" s="2421"/>
      <c r="AI64" s="2422"/>
    </row>
    <row r="65" spans="1:35" ht="14.25" customHeight="1">
      <c r="A65" s="197" t="s">
        <v>771</v>
      </c>
      <c r="B65" s="198" t="s">
        <v>2241</v>
      </c>
      <c r="C65" s="202"/>
      <c r="D65" s="200"/>
      <c r="E65" s="201"/>
      <c r="F65" s="2487"/>
      <c r="G65" s="2487"/>
      <c r="H65" s="2495"/>
      <c r="I65" s="138"/>
      <c r="J65" s="3089"/>
      <c r="K65" s="2497" t="s">
        <v>2242</v>
      </c>
      <c r="L65" s="1748">
        <f ca="1">IF(M49&gt;1000,M49*0.1%,IF(AND(M49&gt;500,M49&lt;=1000),M49*0.5%,IF(AND(M49&gt;50,M49&lt;=500),M49*1%,IF(AND(M49&gt;1,M49&lt;=50),M49*1.5%))))</f>
        <v>208.67600000000002</v>
      </c>
      <c r="M65" s="24">
        <f t="shared" ca="1" si="1"/>
        <v>208.7</v>
      </c>
      <c r="N65" s="138" t="s">
        <v>2240</v>
      </c>
      <c r="Z65" s="2421"/>
      <c r="AI65" s="2422"/>
    </row>
    <row r="66" spans="1:35" ht="14.25" customHeight="1">
      <c r="A66" s="203" t="s">
        <v>772</v>
      </c>
      <c r="B66" s="204" t="s">
        <v>2243</v>
      </c>
      <c r="C66" s="205"/>
      <c r="D66" s="206" t="s">
        <v>32</v>
      </c>
      <c r="E66" s="1772" t="s">
        <v>1367</v>
      </c>
      <c r="F66" s="2487"/>
      <c r="G66" s="2487"/>
      <c r="H66" s="2495"/>
      <c r="I66" s="138"/>
      <c r="J66" s="3089"/>
      <c r="K66" s="2497" t="s">
        <v>2244</v>
      </c>
      <c r="L66" s="1748">
        <f ca="1">M49*0.5%</f>
        <v>1043.3800000000001</v>
      </c>
      <c r="M66" s="24">
        <f ca="1">IF(L66&gt;0.5,0.5,ROUND(L66,0))</f>
        <v>0.5</v>
      </c>
      <c r="N66" s="138" t="s">
        <v>2245</v>
      </c>
      <c r="Z66" s="2421"/>
      <c r="AI66" s="2422"/>
    </row>
    <row r="67" spans="1:35" ht="14.25" customHeight="1">
      <c r="A67" s="203" t="s">
        <v>773</v>
      </c>
      <c r="B67" s="204" t="s">
        <v>2246</v>
      </c>
      <c r="C67" s="207">
        <f ca="1">C63-C66</f>
        <v>198739</v>
      </c>
      <c r="D67" s="200" t="s">
        <v>32</v>
      </c>
      <c r="E67" s="201"/>
      <c r="F67" s="2487"/>
      <c r="G67" s="2487"/>
      <c r="H67" s="2495"/>
      <c r="I67" s="138"/>
      <c r="J67" s="3089"/>
      <c r="K67" s="2497" t="s">
        <v>2247</v>
      </c>
      <c r="L67" s="1748">
        <f ca="1">IF(M49&gt;=10000,(8.25+(M49-10000)*0.01%),IF(AND(M49&gt;=8000,M49&lt;10000),(7.85+(M49-8000)*0.02%),IF(AND(M49&gt;=5000,M49&lt;8000),(6.65+(M49-5000)*0.04%),IF(AND(M49&gt;=2000,M49&lt;5000),(4.25+(PM49-2000)*0.08%),IF(AND(M49&gt;=1000,M49&lt;2000),(2.75+(M49-1000)*0.15%),IF(AND(M49&gt;=100,M49&lt;1000),(0.5+(M49-100)*0.25%),IF(AND(M49&gt;0,M49&lt;100),M49*0.5%)))))))</f>
        <v>28.117599999999999</v>
      </c>
      <c r="M67" s="24">
        <f ca="1">ROUND(L67*0.9,1)</f>
        <v>25.3</v>
      </c>
      <c r="Z67" s="2421"/>
      <c r="AI67" s="2422"/>
    </row>
    <row r="68" spans="1:35" ht="14.25" customHeight="1" thickBot="1">
      <c r="A68" s="208" t="s">
        <v>774</v>
      </c>
      <c r="B68" s="209" t="s">
        <v>2248</v>
      </c>
      <c r="C68" s="210">
        <f ca="1">IF(C67&lt;=0,0,ROUND(C67*D68,0))</f>
        <v>11129</v>
      </c>
      <c r="D68" s="211">
        <f>'数据-取费表'!B41</f>
        <v>5.6000000000000001E-2</v>
      </c>
      <c r="E68" s="212"/>
      <c r="F68" s="2487"/>
      <c r="G68" s="2487"/>
      <c r="H68" s="2495"/>
      <c r="I68" s="138"/>
      <c r="J68" s="3089"/>
      <c r="K68" s="2497" t="s">
        <v>2249</v>
      </c>
      <c r="L68" s="1748">
        <f ca="1">IF(M49&gt;10000,M49*0.5%,IF(AND(M49&gt;5000,M49&lt;=10000),M49*1%,IF(AND(M49&gt;1000,M49&lt;=5000),M49*2%,IF(AND(M49&gt;200,M49&lt;=1000),M49*3%,M49*5%))))</f>
        <v>1043.3800000000001</v>
      </c>
      <c r="M68" s="24">
        <f ca="1">ROUND(L68,1)</f>
        <v>1043.4000000000001</v>
      </c>
      <c r="Z68" s="2421"/>
      <c r="AI68" s="2422"/>
    </row>
    <row r="69" spans="1:35" s="2444" customFormat="1" ht="16.5" customHeight="1">
      <c r="A69" s="2498"/>
      <c r="B69" s="2499"/>
      <c r="C69" s="2500"/>
      <c r="D69" s="2501"/>
      <c r="E69" s="2502"/>
      <c r="F69" s="2164"/>
      <c r="G69" s="2164"/>
      <c r="H69" s="2163"/>
      <c r="I69" s="2416"/>
      <c r="J69" s="3089"/>
      <c r="K69" s="2497" t="s">
        <v>2250</v>
      </c>
      <c r="L69" s="2503"/>
      <c r="M69" s="24">
        <f ca="1">ROUND(SUM(M63:M68),0)</f>
        <v>3365</v>
      </c>
      <c r="N69" s="1749">
        <f ca="1">M69/M49</f>
        <v>1.612547681573348E-2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4" thickBot="1">
      <c r="A70" s="3133" t="s">
        <v>2251</v>
      </c>
      <c r="B70" s="3134"/>
      <c r="C70" s="3134"/>
      <c r="D70" s="3134"/>
      <c r="E70" s="3134"/>
      <c r="F70" s="3134"/>
      <c r="G70" s="3134"/>
      <c r="H70" s="313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124" t="s">
        <v>2232</v>
      </c>
      <c r="B71" s="3125"/>
      <c r="C71" s="1800"/>
      <c r="D71" s="1800" t="s">
        <v>2233</v>
      </c>
      <c r="E71" s="213" t="s">
        <v>2234</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775</v>
      </c>
      <c r="B72" s="204" t="s">
        <v>2252</v>
      </c>
      <c r="C72" s="207">
        <f ca="1">ROUND(D45/(1+'数据-取费表'!C42),0)</f>
        <v>198739</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772</v>
      </c>
      <c r="B73" s="173" t="s">
        <v>2253</v>
      </c>
      <c r="C73" s="207">
        <f ca="1">C74+C78</f>
        <v>1192</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2254</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776</v>
      </c>
      <c r="B75" s="198" t="s">
        <v>2255</v>
      </c>
      <c r="C75" s="218"/>
      <c r="D75" s="200" t="s">
        <v>32</v>
      </c>
      <c r="E75" s="219" t="s">
        <v>2256</v>
      </c>
      <c r="F75" s="2509" t="s">
        <v>2257</v>
      </c>
      <c r="G75" s="219" t="s">
        <v>2258</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2259</v>
      </c>
      <c r="C76" s="200">
        <f>IF(F75="购房发票",ROUND(C75*H75*D76,0),0)</f>
        <v>0</v>
      </c>
      <c r="D76" s="222">
        <v>0.05</v>
      </c>
      <c r="E76" s="3130" t="s">
        <v>2260</v>
      </c>
      <c r="F76" s="3129"/>
      <c r="G76" s="3129"/>
      <c r="H76" s="313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1" t="s">
        <v>2263</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2264</v>
      </c>
      <c r="C78" s="225">
        <f ca="1">ROUND(D45*D78/(1+'数据-取费表'!C42),0)</f>
        <v>1192</v>
      </c>
      <c r="D78" s="226">
        <f>'数据-取费表'!B43</f>
        <v>6.000000000000001E-3</v>
      </c>
      <c r="E78" s="3121" t="s">
        <v>2265</v>
      </c>
      <c r="F78" s="3122"/>
      <c r="G78" s="3122"/>
      <c r="H78" s="312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779</v>
      </c>
      <c r="B79" s="204" t="s">
        <v>2266</v>
      </c>
      <c r="C79" s="207">
        <f ca="1">C72-C73</f>
        <v>197547</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2267</v>
      </c>
      <c r="C80" s="227">
        <f ca="1">IF(C79&lt;=0,0,C79/C73)</f>
        <v>165.72734899328859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781</v>
      </c>
      <c r="B81" s="209" t="s">
        <v>2268</v>
      </c>
      <c r="C81" s="228">
        <f ca="1">ROUND(IF(C79&lt;=0,0,IF(C80&gt;=200%,C79*60%-C73*35%,IF(C80&gt;=100%,C79*50%-C73*15%,IF(C80&gt;=50%,C79*40%-C73*5%,IF(C80&lt;50%,C79*30%,0))))),0)</f>
        <v>118111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133" t="s">
        <v>2269</v>
      </c>
      <c r="B83" s="3134"/>
      <c r="C83" s="3134"/>
      <c r="D83" s="3134"/>
      <c r="E83" s="3134"/>
      <c r="F83" s="3134"/>
      <c r="G83" s="3134"/>
      <c r="H83" s="313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124" t="s">
        <v>2232</v>
      </c>
      <c r="B84" s="3125"/>
      <c r="C84" s="1800"/>
      <c r="D84" s="1800" t="s">
        <v>2233</v>
      </c>
      <c r="E84" s="213" t="s">
        <v>2234</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4">
      <c r="A85" s="203" t="s">
        <v>775</v>
      </c>
      <c r="B85" s="204" t="s">
        <v>2252</v>
      </c>
      <c r="C85" s="207">
        <f ca="1">ROUND(D45/(1+'数据-取费表'!C42),0)</f>
        <v>198739</v>
      </c>
      <c r="D85" s="200" t="s">
        <v>32</v>
      </c>
      <c r="E85" s="1799"/>
      <c r="F85" s="1793"/>
      <c r="G85" s="1793"/>
      <c r="H85" s="234"/>
      <c r="I85" s="2510"/>
      <c r="J85" s="2506"/>
      <c r="K85" s="2983" t="s">
        <v>3664</v>
      </c>
      <c r="L85" s="2983" t="s">
        <v>3662</v>
      </c>
      <c r="M85" s="2983" t="s">
        <v>3663</v>
      </c>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4">
      <c r="A86" s="203" t="s">
        <v>772</v>
      </c>
      <c r="B86" s="173" t="s">
        <v>2253</v>
      </c>
      <c r="C86" s="207">
        <f ca="1">IF(H88="仅含出让金",C87+C90+C91+C92+C93+C94,C87+C91+C92+C93+C94)</f>
        <v>30287.72</v>
      </c>
      <c r="D86" s="235"/>
      <c r="E86" s="1799"/>
      <c r="F86" s="1793"/>
      <c r="G86" s="1793"/>
      <c r="H86" s="234"/>
      <c r="I86" s="2510"/>
      <c r="J86" s="2983" t="s">
        <v>3660</v>
      </c>
      <c r="K86" s="2506">
        <v>1796.9299000000001</v>
      </c>
      <c r="L86" s="2506">
        <f>'数据-基础表'!B3</f>
        <v>57258.498200000002</v>
      </c>
      <c r="M86" s="2506">
        <f>'数据-汇总表'!E3</f>
        <v>41667.353900000002</v>
      </c>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770</v>
      </c>
      <c r="B87" s="198" t="s">
        <v>2270</v>
      </c>
      <c r="C87" s="225">
        <f>C88+C89</f>
        <v>1347.64</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4">
      <c r="A88" s="217" t="s">
        <v>776</v>
      </c>
      <c r="B88" s="198" t="s">
        <v>2271</v>
      </c>
      <c r="C88" s="236">
        <f>ROUND(M86/L86*K86,2)</f>
        <v>1307.6400000000001</v>
      </c>
      <c r="D88" s="226"/>
      <c r="E88" s="237" t="s">
        <v>2272</v>
      </c>
      <c r="F88" s="1796"/>
      <c r="G88" s="238" t="s">
        <v>2273</v>
      </c>
      <c r="H88" s="2515" t="s">
        <v>3659</v>
      </c>
      <c r="I88" s="2510"/>
      <c r="J88" s="2983" t="s">
        <v>3661</v>
      </c>
      <c r="K88" s="2506">
        <f>(115200000+20000000+800000+60000+150000)/10000</f>
        <v>13621</v>
      </c>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777</v>
      </c>
      <c r="B89" s="198" t="s">
        <v>2261</v>
      </c>
      <c r="C89" s="225">
        <f>ROUND(C88*D89,0)</f>
        <v>40</v>
      </c>
      <c r="D89" s="226">
        <f>'数据-取费表'!B48+'数据-取费表'!B49</f>
        <v>3.0499999999999999E-2</v>
      </c>
      <c r="E89" s="237" t="s">
        <v>2274</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771</v>
      </c>
      <c r="B90" s="198" t="s">
        <v>2275</v>
      </c>
      <c r="C90" s="236">
        <f>ROUND(M86/L86*K88,2)</f>
        <v>9912.08</v>
      </c>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2276</v>
      </c>
      <c r="B91" s="198" t="s">
        <v>2277</v>
      </c>
      <c r="C91" s="225">
        <f ca="1">IF(H91="——",成本法!C33,I91)</f>
        <v>11122</v>
      </c>
      <c r="D91" s="226"/>
      <c r="E91" s="3121" t="s">
        <v>2278</v>
      </c>
      <c r="F91" s="3122"/>
      <c r="G91" s="3122"/>
      <c r="H91" s="2516" t="s">
        <v>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2279</v>
      </c>
      <c r="B92" s="198" t="s">
        <v>2280</v>
      </c>
      <c r="C92" s="225">
        <f ca="1">ROUND((C87+C90+C91)*D92,0)</f>
        <v>2238</v>
      </c>
      <c r="D92" s="226">
        <v>0.1</v>
      </c>
      <c r="E92" s="3121" t="s">
        <v>2281</v>
      </c>
      <c r="F92" s="3122"/>
      <c r="G92" s="3122"/>
      <c r="H92" s="312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2282</v>
      </c>
      <c r="B93" s="198" t="s">
        <v>2264</v>
      </c>
      <c r="C93" s="225">
        <f ca="1">ROUND(D45*D93/(1+'数据-取费表'!C42),0)</f>
        <v>1192</v>
      </c>
      <c r="D93" s="226">
        <f>'数据-取费表'!B43</f>
        <v>6.000000000000001E-3</v>
      </c>
      <c r="E93" s="3121" t="s">
        <v>2265</v>
      </c>
      <c r="F93" s="3122"/>
      <c r="G93" s="3122"/>
      <c r="H93" s="312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2283</v>
      </c>
      <c r="B94" s="198" t="s">
        <v>2284</v>
      </c>
      <c r="C94" s="236">
        <f ca="1">ROUND((C87+C90+C91)*D94,0)</f>
        <v>4476</v>
      </c>
      <c r="D94" s="226">
        <v>0.2</v>
      </c>
      <c r="E94" s="3169" t="s">
        <v>2285</v>
      </c>
      <c r="F94" s="3170"/>
      <c r="G94" s="3170"/>
      <c r="H94" s="317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779</v>
      </c>
      <c r="B95" s="204" t="s">
        <v>2266</v>
      </c>
      <c r="C95" s="207">
        <f ca="1">ROUND(C85-C86,0)</f>
        <v>168451</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2267</v>
      </c>
      <c r="C96" s="227">
        <f ca="1">IF(C95&lt;=0,0,C95/C86)</f>
        <v>5.5616929897661489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781</v>
      </c>
      <c r="B97" s="209" t="s">
        <v>2268</v>
      </c>
      <c r="C97" s="228">
        <f ca="1">ROUND(IF(C95&lt;=0,0,IF(C96&gt;=200%,C95*60%-C86*35%,IF(C96&gt;=100%,C95*50%-C86*15%,IF(C96&gt;=50%,C95*40%-C86*5%,IF(C96&lt;50%,C95*30%,0))))),0)</f>
        <v>90470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2286</v>
      </c>
      <c r="B99" s="2416"/>
      <c r="C99" s="2416"/>
      <c r="D99" s="2416"/>
      <c r="E99" s="2164"/>
      <c r="F99" s="2164"/>
      <c r="G99" s="2164"/>
      <c r="H99" s="2163"/>
      <c r="I99" s="138"/>
    </row>
    <row r="100" spans="1:35" ht="18.75" customHeight="1">
      <c r="A100" s="3073" t="s">
        <v>2287</v>
      </c>
      <c r="B100" s="3074"/>
      <c r="C100" s="3074"/>
      <c r="D100" s="3105"/>
      <c r="E100" s="3074" t="s">
        <v>2288</v>
      </c>
      <c r="F100" s="3074"/>
      <c r="G100" s="3074"/>
      <c r="H100" s="3105"/>
      <c r="I100" s="138"/>
    </row>
    <row r="101" spans="1:35" ht="18.75" customHeight="1">
      <c r="A101" s="3113" t="s">
        <v>2289</v>
      </c>
      <c r="B101" s="3114"/>
      <c r="C101" s="736" t="str">
        <f>C4</f>
        <v>成本法</v>
      </c>
      <c r="D101" s="737" t="str">
        <f>D4</f>
        <v>假设开发法</v>
      </c>
      <c r="E101" s="3085" t="s">
        <v>2290</v>
      </c>
      <c r="F101" s="3086"/>
      <c r="G101" s="2518" t="s">
        <v>2291</v>
      </c>
      <c r="H101" s="1045">
        <f ca="1">H118</f>
        <v>208676</v>
      </c>
      <c r="I101" s="138"/>
    </row>
    <row r="102" spans="1:35" ht="18.75" customHeight="1">
      <c r="A102" s="3115" t="s">
        <v>2292</v>
      </c>
      <c r="B102" s="2518" t="s">
        <v>2291</v>
      </c>
      <c r="C102" s="736">
        <f ca="1">C19</f>
        <v>227757</v>
      </c>
      <c r="D102" s="737">
        <f ca="1">D19</f>
        <v>189594</v>
      </c>
      <c r="E102" s="3085"/>
      <c r="F102" s="3086"/>
      <c r="G102" s="2518" t="s">
        <v>2293</v>
      </c>
      <c r="H102" s="371">
        <f ca="1">I118</f>
        <v>50081</v>
      </c>
      <c r="I102" s="138"/>
    </row>
    <row r="103" spans="1:35" ht="42.75" customHeight="1">
      <c r="A103" s="3115"/>
      <c r="B103" s="2518" t="s">
        <v>2293</v>
      </c>
      <c r="C103" s="738">
        <f ca="1">C20</f>
        <v>54661</v>
      </c>
      <c r="D103" s="739">
        <f ca="1">D20</f>
        <v>45502</v>
      </c>
      <c r="E103" s="3079" t="s">
        <v>2294</v>
      </c>
      <c r="F103" s="3080"/>
      <c r="G103" s="2519" t="s">
        <v>2295</v>
      </c>
      <c r="H103" s="1045">
        <f>IF(D36="正常操作",H104+H105+H106,H105+H106)</f>
        <v>0</v>
      </c>
      <c r="I103" s="138"/>
    </row>
    <row r="104" spans="1:35" ht="18.75" customHeight="1">
      <c r="A104" s="3115" t="s">
        <v>2296</v>
      </c>
      <c r="B104" s="2520" t="s">
        <v>2291</v>
      </c>
      <c r="C104" s="740">
        <f ca="1">H118</f>
        <v>208676</v>
      </c>
      <c r="D104" s="741"/>
      <c r="E104" s="2265" t="s">
        <v>2297</v>
      </c>
      <c r="F104" s="2256"/>
      <c r="G104" s="2519" t="s">
        <v>2295</v>
      </c>
      <c r="H104" s="1046">
        <f>IF(D36="同一抵押权人同一抵押物续贷",C36&amp;"（未扣减，详见特别提示）",C36)</f>
        <v>0</v>
      </c>
      <c r="I104" s="138"/>
    </row>
    <row r="105" spans="1:35" ht="18.75" customHeight="1" thickBot="1">
      <c r="A105" s="3127"/>
      <c r="B105" s="2521" t="s">
        <v>2293</v>
      </c>
      <c r="C105" s="742">
        <f ca="1">I118</f>
        <v>50081</v>
      </c>
      <c r="D105" s="743"/>
      <c r="E105" s="2265" t="s">
        <v>2298</v>
      </c>
      <c r="F105" s="2256"/>
      <c r="G105" s="2519" t="s">
        <v>2295</v>
      </c>
      <c r="H105" s="1046">
        <f>C37</f>
        <v>0</v>
      </c>
      <c r="I105" s="138"/>
    </row>
    <row r="106" spans="1:35" ht="18.75" customHeight="1">
      <c r="A106" s="2416" t="s">
        <v>2299</v>
      </c>
      <c r="B106" s="2416"/>
      <c r="C106" s="2416"/>
      <c r="D106" s="2416"/>
      <c r="E106" s="2522" t="s">
        <v>2300</v>
      </c>
      <c r="F106" s="2256"/>
      <c r="G106" s="2519" t="s">
        <v>2295</v>
      </c>
      <c r="H106" s="1046">
        <f>C38</f>
        <v>0</v>
      </c>
      <c r="I106" s="138"/>
    </row>
    <row r="107" spans="1:35" ht="18.75" customHeight="1">
      <c r="A107" s="138"/>
      <c r="B107" s="138"/>
      <c r="C107" s="138"/>
      <c r="D107" s="138"/>
      <c r="E107" s="3116" t="str">
        <f>IF(项目基本情况!E8="已注销","——","3.房地产抵押价值")</f>
        <v>3.房地产抵押价值</v>
      </c>
      <c r="F107" s="3086"/>
      <c r="G107" s="2518" t="s">
        <v>2291</v>
      </c>
      <c r="H107" s="1045">
        <f ca="1">IF(E107="——","——",H101-H103)</f>
        <v>208676</v>
      </c>
      <c r="I107" s="138"/>
    </row>
    <row r="108" spans="1:35" ht="18.75" customHeight="1">
      <c r="A108" s="138"/>
      <c r="B108" s="138"/>
      <c r="C108" s="138"/>
      <c r="D108" s="138"/>
      <c r="E108" s="3116"/>
      <c r="F108" s="3086"/>
      <c r="G108" s="2518" t="s">
        <v>2293</v>
      </c>
      <c r="H108" s="371">
        <f ca="1">ROUND(H107*10000/'数据-汇总表'!E3,0)</f>
        <v>50081</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18" t="s">
        <v>2291</v>
      </c>
      <c r="H109" s="348" t="str">
        <f>IF(E109="——","——",H101-H105-H106)</f>
        <v>——</v>
      </c>
      <c r="I109" s="138"/>
    </row>
    <row r="110" spans="1:35" ht="18.75" customHeight="1">
      <c r="A110" s="138"/>
      <c r="B110" s="138"/>
      <c r="C110" s="138"/>
      <c r="D110" s="138"/>
      <c r="E110" s="3116"/>
      <c r="F110" s="3086"/>
      <c r="G110" s="2518" t="s">
        <v>2293</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18" t="s">
        <v>2291</v>
      </c>
      <c r="H111" s="1045" t="str">
        <f>IF(E111="——","——",N59)</f>
        <v>——</v>
      </c>
      <c r="I111" s="138"/>
    </row>
    <row r="112" spans="1:35" ht="18.75" customHeight="1" thickBot="1">
      <c r="A112" s="138"/>
      <c r="B112" s="138"/>
      <c r="C112" s="138"/>
      <c r="D112" s="138"/>
      <c r="E112" s="3119"/>
      <c r="F112" s="3120"/>
      <c r="G112" s="2523" t="s">
        <v>2293</v>
      </c>
      <c r="H112" s="790" t="str">
        <f>IF(E111="——","——",N61)</f>
        <v>——</v>
      </c>
      <c r="I112" s="138"/>
    </row>
    <row r="113" spans="1:11" ht="18.75" customHeight="1">
      <c r="A113" s="138"/>
      <c r="B113" s="138"/>
      <c r="C113" s="138"/>
      <c r="D113" s="138"/>
      <c r="E113" s="3128" t="s">
        <v>2299</v>
      </c>
      <c r="F113" s="3128"/>
      <c r="G113" s="3128"/>
      <c r="H113" s="3128"/>
      <c r="I113" s="138"/>
    </row>
    <row r="114" spans="1:11" ht="3.75" customHeight="1">
      <c r="A114" s="2416"/>
      <c r="B114" s="2416"/>
      <c r="C114" s="2416"/>
      <c r="D114" s="2416"/>
      <c r="E114" s="2494"/>
      <c r="F114" s="2494"/>
      <c r="G114" s="2494"/>
      <c r="H114" s="2494"/>
      <c r="I114" s="2416"/>
    </row>
    <row r="115" spans="1:11" ht="18.75" customHeight="1">
      <c r="A115" s="3141" t="s">
        <v>2301</v>
      </c>
      <c r="B115" s="3142"/>
      <c r="C115" s="3142"/>
      <c r="D115" s="3142"/>
      <c r="E115" s="3142"/>
      <c r="F115" s="3142"/>
      <c r="G115" s="3142"/>
      <c r="H115" s="3142"/>
      <c r="I115" s="3143"/>
    </row>
    <row r="116" spans="1:11" ht="27" customHeight="1">
      <c r="A116" s="3052" t="s">
        <v>2302</v>
      </c>
      <c r="B116" s="3095" t="s">
        <v>2303</v>
      </c>
      <c r="C116" s="3095" t="s">
        <v>2304</v>
      </c>
      <c r="D116" s="3101" t="s">
        <v>2305</v>
      </c>
      <c r="E116" s="3102"/>
      <c r="F116" s="3137" t="s">
        <v>2306</v>
      </c>
      <c r="G116" s="3137"/>
      <c r="H116" s="3052" t="s">
        <v>2307</v>
      </c>
      <c r="I116" s="3052"/>
    </row>
    <row r="117" spans="1:11" ht="18.75" customHeight="1">
      <c r="A117" s="3052"/>
      <c r="B117" s="3096"/>
      <c r="C117" s="3096"/>
      <c r="D117" s="1794" t="s">
        <v>2308</v>
      </c>
      <c r="E117" s="1794" t="s">
        <v>2309</v>
      </c>
      <c r="F117" s="1794" t="s">
        <v>2308</v>
      </c>
      <c r="G117" s="1794" t="s">
        <v>2310</v>
      </c>
      <c r="H117" s="1794" t="s">
        <v>2308</v>
      </c>
      <c r="I117" s="1794" t="s">
        <v>2310</v>
      </c>
    </row>
    <row r="118" spans="1:11" ht="24.75" customHeight="1">
      <c r="A118" s="2524" t="str">
        <f>项目基本情况!S2</f>
        <v>广东省广州市海珠区工业大道南北侧石溪村地段第三金碧花园自编68-70栋住宅楼项目出让国有建设用地使用权及在建建筑物房地产</v>
      </c>
      <c r="B118" s="1794">
        <f>M18</f>
        <v>41667.353900000002</v>
      </c>
      <c r="C118" s="1794">
        <f>M19</f>
        <v>19349.7</v>
      </c>
      <c r="D118" s="1794">
        <f ca="1">ROUND(IF(D32="总价",C34,E118*B118/10000),0)</f>
        <v>196155</v>
      </c>
      <c r="E118" s="1794">
        <f ca="1">ROUND(IF(C33="自定义",IF(D32="楼面单价",C34,D118*10000/B118),I118-G118),0)</f>
        <v>47076</v>
      </c>
      <c r="F118" s="1794">
        <f ca="1">ROUND(IF(D32="总价",C35,G118*B118/10000),0)</f>
        <v>12521</v>
      </c>
      <c r="G118" s="1794">
        <f ca="1">ROUND(IF(D32="楼面单价",C35,F118*10000/B118),0)</f>
        <v>3005</v>
      </c>
      <c r="H118" s="1794">
        <f ca="1">ROUND(IF(D32="总价",C32,I118*B118/10000),0)</f>
        <v>208676</v>
      </c>
      <c r="I118" s="1794">
        <f ca="1">ROUND(IF(D32="楼面单价",C32,H118*10000/B118),0)</f>
        <v>50081</v>
      </c>
    </row>
    <row r="119" spans="1:11" ht="18.75" customHeight="1">
      <c r="A119" s="3052" t="s">
        <v>2311</v>
      </c>
      <c r="B119" s="3052"/>
      <c r="C119" s="3052"/>
      <c r="D119" s="3097" t="str">
        <f ca="1">NUMBERSTRING(INT(D118*10000),2)&amp;"元整"</f>
        <v>壹拾玖亿陆仟壹佰伍拾伍万元整</v>
      </c>
      <c r="E119" s="3098"/>
      <c r="F119" s="3097" t="str">
        <f ca="1">NUMBERSTRING(INT(F118*10000),2)&amp;"元整"</f>
        <v>壹亿贰仟伍佰贰拾壹万元整</v>
      </c>
      <c r="G119" s="3098"/>
      <c r="H119" s="3097" t="str">
        <f ca="1">NUMBERSTRING(INT(H118*10000),2)&amp;"元整"</f>
        <v>贰拾亿捌仟陆佰柒拾陆万元整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1" t="str">
        <f>IF(D120=0,"故，本次评估不存在"&amp;A120,"故，本次评估"&amp;A120&amp;"为人民币"&amp;D120&amp;"万元整。")</f>
        <v>故，本次评估不存在估价师知悉的法定优先受偿款</v>
      </c>
    </row>
    <row r="121" spans="1:11" ht="18.75" customHeight="1">
      <c r="A121" s="3138" t="s">
        <v>2311</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208676</v>
      </c>
      <c r="E122" s="3093"/>
      <c r="F122" s="3093"/>
      <c r="G122" s="3093"/>
      <c r="H122" s="3093"/>
      <c r="I122" s="3094"/>
    </row>
    <row r="123" spans="1:11" ht="18.75" customHeight="1">
      <c r="A123" s="3052" t="s">
        <v>2311</v>
      </c>
      <c r="B123" s="3052"/>
      <c r="C123" s="3052"/>
      <c r="D123" s="3097" t="str">
        <f ca="1">NUMBERSTRING(INT(D122*10000),2)&amp;"元整"</f>
        <v>贰拾亿捌仟陆佰柒拾陆万元整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2311</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2311</v>
      </c>
      <c r="B127" s="3052"/>
      <c r="C127" s="3052"/>
      <c r="D127" s="3097" t="e">
        <f>NUMBERSTRING(INT(D126*10000),2)&amp;"元整"</f>
        <v>#VALUE!</v>
      </c>
      <c r="E127" s="3099"/>
      <c r="F127" s="3099"/>
      <c r="G127" s="3099"/>
      <c r="H127" s="3099"/>
      <c r="I127" s="3098"/>
    </row>
    <row r="128" spans="1:11" ht="21.75" customHeight="1">
      <c r="A128" s="3100" t="s">
        <v>2312</v>
      </c>
      <c r="B128" s="3100"/>
      <c r="C128" s="3100"/>
      <c r="D128" s="3100"/>
      <c r="E128" s="3100"/>
      <c r="F128" s="3100"/>
      <c r="G128" s="3100"/>
      <c r="H128" s="3100"/>
      <c r="I128" s="3100"/>
    </row>
    <row r="129" spans="1:35" ht="21.75" customHeight="1">
      <c r="A129" s="2525" t="s">
        <v>2313</v>
      </c>
      <c r="B129" s="2526"/>
      <c r="C129" s="2527" t="s">
        <v>2314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2315</v>
      </c>
      <c r="G135" s="2542"/>
      <c r="H135" s="2542"/>
      <c r="I135" s="2543" t="s">
        <v>2316</v>
      </c>
    </row>
    <row r="136" spans="1:35" ht="21.75" customHeight="1">
      <c r="A136" s="795"/>
      <c r="B136" s="2544"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2318</v>
      </c>
    </row>
    <row r="139" spans="1:35" ht="21.75" customHeight="1">
      <c r="A139" s="795"/>
      <c r="B139" s="2544" t="s">
        <v>2319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2318</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26" sqref="K2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2320</v>
      </c>
      <c r="B1" s="1935"/>
      <c r="C1" s="242"/>
      <c r="D1" s="242"/>
      <c r="E1" s="242"/>
      <c r="F1" s="242"/>
      <c r="G1" s="1379">
        <f>MATCH(B1,'数据-取费表'!A6:A16,0)+5</f>
        <v>8</v>
      </c>
    </row>
    <row r="2" spans="1:9" s="244" customFormat="1" ht="18" customHeight="1">
      <c r="A2" s="245" t="s">
        <v>2321</v>
      </c>
      <c r="B2" s="246">
        <f ca="1">IF(D2="——",C52,C52-E2)</f>
        <v>227757</v>
      </c>
      <c r="C2" s="243" t="s">
        <v>2322</v>
      </c>
      <c r="D2" s="2547" t="s">
        <v>70</v>
      </c>
      <c r="E2" s="1440" t="e">
        <f ca="1">SUMIF(INDIRECT("'"&amp;G2&amp;"'"&amp;"!A:A"),"承租人权益价值",INDIRECT("'"&amp;G2&amp;"'"&amp;"!c:c"))</f>
        <v>#REF!</v>
      </c>
      <c r="F2" s="2548" t="s">
        <v>2322</v>
      </c>
      <c r="G2" s="2549"/>
    </row>
    <row r="3" spans="1:9" s="244" customFormat="1" ht="18" customHeight="1" thickBot="1">
      <c r="A3" s="247" t="s">
        <v>2323</v>
      </c>
      <c r="B3" s="248">
        <f ca="1">ROUND(B2*10000/(IF(B1="",'数据-汇总表'!E3,INDIRECT("'数据-取费表'!k"&amp;$G$1))),0)</f>
        <v>54661</v>
      </c>
      <c r="C3" s="243" t="s">
        <v>2324</v>
      </c>
      <c r="D3" s="243"/>
      <c r="E3" s="243"/>
      <c r="F3" s="243"/>
      <c r="G3" s="243"/>
    </row>
    <row r="4" spans="1:9" s="252" customFormat="1" ht="16.2">
      <c r="A4" s="249" t="s">
        <v>2325</v>
      </c>
      <c r="B4" s="250"/>
      <c r="C4" s="250"/>
      <c r="D4" s="250"/>
      <c r="E4" s="250"/>
      <c r="F4" s="250"/>
      <c r="G4" s="251"/>
    </row>
    <row r="5" spans="1:9" s="258" customFormat="1" ht="13.5" customHeight="1">
      <c r="A5" s="299" t="s">
        <v>2326</v>
      </c>
      <c r="B5" s="254" t="s">
        <v>2327</v>
      </c>
      <c r="C5" s="255">
        <f>C6+C7+C8</f>
        <v>179276</v>
      </c>
      <c r="D5" s="255" t="s">
        <v>2328</v>
      </c>
      <c r="E5" s="256" t="s">
        <v>2329</v>
      </c>
      <c r="F5" s="256" t="s">
        <v>2330</v>
      </c>
      <c r="G5" s="257"/>
    </row>
    <row r="6" spans="1:9" s="258" customFormat="1" ht="13.5" customHeight="1">
      <c r="A6" s="949" t="s">
        <v>2331</v>
      </c>
      <c r="B6" s="259" t="s">
        <v>2332</v>
      </c>
      <c r="C6" s="260">
        <f>'土地比较法-住宅、综合'!B2</f>
        <v>173145</v>
      </c>
      <c r="D6" s="261"/>
      <c r="E6" s="262"/>
      <c r="F6" s="262"/>
      <c r="G6" s="263"/>
    </row>
    <row r="7" spans="1:9" s="258" customFormat="1" ht="13.5" customHeight="1">
      <c r="A7" s="949" t="s">
        <v>2333</v>
      </c>
      <c r="B7" s="259" t="s">
        <v>2334</v>
      </c>
      <c r="C7" s="264">
        <f>ROUND(C6*F7,0)</f>
        <v>5281</v>
      </c>
      <c r="D7" s="264"/>
      <c r="E7" s="262"/>
      <c r="F7" s="265">
        <f>IF(项目基本情况!B8="出让",0,'数据-取费表'!B48+'数据-取费表'!B49)</f>
        <v>3.0499999999999999E-2</v>
      </c>
      <c r="G7" s="263"/>
    </row>
    <row r="8" spans="1:9" s="267" customFormat="1">
      <c r="A8" s="949" t="s">
        <v>2335</v>
      </c>
      <c r="B8" s="259" t="s">
        <v>2336</v>
      </c>
      <c r="C8" s="264">
        <f>IF(G8="已包含在土地购买价格中","0",IF(B1="",'数据-取费表'!B29,IF(G9="全部缴纳",C9+C10,H9)))</f>
        <v>850</v>
      </c>
      <c r="D8" s="266"/>
      <c r="E8" s="264"/>
      <c r="F8" s="265"/>
      <c r="G8" s="2550" t="s">
        <v>3172</v>
      </c>
    </row>
    <row r="9" spans="1:9" s="258" customFormat="1" ht="13.5" customHeight="1">
      <c r="A9" s="950" t="s">
        <v>800</v>
      </c>
      <c r="B9" s="268" t="s">
        <v>2337</v>
      </c>
      <c r="C9" s="269">
        <f ca="1">ROUND(D9*E9/10000,0)</f>
        <v>793</v>
      </c>
      <c r="D9" s="1032">
        <f ca="1">IF(B1="",'数据-汇总表'!E5,IF(INDIRECT("'数据-取费表'!c"&amp;$G$1)="住宅",INDIRECT("'数据-取费表'!k"&amp;$G$1),0))</f>
        <v>38862.989800000003</v>
      </c>
      <c r="E9" s="269">
        <f>'数据-取费表'!B27</f>
        <v>204</v>
      </c>
      <c r="F9" s="265"/>
      <c r="G9" s="2551" t="s">
        <v>3173</v>
      </c>
      <c r="H9" s="1390"/>
      <c r="I9" s="2552" t="s">
        <v>2338</v>
      </c>
    </row>
    <row r="10" spans="1:9" s="258" customFormat="1" ht="13.5" customHeight="1">
      <c r="A10" s="950" t="s">
        <v>801</v>
      </c>
      <c r="B10" s="268" t="s">
        <v>2339</v>
      </c>
      <c r="C10" s="269">
        <f ca="1">ROUND(D10*E10/10000,0)</f>
        <v>57</v>
      </c>
      <c r="D10" s="1032">
        <f ca="1">IF(B1="",'数据-汇总表'!E6,IF(INDIRECT("'数据-取费表'!c"&amp;$G$1)="住宅",INDIRECT("'数据-取费表'!s"&amp;$G$1),INDIRECT("'数据-取费表'!k"&amp;$G$1)+INDIRECT("'数据-取费表'!s"&amp;$G$1)))</f>
        <v>2804.3640999999989</v>
      </c>
      <c r="E10" s="269">
        <f>'数据-取费表'!B28</f>
        <v>204</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t="str">
        <f>IF(G19="已包含在土地取得成本中","0",ROUND(D19*E19/10000,0))</f>
        <v>0</v>
      </c>
      <c r="D19" s="1036">
        <f ca="1">D9+D10</f>
        <v>41667.353900000002</v>
      </c>
      <c r="E19" s="255">
        <f>'数据-取费表'!B31</f>
        <v>150</v>
      </c>
      <c r="F19" s="275"/>
      <c r="G19" s="2550" t="s">
        <v>3174</v>
      </c>
    </row>
    <row r="20" spans="1:7" s="258" customFormat="1" ht="13.5" customHeight="1">
      <c r="A20" s="299" t="s">
        <v>2352</v>
      </c>
      <c r="B20" s="254" t="s">
        <v>2353</v>
      </c>
      <c r="C20" s="276">
        <f>ROUND((C5+C19)*F20,0)</f>
        <v>2689</v>
      </c>
      <c r="D20" s="276"/>
      <c r="E20" s="276"/>
      <c r="F20" s="277">
        <f>'数据-取费表'!B37</f>
        <v>1.4999999999999999E-2</v>
      </c>
      <c r="G20" s="278" t="s">
        <v>2354</v>
      </c>
    </row>
    <row r="21" spans="1:7" s="258" customFormat="1" ht="13.5" customHeight="1">
      <c r="A21" s="299" t="s">
        <v>2355</v>
      </c>
      <c r="B21" s="254" t="s">
        <v>2356</v>
      </c>
      <c r="C21" s="279">
        <f>F21</f>
        <v>1.4999999999999999E-2</v>
      </c>
      <c r="D21" s="280" t="s">
        <v>2357</v>
      </c>
      <c r="E21" s="276"/>
      <c r="F21" s="277">
        <f>'数据-取费表'!B38</f>
        <v>1.4999999999999999E-2</v>
      </c>
      <c r="G21" s="278" t="s">
        <v>2358</v>
      </c>
    </row>
    <row r="22" spans="1:7" s="258" customFormat="1" ht="13.5" customHeight="1">
      <c r="A22" s="299" t="s">
        <v>2359</v>
      </c>
      <c r="B22" s="254" t="s">
        <v>2360</v>
      </c>
      <c r="C22" s="1354">
        <f ca="1">ROUND(SUM(C23:C25),0)</f>
        <v>8403</v>
      </c>
      <c r="D22" s="279">
        <f ca="1">C26</f>
        <v>2.9999999999999997E-4</v>
      </c>
      <c r="E22" s="280" t="s">
        <v>2357</v>
      </c>
      <c r="F22" s="281">
        <f ca="1">'数据-取费表'!B40</f>
        <v>4.7500000000000001E-2</v>
      </c>
      <c r="G22" s="278" t="str">
        <f>IF('数据-取费表'!B22&lt;=1,"单利计息","复利计息")</f>
        <v>复利计息</v>
      </c>
    </row>
    <row r="23" spans="1:7" s="258" customFormat="1" ht="13.5" customHeight="1">
      <c r="A23" s="951" t="s">
        <v>2361</v>
      </c>
      <c r="B23" s="259" t="s">
        <v>2362</v>
      </c>
      <c r="C23" s="1355">
        <f ca="1">ROUND(IF('数据-取费表'!B22&lt;=1,C5*F22*'数据-取费表'!B23,C5*(POWER((1+F22),'数据-取费表'!B23)-1)),0)</f>
        <v>8341</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0</v>
      </c>
      <c r="D24" s="282"/>
      <c r="E24" s="282"/>
      <c r="F24" s="283"/>
      <c r="G24" s="284" t="s">
        <v>2366</v>
      </c>
    </row>
    <row r="25" spans="1:7" s="258" customFormat="1" ht="24">
      <c r="A25" s="951" t="s">
        <v>2367</v>
      </c>
      <c r="B25" s="259" t="s">
        <v>2368</v>
      </c>
      <c r="C25" s="1355">
        <f ca="1">ROUND(IF('数据-取费表'!B22&lt;=1,C20*F22*'数据-取费表'!B23/2,C20*(POWER((1+F22),'数据-取费表'!B23/2)-1)),0)</f>
        <v>62</v>
      </c>
      <c r="D25" s="282"/>
      <c r="E25" s="285"/>
      <c r="F25" s="283"/>
      <c r="G25" s="286" t="s">
        <v>2369</v>
      </c>
    </row>
    <row r="26" spans="1:7" s="258" customFormat="1">
      <c r="A26" s="951" t="s">
        <v>795</v>
      </c>
      <c r="B26" s="259" t="s">
        <v>2370</v>
      </c>
      <c r="C26" s="282">
        <f ca="1">ROUND(IF('数据-取费表'!B22&lt;=1,F21*F22*'数据-取费表'!B23/2,F21*(POWER((1+F22),'数据-取费表'!B23/2)-1)),4)</f>
        <v>2.9999999999999997E-4</v>
      </c>
      <c r="D26" s="282"/>
      <c r="E26" s="285"/>
      <c r="F26" s="283"/>
      <c r="G26" s="287"/>
    </row>
    <row r="27" spans="1:7" s="258" customFormat="1" ht="26.4">
      <c r="A27" s="299" t="s">
        <v>2371</v>
      </c>
      <c r="B27" s="288" t="s">
        <v>2372</v>
      </c>
      <c r="C27" s="289">
        <f ca="1">C28</f>
        <v>8916</v>
      </c>
      <c r="D27" s="279">
        <f ca="1">C29</f>
        <v>6.9999999999999999E-4</v>
      </c>
      <c r="E27" s="280" t="s">
        <v>2373</v>
      </c>
      <c r="F27" s="290">
        <f ca="1">IF(B1="",'数据-取费表'!Q16,INDIRECT("'数据-取费表'!q"&amp;$G$1))</f>
        <v>0.1</v>
      </c>
      <c r="G27" s="291" t="s">
        <v>2374</v>
      </c>
    </row>
    <row r="28" spans="1:7" s="258" customFormat="1" ht="13.5" customHeight="1">
      <c r="A28" s="951" t="s">
        <v>791</v>
      </c>
      <c r="B28" s="292" t="s">
        <v>2375</v>
      </c>
      <c r="C28" s="293">
        <f ca="1">ROUND((C5+C19+C20)*F27*'数据-取费表'!B21/'数据-取费表'!B20,0)</f>
        <v>8916</v>
      </c>
      <c r="D28" s="279"/>
      <c r="E28" s="280"/>
      <c r="F28" s="290"/>
      <c r="G28" s="291"/>
    </row>
    <row r="29" spans="1:7" s="258" customFormat="1" ht="13.5" customHeight="1">
      <c r="A29" s="951" t="s">
        <v>792</v>
      </c>
      <c r="B29" s="292" t="s">
        <v>2376</v>
      </c>
      <c r="C29" s="282">
        <f ca="1">ROUND(C21*F27*'数据-取费表'!B21/'数据-取费表'!B20,4)</f>
        <v>6.9999999999999999E-4</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214123</v>
      </c>
      <c r="D31" s="274"/>
      <c r="E31" s="255"/>
      <c r="F31" s="294"/>
      <c r="G31" s="278" t="s">
        <v>2381</v>
      </c>
    </row>
    <row r="32" spans="1:7" s="252" customFormat="1" ht="16.2">
      <c r="A32" s="296" t="s">
        <v>2382</v>
      </c>
      <c r="B32" s="297"/>
      <c r="C32" s="297"/>
      <c r="D32" s="297"/>
      <c r="E32" s="297"/>
      <c r="F32" s="297"/>
      <c r="G32" s="298"/>
    </row>
    <row r="33" spans="1:7" s="258" customFormat="1" ht="13.5" customHeight="1">
      <c r="A33" s="299" t="s">
        <v>782</v>
      </c>
      <c r="B33" s="254" t="s">
        <v>2383</v>
      </c>
      <c r="C33" s="300">
        <f ca="1">SUM(C34:C38)</f>
        <v>11122</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10071</v>
      </c>
      <c r="D34" s="261"/>
      <c r="E34" s="264"/>
      <c r="F34" s="301">
        <f ca="1">IF('数据-取费表'!B24=0,1,IF(B1="",'数据-取费表'!N16,INDIRECT("'数据-取费表'!n"&amp;$G$1)))</f>
        <v>0.49</v>
      </c>
      <c r="G34" s="263" t="s">
        <v>2385</v>
      </c>
    </row>
    <row r="35" spans="1:7" ht="13.5" customHeight="1">
      <c r="A35" s="951" t="s">
        <v>796</v>
      </c>
      <c r="B35" s="259" t="s">
        <v>2386</v>
      </c>
      <c r="C35" s="264">
        <f ca="1">ROUND(C34*F35,0)</f>
        <v>302</v>
      </c>
      <c r="D35" s="264"/>
      <c r="E35" s="264"/>
      <c r="F35" s="303">
        <f>'数据-取费表'!B33</f>
        <v>0.03</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190</v>
      </c>
      <c r="D36" s="264"/>
      <c r="E36" s="264"/>
      <c r="F36" s="303">
        <f>'数据-取费表'!B34</f>
        <v>0.02</v>
      </c>
      <c r="G36" s="304" t="s">
        <v>2389</v>
      </c>
    </row>
    <row r="37" spans="1:7" s="302" customFormat="1" ht="13.5" customHeight="1">
      <c r="A37" s="951" t="s">
        <v>798</v>
      </c>
      <c r="B37" s="259" t="s">
        <v>2390</v>
      </c>
      <c r="C37" s="293">
        <f ca="1">ROUND(E37*D37*F34/10000,0)</f>
        <v>408</v>
      </c>
      <c r="D37" s="261">
        <f ca="1">D19</f>
        <v>41667.353900000002</v>
      </c>
      <c r="E37" s="293">
        <f>'数据-取费表'!B35</f>
        <v>200</v>
      </c>
      <c r="F37" s="303"/>
      <c r="G37" s="305" t="s">
        <v>2391</v>
      </c>
    </row>
    <row r="38" spans="1:7" ht="13.5" customHeight="1">
      <c r="A38" s="951" t="s">
        <v>799</v>
      </c>
      <c r="B38" s="259" t="s">
        <v>2392</v>
      </c>
      <c r="C38" s="264">
        <f ca="1">ROUND(C34*F38,0)</f>
        <v>151</v>
      </c>
      <c r="D38" s="264"/>
      <c r="E38" s="264"/>
      <c r="F38" s="303">
        <f>'数据-取费表'!B36</f>
        <v>1.4999999999999999E-2</v>
      </c>
      <c r="G38" s="263" t="s">
        <v>2387</v>
      </c>
    </row>
    <row r="39" spans="1:7" s="258" customFormat="1" ht="13.5" customHeight="1">
      <c r="A39" s="299" t="s">
        <v>2393</v>
      </c>
      <c r="B39" s="254" t="s">
        <v>2394</v>
      </c>
      <c r="C39" s="276">
        <f ca="1">ROUND(C33*F20,0)</f>
        <v>167</v>
      </c>
      <c r="D39" s="276"/>
      <c r="E39" s="276"/>
      <c r="F39" s="277"/>
      <c r="G39" s="278" t="s">
        <v>2395</v>
      </c>
    </row>
    <row r="40" spans="1:7" s="258" customFormat="1" ht="13.5" customHeight="1">
      <c r="A40" s="299" t="s">
        <v>2396</v>
      </c>
      <c r="B40" s="254" t="s">
        <v>2397</v>
      </c>
      <c r="C40" s="1727">
        <f>F21</f>
        <v>1.4999999999999999E-2</v>
      </c>
      <c r="D40" s="280" t="s">
        <v>2398</v>
      </c>
      <c r="E40" s="276"/>
      <c r="F40" s="277"/>
      <c r="G40" s="278" t="s">
        <v>2399</v>
      </c>
    </row>
    <row r="41" spans="1:7" s="258" customFormat="1" ht="13.5" customHeight="1">
      <c r="A41" s="299" t="s">
        <v>2400</v>
      </c>
      <c r="B41" s="254" t="s">
        <v>2401</v>
      </c>
      <c r="C41" s="276">
        <f ca="1">ROUND(SUM(C42:C43),0)</f>
        <v>260</v>
      </c>
      <c r="D41" s="279">
        <f ca="1">C44</f>
        <v>2.9999999999999997E-4</v>
      </c>
      <c r="E41" s="280" t="s">
        <v>2398</v>
      </c>
      <c r="F41" s="281"/>
      <c r="G41" s="278" t="str">
        <f>IF('数据-取费表'!B22&lt;=1,"单利计息","复利计息")</f>
        <v>复利计息</v>
      </c>
    </row>
    <row r="42" spans="1:7" ht="13.5" customHeight="1">
      <c r="A42" s="951" t="s">
        <v>791</v>
      </c>
      <c r="B42" s="259" t="s">
        <v>2402</v>
      </c>
      <c r="C42" s="282">
        <f ca="1">ROUND(IF('数据-取费表'!B22&lt;=1,C33*F22*'数据-取费表'!B21/2,C33*(POWER((1+F22),'数据-取费表'!B21/2)-1)),0)</f>
        <v>256</v>
      </c>
      <c r="D42" s="282"/>
      <c r="E42" s="282"/>
      <c r="F42" s="283"/>
      <c r="G42" s="3172" t="s">
        <v>2403</v>
      </c>
    </row>
    <row r="43" spans="1:7" ht="13.5" customHeight="1">
      <c r="A43" s="951" t="s">
        <v>792</v>
      </c>
      <c r="B43" s="259" t="s">
        <v>2404</v>
      </c>
      <c r="C43" s="282">
        <f ca="1">ROUND(IF('数据-取费表'!B22&lt;=1,C39*F22*'数据-取费表'!B21/2,C39*(POWER((1+F22),'数据-取费表'!B21/2)-1)),0)</f>
        <v>4</v>
      </c>
      <c r="D43" s="282"/>
      <c r="E43" s="282"/>
      <c r="F43" s="283"/>
      <c r="G43" s="3173"/>
    </row>
    <row r="44" spans="1:7" ht="13.5" customHeight="1">
      <c r="A44" s="951" t="s">
        <v>793</v>
      </c>
      <c r="B44" s="259" t="s">
        <v>2405</v>
      </c>
      <c r="C44" s="282">
        <f ca="1">ROUND(IF('数据-取费表'!B22&lt;=1,C40*F22*'数据-取费表'!B21/2,C40*(POWER((1+F22),'数据-取费表'!B21/2)-1)),4)</f>
        <v>2.9999999999999997E-4</v>
      </c>
      <c r="D44" s="282"/>
      <c r="E44" s="282"/>
      <c r="F44" s="283"/>
      <c r="G44" s="3174"/>
    </row>
    <row r="45" spans="1:7" s="258" customFormat="1" ht="13.5" customHeight="1">
      <c r="A45" s="299" t="s">
        <v>2406</v>
      </c>
      <c r="B45" s="288" t="s">
        <v>2372</v>
      </c>
      <c r="C45" s="289">
        <f ca="1">C46</f>
        <v>1129</v>
      </c>
      <c r="D45" s="279">
        <f ca="1">C47</f>
        <v>1.5E-3</v>
      </c>
      <c r="E45" s="280" t="s">
        <v>2398</v>
      </c>
      <c r="F45" s="290"/>
      <c r="G45" s="291" t="s">
        <v>2407</v>
      </c>
    </row>
    <row r="46" spans="1:7" s="258" customFormat="1" ht="13.5" customHeight="1">
      <c r="A46" s="951" t="s">
        <v>791</v>
      </c>
      <c r="B46" s="292" t="s">
        <v>2408</v>
      </c>
      <c r="C46" s="293">
        <f ca="1">ROUND((C33+C39)*F27,0)</f>
        <v>1129</v>
      </c>
      <c r="D46" s="307"/>
      <c r="E46" s="280"/>
      <c r="F46" s="290"/>
      <c r="G46" s="291"/>
    </row>
    <row r="47" spans="1:7" s="258" customFormat="1" ht="13.5" customHeight="1">
      <c r="A47" s="951" t="s">
        <v>792</v>
      </c>
      <c r="B47" s="292" t="s">
        <v>2409</v>
      </c>
      <c r="C47" s="282">
        <f ca="1">ROUND(C40*F27,4)</f>
        <v>1.5E-3</v>
      </c>
      <c r="D47" s="307"/>
      <c r="E47" s="280"/>
      <c r="F47" s="290"/>
      <c r="G47" s="291"/>
    </row>
    <row r="48" spans="1:7" s="258" customFormat="1" ht="13.5" customHeight="1">
      <c r="A48" s="299" t="s">
        <v>2371</v>
      </c>
      <c r="B48" s="254" t="s">
        <v>2410</v>
      </c>
      <c r="C48" s="1727">
        <f>ROUND(F30/(1+'数据-取费表'!C42),4)</f>
        <v>5.33E-2</v>
      </c>
      <c r="D48" s="280" t="s">
        <v>2398</v>
      </c>
      <c r="E48" s="276"/>
      <c r="F48" s="281"/>
      <c r="G48" s="278" t="s">
        <v>2411</v>
      </c>
    </row>
    <row r="49" spans="1:7" ht="16.5" customHeight="1">
      <c r="A49" s="299" t="s">
        <v>2377</v>
      </c>
      <c r="B49" s="254" t="s">
        <v>2412</v>
      </c>
      <c r="C49" s="276">
        <f ca="1">ROUND((C33+C39+C41+C45)/(1-C40-D41-D45-C48),0)</f>
        <v>13634</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13634</v>
      </c>
      <c r="D51" s="276"/>
      <c r="E51" s="276"/>
      <c r="F51" s="308"/>
      <c r="G51" s="278" t="s">
        <v>2419</v>
      </c>
    </row>
    <row r="52" spans="1:7" s="252" customFormat="1" ht="16.8" thickBot="1">
      <c r="A52" s="309" t="s">
        <v>2420</v>
      </c>
      <c r="B52" s="310"/>
      <c r="C52" s="311">
        <f ca="1">C31+C51</f>
        <v>227757</v>
      </c>
      <c r="D52" s="310"/>
      <c r="E52" s="310"/>
      <c r="F52" s="310"/>
      <c r="G52" s="312"/>
    </row>
    <row r="55" spans="1:7" ht="15">
      <c r="B55" s="314" t="s">
        <v>2421</v>
      </c>
      <c r="C55" s="315"/>
    </row>
    <row r="56" spans="1:7">
      <c r="B56" s="317" t="s">
        <v>1508</v>
      </c>
      <c r="C56" s="319">
        <f ca="1">1-C57</f>
        <v>0.94</v>
      </c>
    </row>
    <row r="57" spans="1:7">
      <c r="B57" s="317" t="s">
        <v>1509</v>
      </c>
      <c r="C57" s="318">
        <f ca="1">ROUND(C51/C52,3)</f>
        <v>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2320</v>
      </c>
      <c r="B1" s="1935"/>
      <c r="C1" s="2553" t="s">
        <v>2422</v>
      </c>
      <c r="D1" s="242"/>
      <c r="E1" s="242"/>
      <c r="F1" s="242"/>
      <c r="G1" s="1379">
        <f>MATCH(B1,'数据-取费表'!A6:A16,0)+5</f>
        <v>8</v>
      </c>
      <c r="H1" s="1282" t="str">
        <f>IF(ISERROR(FIND("住宅",B1)),"非住宅","住宅")</f>
        <v>非住宅</v>
      </c>
    </row>
    <row r="2" spans="1:8" s="244" customFormat="1" ht="18" customHeight="1">
      <c r="A2" s="245" t="s">
        <v>2321</v>
      </c>
      <c r="B2" s="246">
        <f ca="1">ROUND(IF(D2="——",C52/10000,C52/10000-E2),0)</f>
        <v>30372</v>
      </c>
      <c r="C2" s="243" t="s">
        <v>2322</v>
      </c>
      <c r="D2" s="2547" t="s">
        <v>70</v>
      </c>
      <c r="E2" s="1440" t="e">
        <f ca="1">SUMIF(INDIRECT("'"&amp;G2&amp;"'"&amp;"!A:A"),"承租人权益价值",INDIRECT("'"&amp;G2&amp;"'"&amp;"!c:c"))</f>
        <v>#REF!</v>
      </c>
      <c r="F2" s="2548" t="s">
        <v>2322</v>
      </c>
      <c r="G2" s="2549"/>
    </row>
    <row r="3" spans="1:8" s="244" customFormat="1" ht="18" customHeight="1" thickBot="1">
      <c r="A3" s="247" t="s">
        <v>2323</v>
      </c>
      <c r="B3" s="248">
        <f ca="1">ROUND(B2*10000/(IF(B1="",'数据-汇总表'!E3,INDIRECT("'数据-取费表'!k"&amp;$G$1))),0)</f>
        <v>7289</v>
      </c>
      <c r="C3" s="243" t="s">
        <v>2324</v>
      </c>
      <c r="D3" s="243"/>
      <c r="E3" s="243"/>
      <c r="F3" s="243"/>
      <c r="G3" s="243"/>
    </row>
    <row r="4" spans="1:8" s="252" customFormat="1" ht="16.2">
      <c r="A4" s="249" t="s">
        <v>2325</v>
      </c>
      <c r="B4" s="250"/>
      <c r="C4" s="250"/>
      <c r="D4" s="250"/>
      <c r="E4" s="250"/>
      <c r="F4" s="250"/>
      <c r="G4" s="251"/>
    </row>
    <row r="5" spans="1:8" s="258" customFormat="1" ht="13.5" customHeight="1">
      <c r="A5" s="299" t="s">
        <v>2326</v>
      </c>
      <c r="B5" s="254" t="s">
        <v>2327</v>
      </c>
      <c r="C5" s="255">
        <f ca="1">C6+C7+C8</f>
        <v>8500140</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IF(项目基本情况!B8="出让",0,'数据-取费表'!B48+'数据-取费表'!B49)</f>
        <v>3.0499999999999999E-2</v>
      </c>
      <c r="G7" s="263"/>
    </row>
    <row r="8" spans="1:8" s="267" customFormat="1">
      <c r="A8" s="949" t="s">
        <v>2335</v>
      </c>
      <c r="B8" s="259" t="s">
        <v>2336</v>
      </c>
      <c r="C8" s="264">
        <f ca="1">IF(G8="已包含在土地购买价格中",0,C9+C10)</f>
        <v>8500140</v>
      </c>
      <c r="D8" s="266"/>
      <c r="E8" s="264"/>
      <c r="F8" s="265"/>
      <c r="G8" s="2550"/>
    </row>
    <row r="9" spans="1:8" s="258" customFormat="1" ht="13.5" customHeight="1">
      <c r="A9" s="950" t="s">
        <v>800</v>
      </c>
      <c r="B9" s="268" t="s">
        <v>2337</v>
      </c>
      <c r="C9" s="269">
        <f ca="1">ROUND(D9*E9,0)</f>
        <v>7928050</v>
      </c>
      <c r="D9" s="1032">
        <f ca="1">IF(B1="",'数据-汇总表'!E5,IF(INDIRECT("'数据-取费表'!c"&amp;$G$1)="住宅",INDIRECT("'数据-取费表'!k"&amp;$G$1),0))</f>
        <v>38862.989800000003</v>
      </c>
      <c r="E9" s="269">
        <f>'数据-取费表'!B27</f>
        <v>204</v>
      </c>
      <c r="F9" s="265"/>
      <c r="G9" s="270"/>
    </row>
    <row r="10" spans="1:8" s="258" customFormat="1" ht="13.5" customHeight="1">
      <c r="A10" s="950" t="s">
        <v>801</v>
      </c>
      <c r="B10" s="268" t="s">
        <v>2339</v>
      </c>
      <c r="C10" s="269">
        <f ca="1">ROUND(D10*E10,0)</f>
        <v>572090</v>
      </c>
      <c r="D10" s="1032">
        <f ca="1">IF(B1="",'数据-汇总表'!E6,IF(INDIRECT("'数据-取费表'!c"&amp;$G$1)="住宅",INDIRECT("'数据-取费表'!s"&amp;$G$1),INDIRECT("'数据-取费表'!k"&amp;$G$1)+INDIRECT("'数据-取费表'!s"&amp;$G$1)))</f>
        <v>2804.3640999999989</v>
      </c>
      <c r="E10" s="269">
        <f>'数据-取费表'!B28</f>
        <v>204</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6250103</v>
      </c>
      <c r="D19" s="1036">
        <f ca="1">D9+D10</f>
        <v>41667.353900000002</v>
      </c>
      <c r="E19" s="255">
        <f>'数据-取费表'!B31</f>
        <v>150</v>
      </c>
      <c r="F19" s="275"/>
      <c r="G19" s="2550"/>
    </row>
    <row r="20" spans="1:7" s="258" customFormat="1" ht="13.5" customHeight="1">
      <c r="A20" s="299" t="s">
        <v>2433</v>
      </c>
      <c r="B20" s="254" t="s">
        <v>2434</v>
      </c>
      <c r="C20" s="276">
        <f ca="1">ROUND((C5+C19)*F20,0)</f>
        <v>221254</v>
      </c>
      <c r="D20" s="276"/>
      <c r="E20" s="276"/>
      <c r="F20" s="277">
        <f>'数据-取费表'!B37</f>
        <v>1.4999999999999999E-2</v>
      </c>
      <c r="G20" s="278" t="s">
        <v>2435</v>
      </c>
    </row>
    <row r="21" spans="1:7" s="258" customFormat="1" ht="13.5" customHeight="1">
      <c r="A21" s="299" t="s">
        <v>2436</v>
      </c>
      <c r="B21" s="254" t="s">
        <v>2437</v>
      </c>
      <c r="C21" s="279">
        <f>F21</f>
        <v>1.4999999999999999E-2</v>
      </c>
      <c r="D21" s="280" t="s">
        <v>2438</v>
      </c>
      <c r="E21" s="276"/>
      <c r="F21" s="277">
        <f>'数据-取费表'!B38</f>
        <v>1.4999999999999999E-2</v>
      </c>
      <c r="G21" s="278" t="s">
        <v>2439</v>
      </c>
    </row>
    <row r="22" spans="1:7" s="258" customFormat="1" ht="13.5" customHeight="1">
      <c r="A22" s="299" t="s">
        <v>2440</v>
      </c>
      <c r="B22" s="254" t="s">
        <v>2441</v>
      </c>
      <c r="C22" s="1380">
        <f ca="1">ROUND(SUM(C23:C25),0)</f>
        <v>1445064</v>
      </c>
      <c r="D22" s="279">
        <f ca="1">C26</f>
        <v>6.9999999999999999E-4</v>
      </c>
      <c r="E22" s="280" t="s">
        <v>2438</v>
      </c>
      <c r="F22" s="281">
        <f ca="1">'数据-取费表'!B40</f>
        <v>4.7500000000000001E-2</v>
      </c>
      <c r="G22" s="278" t="str">
        <f>IF('数据-取费表'!B22&lt;=1,"单利计息","复利计息")</f>
        <v>复利计息</v>
      </c>
    </row>
    <row r="23" spans="1:7" s="258" customFormat="1" ht="13.5" customHeight="1">
      <c r="A23" s="951" t="s">
        <v>2331</v>
      </c>
      <c r="B23" s="259" t="s">
        <v>2442</v>
      </c>
      <c r="C23" s="1381">
        <f ca="1">ROUND(IF('数据-取费表'!B22&lt;=1,C5*F22*'数据-取费表'!B22,C5*(POWER((1+F22),'数据-取费表'!B22)-1)),0)</f>
        <v>826692</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607862</v>
      </c>
      <c r="D24" s="282"/>
      <c r="E24" s="282"/>
      <c r="F24" s="283"/>
      <c r="G24" s="284" t="s">
        <v>2445</v>
      </c>
    </row>
    <row r="25" spans="1:7" s="258" customFormat="1" ht="24">
      <c r="A25" s="951" t="s">
        <v>2335</v>
      </c>
      <c r="B25" s="259" t="s">
        <v>2446</v>
      </c>
      <c r="C25" s="1381">
        <f ca="1">ROUND(IF('数据-取费表'!B22&lt;=1,C20*F22*'数据-取费表'!B22/2,C20*(POWER((1+F22),'数据-取费表'!B22/2)-1)),0)</f>
        <v>10510</v>
      </c>
      <c r="D25" s="282"/>
      <c r="E25" s="285"/>
      <c r="F25" s="283"/>
      <c r="G25" s="286" t="s">
        <v>2447</v>
      </c>
    </row>
    <row r="26" spans="1:7" s="258" customFormat="1">
      <c r="A26" s="951" t="s">
        <v>795</v>
      </c>
      <c r="B26" s="259" t="s">
        <v>2370</v>
      </c>
      <c r="C26" s="282">
        <f ca="1">ROUND(IF('数据-取费表'!B22&lt;=1,F21*F22*'数据-取费表'!B22/2,F21*(POWER((1+F22),'数据-取费表'!B22/2)-1)),4)</f>
        <v>6.9999999999999999E-4</v>
      </c>
      <c r="D26" s="282"/>
      <c r="E26" s="285"/>
      <c r="F26" s="283"/>
      <c r="G26" s="287"/>
    </row>
    <row r="27" spans="1:7" s="258" customFormat="1" ht="26.4">
      <c r="A27" s="299" t="s">
        <v>2371</v>
      </c>
      <c r="B27" s="288" t="s">
        <v>2372</v>
      </c>
      <c r="C27" s="289">
        <f ca="1">C28</f>
        <v>1497150</v>
      </c>
      <c r="D27" s="279">
        <f ca="1">C29</f>
        <v>1.5E-3</v>
      </c>
      <c r="E27" s="280" t="s">
        <v>2373</v>
      </c>
      <c r="F27" s="290">
        <f ca="1">IF(B1="",'数据-取费表'!Q16,INDIRECT("'数据-取费表'!q"&amp;$G$1))</f>
        <v>0.1</v>
      </c>
      <c r="G27" s="291" t="s">
        <v>2374</v>
      </c>
    </row>
    <row r="28" spans="1:7" s="258" customFormat="1" ht="13.5" customHeight="1">
      <c r="A28" s="951" t="s">
        <v>791</v>
      </c>
      <c r="B28" s="292" t="s">
        <v>2375</v>
      </c>
      <c r="C28" s="293">
        <f ca="1">ROUND((C5+C19+C20)*F27,0)</f>
        <v>1497150</v>
      </c>
      <c r="D28" s="279"/>
      <c r="E28" s="280"/>
      <c r="F28" s="290"/>
      <c r="G28" s="291"/>
    </row>
    <row r="29" spans="1:7" s="258" customFormat="1" ht="13.5" customHeight="1">
      <c r="A29" s="951" t="s">
        <v>792</v>
      </c>
      <c r="B29" s="292" t="s">
        <v>2376</v>
      </c>
      <c r="C29" s="282">
        <f ca="1">ROUND(C21*F27,4)</f>
        <v>1.5E-3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19272416</v>
      </c>
      <c r="D31" s="274"/>
      <c r="E31" s="255"/>
      <c r="F31" s="294"/>
      <c r="G31" s="278" t="s">
        <v>2381</v>
      </c>
    </row>
    <row r="32" spans="1:7" s="252" customFormat="1" ht="16.2">
      <c r="A32" s="296" t="s">
        <v>2448</v>
      </c>
      <c r="B32" s="297"/>
      <c r="C32" s="297"/>
      <c r="D32" s="297"/>
      <c r="E32" s="297"/>
      <c r="F32" s="297"/>
      <c r="G32" s="298"/>
    </row>
    <row r="33" spans="1:7" s="258" customFormat="1" ht="13.5" customHeight="1">
      <c r="A33" s="299" t="s">
        <v>782</v>
      </c>
      <c r="B33" s="254" t="s">
        <v>2449</v>
      </c>
      <c r="C33" s="300">
        <f ca="1">SUM(C34:C38)</f>
        <v>227001133</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205532405</v>
      </c>
      <c r="D34" s="261"/>
      <c r="E34" s="264"/>
      <c r="F34" s="301"/>
      <c r="G34" s="263"/>
    </row>
    <row r="35" spans="1:7" ht="13.5" customHeight="1">
      <c r="A35" s="951" t="s">
        <v>796</v>
      </c>
      <c r="B35" s="259" t="s">
        <v>2386</v>
      </c>
      <c r="C35" s="264">
        <f ca="1">ROUND(C34*F35,0)</f>
        <v>6165972</v>
      </c>
      <c r="D35" s="264"/>
      <c r="E35" s="264"/>
      <c r="F35" s="303">
        <f>'数据-取费表'!B33</f>
        <v>0.03</v>
      </c>
      <c r="G35" s="263" t="s">
        <v>2387</v>
      </c>
    </row>
    <row r="36" spans="1:7" ht="24">
      <c r="A36" s="951" t="s">
        <v>797</v>
      </c>
      <c r="B36" s="259" t="s">
        <v>2388</v>
      </c>
      <c r="C36" s="264">
        <f ca="1">ROUND(IF(B1="",SUM('数据-取费表'!AP6:AP13)*F36,IF(INDIRECT("'数据-取费表'!c"&amp;$G$1)="住宅",INDIRECT("'数据-取费表'!k"&amp;$G$1)*INDIRECT("'数据-取费表'!l"&amp;$G$1)*F36,0)),0)</f>
        <v>3886299</v>
      </c>
      <c r="D36" s="264"/>
      <c r="E36" s="264"/>
      <c r="F36" s="303">
        <f>'数据-取费表'!B34</f>
        <v>0.02</v>
      </c>
      <c r="G36" s="304" t="s">
        <v>2389</v>
      </c>
    </row>
    <row r="37" spans="1:7" s="302" customFormat="1" ht="13.5" customHeight="1">
      <c r="A37" s="951" t="s">
        <v>798</v>
      </c>
      <c r="B37" s="259" t="s">
        <v>2390</v>
      </c>
      <c r="C37" s="293">
        <f ca="1">ROUND(E37*D37,0)</f>
        <v>8333471</v>
      </c>
      <c r="D37" s="261">
        <f ca="1">D19</f>
        <v>41667.353900000002</v>
      </c>
      <c r="E37" s="293">
        <f>'数据-取费表'!B35</f>
        <v>200</v>
      </c>
      <c r="F37" s="303"/>
      <c r="G37" s="305"/>
    </row>
    <row r="38" spans="1:7" ht="13.5" customHeight="1">
      <c r="A38" s="951" t="s">
        <v>799</v>
      </c>
      <c r="B38" s="259" t="s">
        <v>2392</v>
      </c>
      <c r="C38" s="264">
        <f ca="1">ROUND(C34*F38,0)</f>
        <v>3082986</v>
      </c>
      <c r="D38" s="264"/>
      <c r="E38" s="264"/>
      <c r="F38" s="303">
        <f>'数据-取费表'!B36</f>
        <v>1.4999999999999999E-2</v>
      </c>
      <c r="G38" s="263" t="s">
        <v>2387</v>
      </c>
    </row>
    <row r="39" spans="1:7" s="258" customFormat="1" ht="13.5" customHeight="1">
      <c r="A39" s="299" t="s">
        <v>2393</v>
      </c>
      <c r="B39" s="254" t="s">
        <v>2394</v>
      </c>
      <c r="C39" s="276">
        <f ca="1">ROUND(C33*F20,0)</f>
        <v>3405017</v>
      </c>
      <c r="D39" s="276"/>
      <c r="E39" s="276"/>
      <c r="F39" s="277"/>
      <c r="G39" s="278" t="s">
        <v>2395</v>
      </c>
    </row>
    <row r="40" spans="1:7" s="258" customFormat="1" ht="13.5" customHeight="1">
      <c r="A40" s="299" t="s">
        <v>2396</v>
      </c>
      <c r="B40" s="254" t="s">
        <v>2397</v>
      </c>
      <c r="C40" s="1727">
        <f>F21</f>
        <v>1.4999999999999999E-2</v>
      </c>
      <c r="D40" s="280" t="s">
        <v>2398</v>
      </c>
      <c r="E40" s="276"/>
      <c r="F40" s="277"/>
      <c r="G40" s="278" t="s">
        <v>2399</v>
      </c>
    </row>
    <row r="41" spans="1:7" s="258" customFormat="1" ht="13.5" customHeight="1">
      <c r="A41" s="299" t="s">
        <v>2400</v>
      </c>
      <c r="B41" s="254" t="s">
        <v>2401</v>
      </c>
      <c r="C41" s="276">
        <f ca="1">ROUND(SUM(C42:C43),0)</f>
        <v>10944292</v>
      </c>
      <c r="D41" s="279">
        <f ca="1">C44</f>
        <v>6.9999999999999999E-4</v>
      </c>
      <c r="E41" s="280" t="s">
        <v>2398</v>
      </c>
      <c r="F41" s="281"/>
      <c r="G41" s="278" t="str">
        <f>IF('数据-取费表'!B22&lt;=1,"单利计息","复利计息")</f>
        <v>复利计息</v>
      </c>
    </row>
    <row r="42" spans="1:7" ht="13.5" customHeight="1">
      <c r="A42" s="951" t="s">
        <v>791</v>
      </c>
      <c r="B42" s="259" t="s">
        <v>2402</v>
      </c>
      <c r="C42" s="282">
        <f ca="1">ROUND(IF('数据-取费表'!B22&lt;=1,C33*F22*'数据-取费表'!B20/2,C33*(POWER((1+F22),'数据-取费表'!B20/2)-1)),0)</f>
        <v>10782554</v>
      </c>
      <c r="D42" s="282"/>
      <c r="E42" s="282"/>
      <c r="F42" s="283"/>
      <c r="G42" s="3172" t="s">
        <v>2450</v>
      </c>
    </row>
    <row r="43" spans="1:7" ht="13.5" customHeight="1">
      <c r="A43" s="951" t="s">
        <v>792</v>
      </c>
      <c r="B43" s="259" t="s">
        <v>2404</v>
      </c>
      <c r="C43" s="282">
        <f ca="1">ROUND(IF('数据-取费表'!B22&lt;=1,C39*F22*'数据-取费表'!B20/2,C39*(POWER((1+F22),'数据-取费表'!B20/2)-1)),0)</f>
        <v>161738</v>
      </c>
      <c r="D43" s="282"/>
      <c r="E43" s="282"/>
      <c r="F43" s="283"/>
      <c r="G43" s="3173"/>
    </row>
    <row r="44" spans="1:7" ht="13.5" customHeight="1">
      <c r="A44" s="951" t="s">
        <v>793</v>
      </c>
      <c r="B44" s="259" t="s">
        <v>2405</v>
      </c>
      <c r="C44" s="282">
        <f ca="1">ROUND(IF('数据-取费表'!B22&lt;=1,C40*F22*'数据-取费表'!B20/2,C40*(POWER((1+F22),'数据-取费表'!B20/2)-1)),4)</f>
        <v>6.9999999999999999E-4</v>
      </c>
      <c r="D44" s="282"/>
      <c r="E44" s="282"/>
      <c r="F44" s="283"/>
      <c r="G44" s="3174"/>
    </row>
    <row r="45" spans="1:7" s="258" customFormat="1" ht="13.5" customHeight="1">
      <c r="A45" s="299" t="s">
        <v>2406</v>
      </c>
      <c r="B45" s="288" t="s">
        <v>2372</v>
      </c>
      <c r="C45" s="289">
        <f ca="1">C46</f>
        <v>23040615</v>
      </c>
      <c r="D45" s="279">
        <f ca="1">C47</f>
        <v>1.5E-3</v>
      </c>
      <c r="E45" s="280" t="s">
        <v>2398</v>
      </c>
      <c r="F45" s="290"/>
      <c r="G45" s="291" t="s">
        <v>2407</v>
      </c>
    </row>
    <row r="46" spans="1:7" s="258" customFormat="1" ht="13.5" customHeight="1">
      <c r="A46" s="951" t="s">
        <v>791</v>
      </c>
      <c r="B46" s="292" t="s">
        <v>2408</v>
      </c>
      <c r="C46" s="293">
        <f ca="1">ROUND((C33+C39)*F27,0)</f>
        <v>23040615</v>
      </c>
      <c r="D46" s="307"/>
      <c r="E46" s="280"/>
      <c r="F46" s="290"/>
      <c r="G46" s="291"/>
    </row>
    <row r="47" spans="1:7" s="258" customFormat="1" ht="13.5" customHeight="1">
      <c r="A47" s="951" t="s">
        <v>792</v>
      </c>
      <c r="B47" s="292" t="s">
        <v>2409</v>
      </c>
      <c r="C47" s="282">
        <f ca="1">ROUND(C40*F27,4)</f>
        <v>1.5E-3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284444386</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284444386</v>
      </c>
      <c r="D51" s="276"/>
      <c r="E51" s="276"/>
      <c r="F51" s="308"/>
      <c r="G51" s="278" t="s">
        <v>2419</v>
      </c>
    </row>
    <row r="52" spans="1:7" s="252" customFormat="1" ht="16.8" thickBot="1">
      <c r="A52" s="309" t="s">
        <v>2420</v>
      </c>
      <c r="B52" s="310"/>
      <c r="C52" s="311">
        <f ca="1">C31+C51</f>
        <v>303716802</v>
      </c>
      <c r="D52" s="310"/>
      <c r="E52" s="310"/>
      <c r="F52" s="310"/>
      <c r="G52" s="312"/>
    </row>
    <row r="55" spans="1:7" ht="15">
      <c r="B55" s="314" t="s">
        <v>2421</v>
      </c>
      <c r="C55" s="315"/>
    </row>
    <row r="56" spans="1:7">
      <c r="B56" s="317" t="s">
        <v>1508</v>
      </c>
      <c r="C56" s="319">
        <f ca="1">1-C57</f>
        <v>6.2999999999999945E-2</v>
      </c>
    </row>
    <row r="57" spans="1:7">
      <c r="B57" s="317" t="s">
        <v>1509</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3" sqref="M23"/>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2453</v>
      </c>
      <c r="B1" s="1580"/>
      <c r="C1" s="1581"/>
      <c r="D1" s="1579"/>
      <c r="E1" s="320"/>
      <c r="F1" s="320"/>
      <c r="G1" s="1580"/>
      <c r="H1" s="320"/>
      <c r="I1" s="320"/>
      <c r="J1" s="320"/>
      <c r="K1" s="320">
        <f>MATCH(C1,'数据-取费表'!A6:A16,0)+5</f>
        <v>8</v>
      </c>
    </row>
    <row r="2" spans="1:33" ht="18" customHeight="1">
      <c r="A2" s="245" t="s">
        <v>2321</v>
      </c>
      <c r="B2" s="248">
        <f ca="1">C32</f>
        <v>189594</v>
      </c>
      <c r="C2" s="320" t="s">
        <v>2454</v>
      </c>
      <c r="D2" s="320"/>
      <c r="E2" s="320"/>
      <c r="F2" s="320"/>
      <c r="G2" s="320"/>
      <c r="H2" s="320"/>
      <c r="I2" s="320"/>
      <c r="J2" s="320"/>
      <c r="K2" s="320"/>
    </row>
    <row r="3" spans="1:33" ht="18" customHeight="1" thickBot="1">
      <c r="A3" s="247" t="s">
        <v>2323</v>
      </c>
      <c r="B3" s="248">
        <f ca="1">ROUND(B2*10000/IF(C1="",'数据-汇总表'!E3,INDIRECT("'数据-取费表'!K"&amp;$K$1)),0)</f>
        <v>45502</v>
      </c>
      <c r="C3" s="320" t="s">
        <v>2455</v>
      </c>
      <c r="D3" s="320"/>
      <c r="E3" s="320"/>
      <c r="F3" s="320"/>
      <c r="G3" s="320"/>
      <c r="H3" s="320"/>
      <c r="I3" s="320"/>
      <c r="J3" s="320"/>
      <c r="K3" s="320"/>
    </row>
    <row r="4" spans="1:33" s="956" customFormat="1" ht="16.5" customHeight="1">
      <c r="A4" s="953" t="s">
        <v>2456</v>
      </c>
      <c r="B4" s="954"/>
      <c r="C4" s="996">
        <f ca="1">SUM(C8:K8)</f>
        <v>242748</v>
      </c>
      <c r="D4" s="954"/>
      <c r="E4" s="954"/>
      <c r="F4" s="954"/>
      <c r="G4" s="954"/>
      <c r="H4" s="954"/>
      <c r="I4" s="954"/>
      <c r="J4" s="954"/>
      <c r="K4" s="955"/>
    </row>
    <row r="5" spans="1:33" s="960" customFormat="1" ht="14.4">
      <c r="A5" s="957" t="s">
        <v>2457</v>
      </c>
      <c r="B5" s="958" t="s">
        <v>2458</v>
      </c>
      <c r="C5" s="2554" t="s">
        <v>3117</v>
      </c>
      <c r="D5" s="2554" t="s">
        <v>1373</v>
      </c>
      <c r="E5" s="2554"/>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f>'比较法-住宅'!B3</f>
        <v>57997</v>
      </c>
      <c r="D6" s="962">
        <f ca="1">收益法!B3</f>
        <v>61882</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38862.989800000003</v>
      </c>
      <c r="D7" s="321">
        <f>SUMIF('数据-汇总表'!$C19:$C33,假设开发法!D5,'数据-汇总表'!$E19:$E33)</f>
        <v>2804.3640999999993</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2462</v>
      </c>
      <c r="B8" s="177" t="s">
        <v>2463</v>
      </c>
      <c r="C8" s="997">
        <f>'比较法-住宅'!B2</f>
        <v>225394</v>
      </c>
      <c r="D8" s="997">
        <f ca="1">收益法!B2</f>
        <v>17354</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1330</v>
      </c>
      <c r="B11" s="972" t="s">
        <v>2471</v>
      </c>
      <c r="C11" s="323">
        <f ca="1">IF(C1="",'数据-取费表'!P16,INDIRECT("'数据-取费表'!p"&amp;$K$1)+INDIRECT("'数据-取费表'!ar"&amp;$K$1))</f>
        <v>10482</v>
      </c>
      <c r="D11" s="973"/>
      <c r="E11" s="375"/>
      <c r="F11" s="974">
        <f ca="1">1-IF('数据-取费表'!B24=0,1,IF(C1="",'数据-取费表'!N16,INDIRECT("'数据-取费表'!n"&amp;$K$1)))</f>
        <v>0.51</v>
      </c>
      <c r="G11" s="8"/>
      <c r="H11" s="968"/>
      <c r="I11" s="968"/>
      <c r="J11" s="968"/>
      <c r="K11" s="969"/>
    </row>
    <row r="12" spans="1:33" s="975" customFormat="1" ht="13.5" customHeight="1">
      <c r="A12" s="971" t="s">
        <v>1331</v>
      </c>
      <c r="B12" s="972" t="s">
        <v>2472</v>
      </c>
      <c r="C12" s="24">
        <f ca="1">ROUND(C11*F12,0)</f>
        <v>314</v>
      </c>
      <c r="D12" s="973"/>
      <c r="E12" s="375"/>
      <c r="F12" s="976">
        <f>'数据-取费表'!B33</f>
        <v>0.03</v>
      </c>
      <c r="G12" s="8" t="s">
        <v>2473</v>
      </c>
      <c r="H12" s="968"/>
      <c r="I12" s="968"/>
      <c r="J12" s="968"/>
      <c r="K12" s="969"/>
    </row>
    <row r="13" spans="1:33" s="975" customFormat="1" ht="13.5" customHeight="1">
      <c r="A13" s="971" t="s">
        <v>1332</v>
      </c>
      <c r="B13" s="972" t="s">
        <v>2474</v>
      </c>
      <c r="C13" s="24">
        <f ca="1">ROUND(IF(C1="",SUMIF('数据-取费表'!C:C,"住宅",'数据-取费表'!P:P)*F13,IF(INDIRECT("'数据-取费表'!c"&amp;$K$1)="住宅",INDIRECT("'数据-取费表'!P"&amp;$K$1)*F13,0)),0)</f>
        <v>198</v>
      </c>
      <c r="D13" s="1033"/>
      <c r="E13" s="375"/>
      <c r="F13" s="976">
        <f>'数据-取费表'!B34</f>
        <v>0.02</v>
      </c>
      <c r="G13" s="8" t="s">
        <v>2475</v>
      </c>
      <c r="H13" s="968"/>
      <c r="I13" s="968"/>
      <c r="J13" s="968"/>
      <c r="K13" s="969"/>
    </row>
    <row r="14" spans="1:33" s="977" customFormat="1" ht="13.5" customHeight="1">
      <c r="A14" s="971" t="s">
        <v>1333</v>
      </c>
      <c r="B14" s="972" t="s">
        <v>2476</v>
      </c>
      <c r="C14" s="24">
        <f ca="1">ROUND(D14*E14*F11/10000,0)</f>
        <v>425</v>
      </c>
      <c r="D14" s="1033">
        <f ca="1">IF(C1="",'数据-汇总表'!E3,INDIRECT("'数据-取费表'!K"&amp;$K$1)+INDIRECT("'数据-取费表'!S"&amp;$K$1))</f>
        <v>41667.353900000002</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2478</v>
      </c>
      <c r="C15" s="983">
        <f ca="1">ROUND(C11*F15,0)</f>
        <v>157</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11576</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41667.353900000002</v>
      </c>
      <c r="E17" s="24">
        <f>'数据-取费表'!B32</f>
        <v>0</v>
      </c>
      <c r="F17" s="978"/>
      <c r="G17" s="140" t="s">
        <v>2482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2483</v>
      </c>
      <c r="C18" s="24">
        <f ca="1">C19+C20-IF(C1="",'数据-取费表'!B29,IF(G18="已全部缴纳",C19+C20,H18))</f>
        <v>0</v>
      </c>
      <c r="D18" s="1033"/>
      <c r="E18" s="24"/>
      <c r="F18" s="976"/>
      <c r="G18" s="2556" t="s">
        <v>3224</v>
      </c>
      <c r="H18" s="1576"/>
      <c r="I18" s="2557" t="s">
        <v>2484</v>
      </c>
      <c r="J18" s="979"/>
      <c r="K18" s="980"/>
    </row>
    <row r="19" spans="1:33" s="975" customFormat="1" ht="13.5" customHeight="1">
      <c r="A19" s="971" t="s">
        <v>805</v>
      </c>
      <c r="B19" s="972" t="s">
        <v>2485</v>
      </c>
      <c r="C19" s="24">
        <f ca="1">ROUND(D19*E19/10000,0)</f>
        <v>793</v>
      </c>
      <c r="D19" s="1033">
        <f ca="1">IF(C1="",'数据-汇总表'!E5,IF(INDIRECT("'数据-取费表'!c"&amp;$K$1)="住宅",INDIRECT("'数据-取费表'!k"&amp;$K$1),0))</f>
        <v>38862.989800000003</v>
      </c>
      <c r="E19" s="24">
        <f>'数据-取费表'!B27</f>
        <v>204</v>
      </c>
      <c r="F19" s="976"/>
      <c r="G19" s="15"/>
      <c r="H19" s="1578"/>
      <c r="I19" s="981"/>
      <c r="J19" s="981"/>
      <c r="K19" s="982"/>
    </row>
    <row r="20" spans="1:33" s="975" customFormat="1" ht="13.5" customHeight="1">
      <c r="A20" s="971" t="s">
        <v>806</v>
      </c>
      <c r="B20" s="972" t="s">
        <v>2486</v>
      </c>
      <c r="C20" s="24">
        <f ca="1">ROUND(D20*E20/10000,0)</f>
        <v>57</v>
      </c>
      <c r="D20" s="1033">
        <f ca="1">IF(C1="",'数据-汇总表'!E6,IF(INDIRECT("'数据-取费表'!c"&amp;$K$1)="住宅",INDIRECT("'数据-取费表'!s"&amp;$K$1),INDIRECT("'数据-取费表'!k"&amp;$K$1)+INDIRECT("'数据-取费表'!s"&amp;$K$1)))</f>
        <v>2804.3640999999989</v>
      </c>
      <c r="E20" s="24">
        <f>'数据-取费表'!B28</f>
        <v>204</v>
      </c>
      <c r="F20" s="976"/>
      <c r="G20" s="15"/>
      <c r="H20" s="981"/>
      <c r="I20" s="981"/>
      <c r="J20" s="981"/>
      <c r="K20" s="982"/>
    </row>
    <row r="21" spans="1:33" s="975" customFormat="1" ht="13.5" customHeight="1">
      <c r="A21" s="961" t="s">
        <v>802</v>
      </c>
      <c r="B21" s="985" t="s">
        <v>2487</v>
      </c>
      <c r="C21" s="986">
        <f ca="1">C16+C17+C18</f>
        <v>11576</v>
      </c>
      <c r="D21" s="987"/>
      <c r="E21" s="325"/>
      <c r="F21" s="325"/>
      <c r="G21" s="140" t="s">
        <v>2488</v>
      </c>
      <c r="H21" s="979"/>
      <c r="I21" s="979"/>
      <c r="J21" s="979"/>
      <c r="K21" s="980"/>
    </row>
    <row r="22" spans="1:33" s="975" customFormat="1" ht="13.5" customHeight="1">
      <c r="A22" s="961" t="s">
        <v>2460</v>
      </c>
      <c r="B22" s="985" t="s">
        <v>2489</v>
      </c>
      <c r="C22" s="986">
        <f ca="1">ROUND(C21*F22,0)</f>
        <v>174</v>
      </c>
      <c r="D22" s="325"/>
      <c r="E22" s="325"/>
      <c r="F22" s="988">
        <f>'数据-取费表'!B37</f>
        <v>1.4999999999999999E-2</v>
      </c>
      <c r="G22" s="8" t="s">
        <v>2490</v>
      </c>
      <c r="H22" s="968"/>
      <c r="I22" s="968"/>
      <c r="J22" s="968"/>
      <c r="K22" s="969"/>
    </row>
    <row r="23" spans="1:33" s="975" customFormat="1" ht="13.5" customHeight="1">
      <c r="A23" s="961" t="s">
        <v>2462</v>
      </c>
      <c r="B23" s="985" t="s">
        <v>2491</v>
      </c>
      <c r="C23" s="986">
        <f ca="1">ROUND(C4*F23*F11,0)</f>
        <v>1857</v>
      </c>
      <c r="D23" s="325"/>
      <c r="E23" s="325"/>
      <c r="F23" s="988">
        <f>'数据-取费表'!B38</f>
        <v>1.4999999999999999E-2</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326</v>
      </c>
      <c r="D25" s="324">
        <f ca="1">C26</f>
        <v>4.99E-2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4.99E-2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326</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2500</v>
      </c>
      <c r="B28" s="2559" t="s">
        <v>2501</v>
      </c>
      <c r="C28" s="331">
        <f ca="1">C30</f>
        <v>1361</v>
      </c>
      <c r="D28" s="324">
        <f ca="1">C29</f>
        <v>5.2499999999999998E-2</v>
      </c>
      <c r="E28" s="326" t="s">
        <v>15</v>
      </c>
      <c r="F28" s="332">
        <f ca="1">IF(C1="",'数据-取费表'!Q16,INDIRECT("'数据-取费表'!q"&amp;$K$1))</f>
        <v>0.1</v>
      </c>
      <c r="G28" s="989"/>
      <c r="H28" s="990"/>
      <c r="I28" s="990"/>
      <c r="J28" s="990"/>
      <c r="K28" s="991"/>
    </row>
    <row r="29" spans="1:33" s="335" customFormat="1" ht="13.5" customHeight="1">
      <c r="A29" s="971" t="s">
        <v>803</v>
      </c>
      <c r="B29" s="994" t="s">
        <v>2502</v>
      </c>
      <c r="C29" s="328">
        <f ca="1">ROUND((1+C24)*F28*'数据-取费表'!B24/'数据-取费表'!B20,4)</f>
        <v>5.2499999999999998E-2</v>
      </c>
      <c r="D29" s="328"/>
      <c r="E29" s="329"/>
      <c r="F29" s="334"/>
      <c r="G29" s="140" t="s">
        <v>2503</v>
      </c>
      <c r="H29" s="979"/>
      <c r="I29" s="979"/>
      <c r="J29" s="979"/>
      <c r="K29" s="980"/>
    </row>
    <row r="30" spans="1:33" s="335" customFormat="1" ht="13.5" customHeight="1">
      <c r="A30" s="971" t="s">
        <v>804</v>
      </c>
      <c r="B30" s="994" t="s">
        <v>2504</v>
      </c>
      <c r="C30" s="336">
        <f ca="1">ROUND((C21+C22+C23)*F28,0)</f>
        <v>1361</v>
      </c>
      <c r="D30" s="328"/>
      <c r="E30" s="329"/>
      <c r="F30" s="334"/>
      <c r="G30" s="140"/>
      <c r="H30" s="979"/>
      <c r="I30" s="979"/>
      <c r="J30" s="979"/>
      <c r="K30" s="980"/>
    </row>
    <row r="31" spans="1:33" s="975" customFormat="1" ht="13.5" customHeight="1" thickBot="1">
      <c r="A31" s="2560" t="s">
        <v>2505</v>
      </c>
      <c r="B31" s="1005" t="s">
        <v>2506</v>
      </c>
      <c r="C31" s="1006">
        <f ca="1">ROUND(C4*F31/(1+'数据-取费表'!C42),0)</f>
        <v>12947</v>
      </c>
      <c r="D31" s="1007"/>
      <c r="E31" s="1008"/>
      <c r="F31" s="1009">
        <f>'数据-取费表'!B41</f>
        <v>5.6000000000000001E-2</v>
      </c>
      <c r="G31" s="1010" t="s">
        <v>2507</v>
      </c>
      <c r="H31" s="1011"/>
      <c r="I31" s="1011"/>
      <c r="J31" s="1011"/>
      <c r="K31" s="1012"/>
    </row>
    <row r="32" spans="1:33" s="970" customFormat="1" ht="13.5" customHeight="1" thickBot="1">
      <c r="A32" s="1000" t="s">
        <v>2508</v>
      </c>
      <c r="B32" s="1001"/>
      <c r="C32" s="1002">
        <f ca="1">ROUND((C4-C21-C22-C23-C25-C28-C31)/(1+C24+D25+D28),0)</f>
        <v>189594</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3" sqref="A1:F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t="s">
        <v>1373</v>
      </c>
      <c r="D1" s="1819" t="s">
        <v>3175</v>
      </c>
      <c r="E1" s="1820" t="s">
        <v>1382</v>
      </c>
      <c r="F1" s="1283">
        <f ca="1">J53</f>
        <v>23.98</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17354</v>
      </c>
      <c r="C2" s="1844" t="s">
        <v>1511</v>
      </c>
      <c r="D2" s="1844"/>
      <c r="E2" s="1845"/>
      <c r="F2" s="1846"/>
      <c r="G2" s="1847"/>
      <c r="H2" s="1839"/>
      <c r="I2" s="1839"/>
      <c r="J2" s="1839"/>
      <c r="K2" s="1840"/>
      <c r="L2" s="1839"/>
      <c r="M2" s="1839"/>
    </row>
    <row r="3" spans="1:37" ht="18" customHeight="1" thickBot="1">
      <c r="A3" s="1848" t="s">
        <v>1512</v>
      </c>
      <c r="B3" s="1849">
        <f ca="1">IF(ISERROR(B2*10000/F43),0,ROUND(B2*10000/F43,0))</f>
        <v>61882</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1171</v>
      </c>
      <c r="D5" s="1821" t="s">
        <v>1397</v>
      </c>
      <c r="E5" s="1293"/>
      <c r="F5" s="1294"/>
      <c r="G5" s="1850"/>
      <c r="H5" s="344">
        <v>1</v>
      </c>
      <c r="I5" s="345" t="s">
        <v>1396</v>
      </c>
      <c r="J5" s="1292">
        <f ca="1">J6+J10+J12</f>
        <v>0</v>
      </c>
      <c r="K5" s="1821" t="s">
        <v>1397</v>
      </c>
      <c r="L5" s="1293"/>
      <c r="M5" s="1294"/>
    </row>
    <row r="6" spans="1:37" ht="18" customHeight="1">
      <c r="A6" s="1291" t="s">
        <v>1032</v>
      </c>
      <c r="B6" s="3177" t="s">
        <v>1398</v>
      </c>
      <c r="C6" s="1296">
        <f ca="1">ROUND(F6*F8*F7*(1-F9)/10000,0)</f>
        <v>1170</v>
      </c>
      <c r="D6" s="164" t="s">
        <v>3023</v>
      </c>
      <c r="E6" s="347" t="s">
        <v>1400</v>
      </c>
      <c r="F6" s="348">
        <f ca="1">INDIRECT("'数据-取费表'!u"&amp;$G$1)</f>
        <v>12.7</v>
      </c>
      <c r="G6" s="1850"/>
      <c r="H6" s="1291" t="s">
        <v>1032</v>
      </c>
      <c r="I6" s="3177" t="s">
        <v>1398</v>
      </c>
      <c r="J6" s="346">
        <f ca="1">ROUND(M6*M8*M7*(1-M9)/10000,0)</f>
        <v>0</v>
      </c>
      <c r="K6" s="164" t="s">
        <v>3022</v>
      </c>
      <c r="L6" s="347" t="s">
        <v>1400</v>
      </c>
      <c r="M6" s="348">
        <f ca="1">INDIRECT("'数据-取费表'!z"&amp;$G$1)</f>
        <v>0</v>
      </c>
    </row>
    <row r="7" spans="1:37" ht="18" customHeight="1">
      <c r="A7" s="1295"/>
      <c r="B7" s="3178"/>
      <c r="C7" s="1297"/>
      <c r="D7" s="352"/>
      <c r="E7" s="1298" t="s">
        <v>1401</v>
      </c>
      <c r="F7" s="348">
        <f ca="1">IF(INDIRECT("'数据-取费表'!ah"&amp;$G$1)="",INDIRECT("'数据-取费表'!k"&amp;$G$1),INDIRECT("'数据-取费表'!ah"&amp;$G$1))</f>
        <v>2804.3640999999993</v>
      </c>
      <c r="G7" s="1850"/>
      <c r="H7" s="349"/>
      <c r="I7" s="3178"/>
      <c r="J7" s="351"/>
      <c r="K7" s="352"/>
      <c r="L7" s="347" t="s">
        <v>1401</v>
      </c>
      <c r="M7" s="348">
        <f ca="1">F7</f>
        <v>2804.3640999999993</v>
      </c>
    </row>
    <row r="8" spans="1:37" ht="18" customHeight="1">
      <c r="A8" s="349"/>
      <c r="B8" s="3178"/>
      <c r="C8" s="351"/>
      <c r="D8" s="352"/>
      <c r="E8" s="347" t="s">
        <v>1402</v>
      </c>
      <c r="F8" s="348">
        <f ca="1">INDIRECT("'数据-取费表'!ai"&amp;$G$1)</f>
        <v>365</v>
      </c>
      <c r="G8" s="1850"/>
      <c r="H8" s="349"/>
      <c r="I8" s="3178"/>
      <c r="J8" s="351"/>
      <c r="K8" s="352"/>
      <c r="L8" s="347" t="s">
        <v>1402</v>
      </c>
      <c r="M8" s="348">
        <f ca="1">INDIRECT("'数据-取费表'!ai"&amp;$G$1)</f>
        <v>365</v>
      </c>
    </row>
    <row r="9" spans="1:37" ht="18" customHeight="1">
      <c r="A9" s="349"/>
      <c r="B9" s="3179"/>
      <c r="C9" s="351"/>
      <c r="D9" s="352"/>
      <c r="E9" s="347" t="s">
        <v>1403</v>
      </c>
      <c r="F9" s="357">
        <f ca="1">INDIRECT("'数据-取费表'!w"&amp;$G$1)</f>
        <v>0.1</v>
      </c>
      <c r="G9" s="1850"/>
      <c r="H9" s="349"/>
      <c r="I9" s="3179"/>
      <c r="J9" s="351"/>
      <c r="K9" s="352"/>
      <c r="L9" s="358" t="s">
        <v>1403</v>
      </c>
      <c r="M9" s="359">
        <f ca="1">INDIRECT("'数据-取费表'!ab"&amp;$G$1)</f>
        <v>0</v>
      </c>
    </row>
    <row r="10" spans="1:37" ht="18" customHeight="1">
      <c r="A10" s="1291" t="s">
        <v>1036</v>
      </c>
      <c r="B10" s="1822" t="s">
        <v>1404</v>
      </c>
      <c r="C10" s="361">
        <f ca="1">ROUND(IF(F10="押一",C6/12*F11,IF(F10="押二",C6/12*2*F11,IF(F10="押三",C6/12*3*F11,C11*F11))),0)</f>
        <v>1</v>
      </c>
      <c r="D10" s="1823" t="s">
        <v>3032</v>
      </c>
      <c r="E10" s="358" t="s">
        <v>1405</v>
      </c>
      <c r="F10" s="1366" t="s">
        <v>3176</v>
      </c>
      <c r="G10" s="1850"/>
      <c r="H10" s="1291" t="s">
        <v>1036</v>
      </c>
      <c r="I10" s="1822" t="s">
        <v>1404</v>
      </c>
      <c r="J10" s="346">
        <f ca="1">ROUND(IF(M10="押一",J6/12*M11,IF(M10="押二",J6/12*2*M11,IF(M10="押三",J6/12*3*M11,J11*M11))),0)</f>
        <v>0</v>
      </c>
      <c r="K10" s="1823" t="s">
        <v>3031</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1608</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1122</v>
      </c>
      <c r="D14" s="1799" t="s">
        <v>1413</v>
      </c>
      <c r="E14" s="1793"/>
      <c r="F14" s="364"/>
      <c r="G14" s="1850"/>
      <c r="H14" s="1201" t="s">
        <v>1032</v>
      </c>
      <c r="I14" s="347" t="s">
        <v>1414</v>
      </c>
      <c r="J14" s="24">
        <f ca="1">C29</f>
        <v>1608</v>
      </c>
      <c r="K14" s="15"/>
      <c r="L14" s="979"/>
      <c r="M14" s="980"/>
    </row>
    <row r="15" spans="1:37" s="1857" customFormat="1" ht="18" customHeight="1" thickBot="1">
      <c r="A15" s="1201" t="s">
        <v>1033</v>
      </c>
      <c r="B15" s="347" t="s">
        <v>1415</v>
      </c>
      <c r="C15" s="24">
        <f ca="1">ROUND(C14*F15,0)</f>
        <v>34</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31</v>
      </c>
      <c r="K16" s="1337" t="s">
        <v>1420</v>
      </c>
      <c r="L16" s="1338"/>
      <c r="M16" s="1294"/>
    </row>
    <row r="17" spans="1:37" s="1857" customFormat="1" ht="18" customHeight="1">
      <c r="A17" s="1201" t="s">
        <v>1385</v>
      </c>
      <c r="B17" s="347" t="s">
        <v>1421</v>
      </c>
      <c r="C17" s="24">
        <f ca="1">ROUND(F17*(F43+INDIRECT("'数据-取费表'!S"&amp;$G$1))/10000,0)</f>
        <v>56</v>
      </c>
      <c r="D17" s="347" t="s">
        <v>1422</v>
      </c>
      <c r="E17" s="347" t="s">
        <v>1423</v>
      </c>
      <c r="F17" s="26">
        <f>'数据-取费表'!B35</f>
        <v>200</v>
      </c>
      <c r="G17" s="1853"/>
      <c r="H17" s="1201" t="s">
        <v>1032</v>
      </c>
      <c r="I17" s="347" t="s">
        <v>1424</v>
      </c>
      <c r="J17" s="24">
        <f ca="1">ROUND(IF(项目基本情况!B11="自然人",J6*M17/(1+'数据-取费表'!C42),J18+J19+J20),1)</f>
        <v>15.1</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17</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1229</v>
      </c>
      <c r="D19" s="140" t="s">
        <v>1431</v>
      </c>
      <c r="E19" s="1817"/>
      <c r="F19" s="26"/>
      <c r="G19" s="1850"/>
      <c r="H19" s="1201" t="s">
        <v>1033</v>
      </c>
      <c r="I19" s="347" t="s">
        <v>1432</v>
      </c>
      <c r="J19" s="24">
        <f ca="1">IF(K19="按租金收入计税",ROUND(J6*M19/(1+'数据-取费表'!C42),2),ROUND(C29*M19*0.7,2))</f>
        <v>13.51</v>
      </c>
      <c r="K19" s="1827" t="s">
        <v>1433</v>
      </c>
      <c r="L19" s="347" t="s">
        <v>1417</v>
      </c>
      <c r="M19" s="367">
        <f>IF(K19="按租金收入计税",'数据-取费表'!B51,'数据-取费表'!B50)</f>
        <v>1.2E-2</v>
      </c>
    </row>
    <row r="20" spans="1:37" s="1857" customFormat="1" ht="18" customHeight="1">
      <c r="A20" s="1201" t="s">
        <v>1036</v>
      </c>
      <c r="B20" s="347" t="s">
        <v>1434</v>
      </c>
      <c r="C20" s="24">
        <f ca="1">ROUND(C19*F20,0)</f>
        <v>18</v>
      </c>
      <c r="D20" s="369" t="s">
        <v>1435</v>
      </c>
      <c r="E20" s="347" t="s">
        <v>1417</v>
      </c>
      <c r="F20" s="367">
        <f>'数据-取费表'!B37</f>
        <v>1.4999999999999999E-2</v>
      </c>
      <c r="G20" s="1853"/>
      <c r="H20" s="1201" t="s">
        <v>1384</v>
      </c>
      <c r="I20" s="164" t="s">
        <v>1436</v>
      </c>
      <c r="J20" s="25">
        <f ca="1">ROUND(M20*M21/10000,2)</f>
        <v>1.56</v>
      </c>
      <c r="K20" s="370" t="s">
        <v>1437</v>
      </c>
      <c r="L20" s="347" t="s">
        <v>1438</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1.4999999999999999E-2</v>
      </c>
      <c r="G21" s="1853"/>
      <c r="H21" s="372"/>
      <c r="I21" s="356"/>
      <c r="J21" s="29"/>
      <c r="K21" s="373"/>
      <c r="L21" s="347" t="s">
        <v>1442</v>
      </c>
      <c r="M21" s="348">
        <f ca="1">INDIRECT("'数据-取费表'!r"&amp;$G$1)</f>
        <v>1302.31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16.100000000000001</v>
      </c>
      <c r="K22" s="1797" t="s">
        <v>1445</v>
      </c>
      <c r="L22" s="347" t="s">
        <v>1417</v>
      </c>
      <c r="M22" s="374">
        <f ca="1">INDIRECT("'数据-取费表'!Ak"&amp;$G$1)</f>
        <v>0.01</v>
      </c>
    </row>
    <row r="23" spans="1:37" s="1857" customFormat="1" ht="18" customHeight="1">
      <c r="A23" s="1201" t="s">
        <v>1031</v>
      </c>
      <c r="B23" s="347" t="s">
        <v>1446</v>
      </c>
      <c r="C23" s="24">
        <f ca="1">IF('数据-取费表'!B22&lt;=1,ROUND(C19*F24*F23/2,0)+ROUND(C20*F24*F23/2,0),ROUND(C19*(POWER((1+F24),F23/2)-1),0)+ROUND(C20*(POWER((1+F24),F23/2)-1),0))</f>
        <v>59</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-31</v>
      </c>
      <c r="K25" s="1345" t="s">
        <v>1459</v>
      </c>
      <c r="L25" s="1346"/>
      <c r="M25" s="1347"/>
    </row>
    <row r="26" spans="1:37">
      <c r="A26" s="1201" t="s">
        <v>1031</v>
      </c>
      <c r="B26" s="347" t="s">
        <v>1460</v>
      </c>
      <c r="C26" s="24">
        <f ca="1">ROUND((C19+C20)*F26,0)</f>
        <v>187</v>
      </c>
      <c r="D26" s="369" t="s">
        <v>1461</v>
      </c>
      <c r="E26" s="358" t="s">
        <v>1462</v>
      </c>
      <c r="F26" s="357">
        <f ca="1">INDIRECT("'数据-取费表'!q"&amp;$G$1)</f>
        <v>0.15</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2.3E-3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1608</v>
      </c>
      <c r="D29" s="1342"/>
      <c r="E29" s="1340"/>
      <c r="F29" s="1343"/>
      <c r="G29" s="1853"/>
      <c r="H29" s="380" t="s">
        <v>1030</v>
      </c>
      <c r="I29" s="381" t="s">
        <v>1474</v>
      </c>
      <c r="J29" s="382">
        <f ca="1">ROUND(J26/(1+F40)^F41,0)</f>
        <v>0</v>
      </c>
      <c r="K29" s="383" t="s">
        <v>1475</v>
      </c>
      <c r="L29" s="384"/>
      <c r="M29" s="385">
        <f ca="1">INDIRECT("'数据-取费表'!k"&amp;$G$1)</f>
        <v>2804.3640999999993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228</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197.7</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62.4</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133.71</v>
      </c>
      <c r="D33" s="1827" t="s">
        <v>3177</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1.56</v>
      </c>
      <c r="D34" s="370" t="s">
        <v>1437</v>
      </c>
      <c r="E34" s="347" t="s">
        <v>1438</v>
      </c>
      <c r="F34" s="371">
        <f>'数据-取费表'!B52</f>
        <v>12</v>
      </c>
      <c r="G34" s="1850"/>
      <c r="H34" s="745"/>
      <c r="I34" s="1859"/>
      <c r="J34" s="1860"/>
      <c r="K34" s="1862"/>
      <c r="L34" s="1863"/>
      <c r="M34" s="1863"/>
    </row>
    <row r="35" spans="1:18" ht="18" customHeight="1">
      <c r="A35" s="1353"/>
      <c r="B35" s="1351"/>
      <c r="C35" s="29"/>
      <c r="D35" s="373"/>
      <c r="E35" s="347" t="s">
        <v>1442</v>
      </c>
      <c r="F35" s="348">
        <f ca="1">INDIRECT("'数据-取费表'!r"&amp;$G$1)</f>
        <v>1302.31</v>
      </c>
      <c r="G35" s="1850"/>
      <c r="H35" s="745"/>
      <c r="I35" s="1859"/>
      <c r="J35" s="1860"/>
      <c r="K35" s="1861"/>
      <c r="L35" s="1858"/>
      <c r="M35" s="1858"/>
    </row>
    <row r="36" spans="1:18" ht="18" customHeight="1">
      <c r="A36" s="1352" t="s">
        <v>1036</v>
      </c>
      <c r="B36" s="347" t="s">
        <v>1444</v>
      </c>
      <c r="C36" s="24">
        <f ca="1">ROUND(C29*F36,1)</f>
        <v>16.100000000000001</v>
      </c>
      <c r="D36" s="1797" t="s">
        <v>1477</v>
      </c>
      <c r="E36" s="347" t="s">
        <v>1417</v>
      </c>
      <c r="F36" s="374">
        <f ca="1">INDIRECT("'数据-取费表'!Ak"&amp;$G$1)</f>
        <v>0.01</v>
      </c>
      <c r="G36" s="1850"/>
      <c r="H36" s="1858"/>
      <c r="I36" s="1859"/>
      <c r="J36" s="1860"/>
      <c r="K36" s="751"/>
      <c r="L36" s="1858"/>
      <c r="M36" s="1858"/>
    </row>
    <row r="37" spans="1:18" ht="18" customHeight="1">
      <c r="A37" s="1201" t="s">
        <v>1072</v>
      </c>
      <c r="B37" s="347" t="s">
        <v>1448</v>
      </c>
      <c r="C37" s="24">
        <f ca="1">ROUND(C13*F37,1)</f>
        <v>2.4</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11.7</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943</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17354</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23.98</v>
      </c>
      <c r="G41" s="1850"/>
      <c r="H41" s="732"/>
      <c r="I41" s="1859"/>
      <c r="J41" s="1860"/>
      <c r="K41" s="751"/>
      <c r="L41" s="732"/>
      <c r="M41" s="732"/>
    </row>
    <row r="42" spans="1:18" ht="18" customHeight="1">
      <c r="A42" s="353"/>
      <c r="B42" s="354"/>
      <c r="C42" s="355"/>
      <c r="D42" s="373"/>
      <c r="E42" s="347" t="s">
        <v>1472</v>
      </c>
      <c r="F42" s="357">
        <f ca="1">INDIRECT("'数据-取费表'!v"&amp;$G$1)</f>
        <v>3.5000000000000003E-2</v>
      </c>
      <c r="G42" s="1850"/>
      <c r="H42" s="732"/>
      <c r="I42" s="1859"/>
      <c r="J42" s="1860"/>
      <c r="K42" s="751"/>
      <c r="L42" s="732"/>
      <c r="M42" s="732"/>
    </row>
    <row r="43" spans="1:18" ht="18" customHeight="1" thickBot="1">
      <c r="A43" s="380" t="s">
        <v>1030</v>
      </c>
      <c r="B43" s="381" t="s">
        <v>1482</v>
      </c>
      <c r="C43" s="382">
        <f ca="1">ROUND(C40*10000/F43,0)</f>
        <v>61882</v>
      </c>
      <c r="D43" s="383" t="s">
        <v>1483</v>
      </c>
      <c r="E43" s="384" t="s">
        <v>1484</v>
      </c>
      <c r="F43" s="385">
        <f ca="1">INDIRECT("'数据-取费表'!k"&amp;$G$1)</f>
        <v>2804.3640999999993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8" thickBot="1">
      <c r="A46" s="1869" t="s">
        <v>1515</v>
      </c>
      <c r="C46" s="1870">
        <f ca="1">C68-C40</f>
        <v>-19392</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8" thickBot="1">
      <c r="A47" s="1165" t="s">
        <v>1391</v>
      </c>
      <c r="B47" s="1197" t="s">
        <v>1392</v>
      </c>
      <c r="C47" s="1367" t="s">
        <v>1393</v>
      </c>
      <c r="D47" s="1197" t="s">
        <v>1394</v>
      </c>
      <c r="E47" s="1279" t="s">
        <v>1395</v>
      </c>
      <c r="F47" s="1280"/>
      <c r="G47" s="792"/>
      <c r="I47" s="1879" t="s">
        <v>1521</v>
      </c>
      <c r="J47" s="1880" t="s">
        <v>3178</v>
      </c>
      <c r="K47" s="1881" t="s">
        <v>1522</v>
      </c>
      <c r="L47" s="1882">
        <f ca="1">INDIRECT("'数据-取费表'!d"&amp;$G$1)</f>
        <v>40</v>
      </c>
      <c r="M47" s="1837" t="str">
        <f>IF(ISNUMBER(FIND("住宅",C1)),"住宅","非住宅")</f>
        <v>非住宅</v>
      </c>
      <c r="O47" s="1883" t="s">
        <v>1037</v>
      </c>
      <c r="P47" s="1884" t="s">
        <v>1523</v>
      </c>
      <c r="Q47" s="1885">
        <f ca="1">C40+J29</f>
        <v>17354</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t="s">
        <v>3179</v>
      </c>
      <c r="K48" s="1888" t="s">
        <v>1526</v>
      </c>
      <c r="L48" s="1889">
        <f ca="1">INDIRECT("'数据-取费表'!f"&amp;$G$1)</f>
        <v>25</v>
      </c>
      <c r="O48" s="1883" t="s">
        <v>1038</v>
      </c>
      <c r="P48" s="1884" t="s">
        <v>1527</v>
      </c>
      <c r="Q48" s="1885" t="str">
        <f ca="1">J60</f>
        <v>0</v>
      </c>
      <c r="R48" s="1885" t="s">
        <v>1528</v>
      </c>
    </row>
    <row r="49" spans="1:18" s="1841" customFormat="1" ht="13.8" thickBot="1">
      <c r="A49" s="1194" t="s">
        <v>1133</v>
      </c>
      <c r="B49" s="1828" t="s">
        <v>1485</v>
      </c>
      <c r="C49" s="1364">
        <f ca="1">ROUND(F49*F51*F50*(1-F52)/10000,0)</f>
        <v>0</v>
      </c>
      <c r="D49" s="1276" t="s">
        <v>3024</v>
      </c>
      <c r="E49" s="1829" t="s">
        <v>1486</v>
      </c>
      <c r="F49" s="1281"/>
      <c r="G49" s="1890"/>
      <c r="H49" s="793"/>
      <c r="I49" s="1886" t="s">
        <v>1529</v>
      </c>
      <c r="J49" s="1891">
        <v>2022</v>
      </c>
      <c r="K49" s="1888" t="s">
        <v>1530</v>
      </c>
      <c r="L49" s="1892"/>
      <c r="O49" s="1893" t="s">
        <v>1039</v>
      </c>
      <c r="P49" s="1884" t="s">
        <v>1531</v>
      </c>
      <c r="Q49" s="1885">
        <f ca="1">C29</f>
        <v>1608</v>
      </c>
      <c r="R49" s="1885" t="s">
        <v>1524</v>
      </c>
    </row>
    <row r="50" spans="1:18" s="1841" customFormat="1" ht="13.8" thickBot="1">
      <c r="A50" s="1195"/>
      <c r="B50" s="1198"/>
      <c r="C50" s="1368"/>
      <c r="D50" s="1172"/>
      <c r="E50" s="1277" t="s">
        <v>1401</v>
      </c>
      <c r="F50" s="1278">
        <f ca="1">F7</f>
        <v>2804.3640999999993</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8" thickBot="1">
      <c r="A51" s="1196"/>
      <c r="B51" s="1198"/>
      <c r="C51" s="1199"/>
      <c r="D51" s="1172"/>
      <c r="E51" s="1200" t="s">
        <v>1402</v>
      </c>
      <c r="F51" s="348">
        <f ca="1">F8</f>
        <v>365</v>
      </c>
      <c r="I51" s="1897" t="s">
        <v>1535</v>
      </c>
      <c r="J51" s="1898">
        <f>IF(J49="",J50,J49+J50-YEAR('数据-取费表'!B2))</f>
        <v>63</v>
      </c>
      <c r="K51" s="1899" t="s">
        <v>1536</v>
      </c>
      <c r="L51" s="1900">
        <f ca="1">ROUND(-PV(INDIRECT("'数据-取费表'!h"&amp;$G$1),L48,(C39-C13*C76),0),0)</f>
        <v>11364</v>
      </c>
      <c r="M51" s="1901"/>
      <c r="O51" s="1893" t="s">
        <v>1041</v>
      </c>
      <c r="P51" s="1884" t="s">
        <v>1537</v>
      </c>
      <c r="Q51" s="1896">
        <f>J52</f>
        <v>0.09</v>
      </c>
      <c r="R51" s="1885"/>
    </row>
    <row r="52" spans="1:18" s="1841" customFormat="1" ht="13.8" thickBot="1">
      <c r="A52" s="1196"/>
      <c r="B52" s="1198"/>
      <c r="C52" s="1199"/>
      <c r="D52" s="1172"/>
      <c r="E52" s="1200" t="s">
        <v>1403</v>
      </c>
      <c r="F52" s="1275"/>
      <c r="I52" s="1902" t="s">
        <v>1538</v>
      </c>
      <c r="J52" s="1903">
        <v>0.09</v>
      </c>
      <c r="K52" s="1902" t="s">
        <v>1539</v>
      </c>
      <c r="L52" s="1903"/>
      <c r="O52" s="1893" t="s">
        <v>1042</v>
      </c>
      <c r="P52" s="1884" t="s">
        <v>1540</v>
      </c>
      <c r="Q52" s="1885">
        <f ca="1">J53</f>
        <v>23.98</v>
      </c>
      <c r="R52" s="1885" t="s">
        <v>1541</v>
      </c>
    </row>
    <row r="53" spans="1:18" s="1841" customFormat="1" ht="36.6" thickBot="1">
      <c r="A53" s="1405" t="s">
        <v>1134</v>
      </c>
      <c r="B53" s="1830" t="s">
        <v>1404</v>
      </c>
      <c r="C53" s="361">
        <f ca="1">ROUND(IF(F53="押一",C49/12*F11,IF(F53="押二",C49/12*2*F11,IF(F53="押三",C49/12*3*F11,C54*F11))),0)</f>
        <v>0</v>
      </c>
      <c r="D53" s="1823" t="s">
        <v>3031</v>
      </c>
      <c r="E53" s="358" t="s">
        <v>1405</v>
      </c>
      <c r="F53" s="1366"/>
      <c r="I53" s="1904" t="s">
        <v>1542</v>
      </c>
      <c r="J53" s="2949">
        <f ca="1">IF(M47="住宅",IF(D1="——",MAX(J51,L48),MAX(J51,L48-'数据-取费表'!B24)),IF(D1="——",MIN(J51,L48),MIN(J51,L48-'数据-取费表'!B24)))</f>
        <v>23.98</v>
      </c>
      <c r="K53" s="3175" t="s">
        <v>1543</v>
      </c>
      <c r="L53" s="3176"/>
      <c r="O53" s="1883" t="s">
        <v>1043</v>
      </c>
      <c r="P53" s="1884" t="s">
        <v>1544</v>
      </c>
      <c r="Q53" s="1885">
        <f ca="1">Q47+Q48</f>
        <v>17354</v>
      </c>
      <c r="R53" s="1885" t="s">
        <v>1044</v>
      </c>
    </row>
    <row r="54" spans="1:18" s="1841" customFormat="1" ht="24.6"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8"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37.200000000000003" thickTop="1" thickBot="1">
      <c r="A56" s="1176">
        <v>2</v>
      </c>
      <c r="B56" s="1177" t="s">
        <v>1409</v>
      </c>
      <c r="C56" s="276">
        <f ca="1">C13</f>
        <v>1608</v>
      </c>
      <c r="D56" s="1912"/>
      <c r="E56" s="1913"/>
      <c r="F56" s="1905"/>
      <c r="I56" s="1914" t="s">
        <v>1549</v>
      </c>
      <c r="J56" s="1915" t="s">
        <v>3149</v>
      </c>
      <c r="K56" s="1886" t="s">
        <v>1550</v>
      </c>
      <c r="L56" s="1889" t="str">
        <f ca="1">IF(L48&lt;J51,"——",L48-J53)</f>
        <v>——</v>
      </c>
      <c r="O56" s="1883" t="s">
        <v>1037</v>
      </c>
      <c r="P56" s="1884" t="s">
        <v>1523</v>
      </c>
      <c r="Q56" s="1885">
        <f ca="1">C40+J29</f>
        <v>17354</v>
      </c>
      <c r="R56" s="1885" t="s">
        <v>1524</v>
      </c>
    </row>
    <row r="57" spans="1:18" s="1841" customFormat="1" ht="24.6" thickBot="1">
      <c r="A57" s="1916"/>
      <c r="B57" s="1169" t="s">
        <v>1473</v>
      </c>
      <c r="C57" s="282">
        <f ca="1">C29</f>
        <v>1608</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6" thickBot="1">
      <c r="A58" s="360" t="s">
        <v>1027</v>
      </c>
      <c r="B58" s="1177" t="s">
        <v>1419</v>
      </c>
      <c r="C58" s="361">
        <f ca="1">ROUND(C59+C64+C65+C66,0)</f>
        <v>155</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ROUND(IF(项目基本情况!B11="自然人",C48*F59,C60+C61+C62),1)</f>
        <v>136.6</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IF(项目基本情况!B11="自然人","——",IF(D61="按租金收入计税",ROUND(C48*F61,2),IF(D61="按房产原值计税",ROUND(C57*F61*0.7,2),INDIRECT("'数据-取费表'!Aj"&amp;$G$1))))</f>
        <v>135.07</v>
      </c>
      <c r="D61" s="1827" t="s">
        <v>1433</v>
      </c>
      <c r="E61" s="1169" t="s">
        <v>1489</v>
      </c>
      <c r="F61" s="367">
        <f t="shared" si="0"/>
        <v>0.12</v>
      </c>
      <c r="I61" s="1926"/>
      <c r="J61" s="1926"/>
      <c r="K61" s="1926"/>
      <c r="L61" s="1926"/>
      <c r="O61" s="1893" t="s">
        <v>1042</v>
      </c>
      <c r="P61" s="1884" t="str">
        <f>K59</f>
        <v>续建工期及建筑物耐用年限下的土地年期修正系数Kn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IF(项目基本情况!B11="自然人","——",ROUND(F62*F63/10000,2))</f>
        <v>1.56</v>
      </c>
      <c r="D62" s="1184" t="s">
        <v>1492</v>
      </c>
      <c r="E62" s="1169" t="s">
        <v>1493</v>
      </c>
      <c r="F62" s="371">
        <f t="shared" si="0"/>
        <v>12</v>
      </c>
      <c r="I62" s="1927" t="s">
        <v>1565</v>
      </c>
      <c r="J62" s="1928" t="s">
        <v>1566</v>
      </c>
      <c r="K62" s="1928" t="s">
        <v>1567</v>
      </c>
      <c r="L62" s="1928" t="s">
        <v>1568</v>
      </c>
      <c r="M62" s="1929" t="s">
        <v>1569</v>
      </c>
      <c r="O62" s="1883" t="s">
        <v>1043</v>
      </c>
      <c r="P62" s="1884" t="s">
        <v>1570</v>
      </c>
      <c r="Q62" s="1885">
        <f ca="1">Q56+Q57</f>
        <v>17354</v>
      </c>
      <c r="R62" s="1885" t="s">
        <v>1044</v>
      </c>
    </row>
    <row r="63" spans="1:18" s="1841" customFormat="1" ht="13.8" thickBot="1">
      <c r="A63" s="372"/>
      <c r="B63" s="1175"/>
      <c r="C63" s="29"/>
      <c r="D63" s="1185"/>
      <c r="E63" s="1169" t="s">
        <v>1494</v>
      </c>
      <c r="F63" s="348">
        <f t="shared" ca="1" si="0"/>
        <v>1302.31</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ROUND(C57*F64,1)</f>
        <v>16.100000000000001</v>
      </c>
      <c r="D64" s="1183" t="s">
        <v>1497</v>
      </c>
      <c r="E64" s="1169" t="s">
        <v>1489</v>
      </c>
      <c r="F64" s="374">
        <f t="shared" ca="1" si="0"/>
        <v>0.01</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ROUND(C56*F65,1)</f>
        <v>2.4</v>
      </c>
      <c r="D65" s="1183" t="s">
        <v>1449</v>
      </c>
      <c r="E65" s="1169" t="s">
        <v>1450</v>
      </c>
      <c r="F65" s="376">
        <f t="shared" ca="1" si="0"/>
        <v>1.5E-3</v>
      </c>
      <c r="I65" s="1927" t="s">
        <v>1574</v>
      </c>
      <c r="J65" s="1928">
        <v>40</v>
      </c>
      <c r="K65" s="1928">
        <v>30</v>
      </c>
      <c r="L65" s="1928">
        <v>50</v>
      </c>
      <c r="M65" s="1930">
        <v>0.02</v>
      </c>
      <c r="O65" s="1883" t="s">
        <v>1037</v>
      </c>
      <c r="P65" s="1884" t="s">
        <v>1575</v>
      </c>
      <c r="Q65" s="1885">
        <f ca="1">C40+J29</f>
        <v>17354</v>
      </c>
      <c r="R65" s="1885" t="s">
        <v>1524</v>
      </c>
    </row>
    <row r="66" spans="1:18" s="1841" customFormat="1" ht="16.2" thickBot="1">
      <c r="A66" s="1201" t="s">
        <v>1499</v>
      </c>
      <c r="B66" s="1169" t="s">
        <v>1434</v>
      </c>
      <c r="C66" s="24">
        <f ca="1">ROUND(C48*F66,1)</f>
        <v>0</v>
      </c>
      <c r="D66" s="1183" t="s">
        <v>1500</v>
      </c>
      <c r="E66" s="1169" t="s">
        <v>1417</v>
      </c>
      <c r="F66" s="357">
        <f t="shared" ca="1" si="0"/>
        <v>0.01</v>
      </c>
      <c r="O66" s="1883" t="s">
        <v>1038</v>
      </c>
      <c r="P66" s="1884" t="s">
        <v>1553</v>
      </c>
      <c r="Q66" s="1885">
        <f ca="1">L60</f>
        <v>0</v>
      </c>
      <c r="R66" s="1885" t="s">
        <v>1576</v>
      </c>
    </row>
    <row r="67" spans="1:18" s="1841" customFormat="1" ht="24.6" thickBot="1">
      <c r="A67" s="1176" t="s">
        <v>1028</v>
      </c>
      <c r="B67" s="1186" t="s">
        <v>1458</v>
      </c>
      <c r="C67" s="361">
        <f ca="1">C48-C58</f>
        <v>-155</v>
      </c>
      <c r="D67" s="1182" t="s">
        <v>1459</v>
      </c>
      <c r="E67" s="1187"/>
      <c r="F67" s="1188"/>
      <c r="O67" s="1893" t="s">
        <v>1039</v>
      </c>
      <c r="P67" s="1884" t="s">
        <v>1557</v>
      </c>
      <c r="Q67" s="1931">
        <f ca="1">L51</f>
        <v>11364</v>
      </c>
      <c r="R67" s="1885" t="s">
        <v>1577</v>
      </c>
    </row>
    <row r="68" spans="1:18" s="1841" customFormat="1" ht="16.2" thickBot="1">
      <c r="A68" s="1166" t="s">
        <v>1029</v>
      </c>
      <c r="B68" s="1167" t="s">
        <v>1480</v>
      </c>
      <c r="C68" s="346">
        <f ca="1">ROUND(C67*(1-((1+F70)/(1+F68))^F69)/(F68-F70),0)</f>
        <v>-2038</v>
      </c>
      <c r="D68" s="1184" t="s">
        <v>1464</v>
      </c>
      <c r="E68" s="1169" t="s">
        <v>1465</v>
      </c>
      <c r="F68" s="357">
        <f ca="1">F40</f>
        <v>5.5E-2</v>
      </c>
      <c r="O68" s="1893" t="s">
        <v>1040</v>
      </c>
      <c r="P68" s="1932" t="s">
        <v>1578</v>
      </c>
      <c r="Q68" s="1885">
        <f ca="1">ROUND(Q69-Q70*Q71,0)</f>
        <v>806</v>
      </c>
      <c r="R68" s="1885" t="s">
        <v>1048</v>
      </c>
    </row>
    <row r="69" spans="1:18" s="1841" customFormat="1" ht="13.8" thickBot="1">
      <c r="A69" s="1170"/>
      <c r="B69" s="1171"/>
      <c r="C69" s="351"/>
      <c r="D69" s="1189" t="s">
        <v>1468</v>
      </c>
      <c r="E69" s="1169" t="s">
        <v>1469</v>
      </c>
      <c r="F69" s="379">
        <f ca="1">F41</f>
        <v>23.98</v>
      </c>
      <c r="O69" s="1893" t="s">
        <v>1045</v>
      </c>
      <c r="P69" s="1932" t="s">
        <v>1579</v>
      </c>
      <c r="Q69" s="1885">
        <f ca="1">C39</f>
        <v>943</v>
      </c>
      <c r="R69" s="1885" t="s">
        <v>1524</v>
      </c>
    </row>
    <row r="70" spans="1:18" s="1841" customFormat="1" ht="13.8" thickBot="1">
      <c r="A70" s="1173"/>
      <c r="B70" s="1174"/>
      <c r="C70" s="355"/>
      <c r="D70" s="1185"/>
      <c r="E70" s="1169" t="s">
        <v>1472</v>
      </c>
      <c r="F70" s="1275"/>
      <c r="O70" s="1893" t="s">
        <v>1046</v>
      </c>
      <c r="P70" s="1932" t="s">
        <v>1580</v>
      </c>
      <c r="Q70" s="1885">
        <f ca="1">C13</f>
        <v>1608</v>
      </c>
      <c r="R70" s="1885" t="s">
        <v>1524</v>
      </c>
    </row>
    <row r="71" spans="1:18" s="1841" customFormat="1" ht="13.8" thickBot="1">
      <c r="A71" s="1190" t="s">
        <v>1030</v>
      </c>
      <c r="B71" s="1191" t="s">
        <v>1482</v>
      </c>
      <c r="C71" s="382">
        <f ca="1">ROUND(C68*10000/F71,0)</f>
        <v>-7267</v>
      </c>
      <c r="D71" s="1192" t="s">
        <v>1483</v>
      </c>
      <c r="E71" s="1193" t="s">
        <v>1484</v>
      </c>
      <c r="F71" s="385">
        <f ca="1">F43</f>
        <v>2804.3640999999993</v>
      </c>
      <c r="O71" s="1893" t="s">
        <v>1047</v>
      </c>
      <c r="P71" s="1932" t="s">
        <v>1581</v>
      </c>
      <c r="Q71" s="1896">
        <f ca="1">C76</f>
        <v>8.5000000000000006E-2</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续建工期及建筑物耐用年限下的土地年期修正系数Kn</v>
      </c>
      <c r="Q74" s="1885" t="e">
        <f ca="1">L59</f>
        <v>#DIV/0!</v>
      </c>
      <c r="R74" s="1885" t="s">
        <v>1564</v>
      </c>
    </row>
    <row r="75" spans="1:18" ht="13.8" thickBot="1">
      <c r="A75" s="1841"/>
      <c r="B75" s="386" t="s">
        <v>1501</v>
      </c>
      <c r="C75" s="387">
        <f ca="1">ROUND(C13*C76,0)</f>
        <v>137</v>
      </c>
      <c r="D75" s="1841"/>
      <c r="E75" s="1841"/>
      <c r="F75" s="1841"/>
      <c r="K75" s="1867"/>
      <c r="L75" s="1841"/>
      <c r="O75" s="1883" t="s">
        <v>1043</v>
      </c>
      <c r="P75" s="1884" t="s">
        <v>1544</v>
      </c>
      <c r="Q75" s="1885">
        <f ca="1">Q65+Q66</f>
        <v>17354</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0.85499999999999998</v>
      </c>
    </row>
    <row r="80" spans="1:18">
      <c r="B80" s="386" t="s">
        <v>1506</v>
      </c>
      <c r="C80" s="318">
        <f ca="1">ROUND(C75/C39,3)</f>
        <v>0.14499999999999999</v>
      </c>
    </row>
    <row r="81" spans="2:3">
      <c r="B81" s="314" t="s">
        <v>1507</v>
      </c>
      <c r="C81" s="282"/>
    </row>
    <row r="82" spans="2:3">
      <c r="B82" s="317" t="s">
        <v>1508</v>
      </c>
      <c r="C82" s="319">
        <f ca="1">1-C83</f>
        <v>0.90700000000000003</v>
      </c>
    </row>
    <row r="83" spans="2:3">
      <c r="B83" s="317" t="s">
        <v>1509</v>
      </c>
      <c r="C83" s="318">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c r="D1" s="1819"/>
      <c r="E1" s="1820" t="s">
        <v>1382</v>
      </c>
      <c r="F1" s="1283">
        <f ca="1">J53</f>
        <v>-1.02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77" t="s">
        <v>1398</v>
      </c>
      <c r="C6" s="1296">
        <f ca="1">ROUND(F6*F8*F7*(1-F9),0)</f>
        <v>0</v>
      </c>
      <c r="D6" s="164" t="s">
        <v>3020</v>
      </c>
      <c r="E6" s="347" t="s">
        <v>1400</v>
      </c>
      <c r="F6" s="348">
        <f ca="1">INDIRECT("'数据-取费表'!u"&amp;$G$1)</f>
        <v>0</v>
      </c>
      <c r="G6" s="1850"/>
      <c r="H6" s="1291" t="s">
        <v>1032</v>
      </c>
      <c r="I6" s="3177" t="s">
        <v>1398</v>
      </c>
      <c r="J6" s="346">
        <f ca="1">ROUND(M6*M8*M7*(1-M9),0)</f>
        <v>0</v>
      </c>
      <c r="K6" s="1833" t="s">
        <v>3021</v>
      </c>
      <c r="L6" s="347" t="s">
        <v>1400</v>
      </c>
      <c r="M6" s="348">
        <f ca="1">INDIRECT("'数据-取费表'!z"&amp;$G$1)</f>
        <v>0</v>
      </c>
    </row>
    <row r="7" spans="1:37" ht="18" customHeight="1">
      <c r="A7" s="1295"/>
      <c r="B7" s="3178"/>
      <c r="C7" s="1297"/>
      <c r="D7" s="352"/>
      <c r="E7" s="1298" t="s">
        <v>1401</v>
      </c>
      <c r="F7" s="348">
        <f ca="1">IF(INDIRECT("'数据-取费表'!ah"&amp;$G$1)="",INDIRECT("'数据-取费表'!k"&amp;$G$1),INDIRECT("'数据-取费表'!ah"&amp;$G$1))</f>
        <v>0</v>
      </c>
      <c r="G7" s="1850"/>
      <c r="H7" s="349"/>
      <c r="I7" s="3178"/>
      <c r="J7" s="351"/>
      <c r="K7" s="352"/>
      <c r="L7" s="347" t="s">
        <v>1401</v>
      </c>
      <c r="M7" s="348">
        <f ca="1">F7</f>
        <v>0</v>
      </c>
    </row>
    <row r="8" spans="1:37" ht="18" customHeight="1">
      <c r="A8" s="349"/>
      <c r="B8" s="3178"/>
      <c r="C8" s="351"/>
      <c r="D8" s="352"/>
      <c r="E8" s="347" t="s">
        <v>1402</v>
      </c>
      <c r="F8" s="348">
        <f ca="1">INDIRECT("'数据-取费表'!ai"&amp;$G$1)</f>
        <v>0</v>
      </c>
      <c r="G8" s="1850"/>
      <c r="H8" s="349"/>
      <c r="I8" s="3178"/>
      <c r="J8" s="351"/>
      <c r="K8" s="352"/>
      <c r="L8" s="347" t="s">
        <v>1402</v>
      </c>
      <c r="M8" s="348">
        <f ca="1">INDIRECT("'数据-取费表'!ai"&amp;$G$1)</f>
        <v>0</v>
      </c>
    </row>
    <row r="9" spans="1:37" ht="18" customHeight="1">
      <c r="A9" s="349"/>
      <c r="B9" s="3179"/>
      <c r="C9" s="351"/>
      <c r="D9" s="352"/>
      <c r="E9" s="347" t="s">
        <v>1403</v>
      </c>
      <c r="F9" s="357">
        <f ca="1">INDIRECT("'数据-取费表'!w"&amp;$G$1)</f>
        <v>0</v>
      </c>
      <c r="G9" s="1850"/>
      <c r="H9" s="349"/>
      <c r="I9" s="3179"/>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3031</v>
      </c>
      <c r="E10" s="358" t="s">
        <v>1405</v>
      </c>
      <c r="F10" s="1366"/>
      <c r="G10" s="1850"/>
      <c r="H10" s="1291" t="s">
        <v>1036</v>
      </c>
      <c r="I10" s="1822" t="s">
        <v>1404</v>
      </c>
      <c r="J10" s="346">
        <f ca="1">ROUND(IF(M10="押一",J6/12*M11,IF(M10="押二",J6/12*2*M11,IF(M10="押三",J6/12*3*M11,J11*M11))),0)</f>
        <v>0</v>
      </c>
      <c r="K10" s="1834" t="s">
        <v>3033</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1.4999999999999999E-2</v>
      </c>
      <c r="G20" s="1853"/>
      <c r="H20" s="1201" t="s">
        <v>1384</v>
      </c>
      <c r="I20" s="164" t="s">
        <v>1436</v>
      </c>
      <c r="J20" s="25">
        <f ca="1">ROUND(M20*M21,0)</f>
        <v>0</v>
      </c>
      <c r="K20" s="370" t="s">
        <v>1437</v>
      </c>
      <c r="L20" s="347" t="s">
        <v>1438</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1.4999999999999999E-2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12</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8"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6"/>
      <c r="B52" s="1198"/>
      <c r="C52" s="1199"/>
      <c r="D52" s="1172"/>
      <c r="E52" s="1200" t="s">
        <v>1403</v>
      </c>
      <c r="F52" s="1275"/>
      <c r="I52" s="1902" t="s">
        <v>1538</v>
      </c>
      <c r="J52" s="1903"/>
      <c r="K52" s="1902" t="s">
        <v>1539</v>
      </c>
      <c r="L52" s="1903"/>
      <c r="O52" s="1893" t="s">
        <v>1042</v>
      </c>
      <c r="P52" s="1884" t="s">
        <v>1540</v>
      </c>
      <c r="Q52" s="1885">
        <f ca="1">J53</f>
        <v>-1.02</v>
      </c>
      <c r="R52" s="1885" t="s">
        <v>1541</v>
      </c>
    </row>
    <row r="53" spans="1:18" s="1841" customFormat="1" ht="30.75" customHeight="1" thickBot="1">
      <c r="A53" s="1361" t="s">
        <v>1134</v>
      </c>
      <c r="B53" s="369" t="s">
        <v>1404</v>
      </c>
      <c r="C53" s="361">
        <f ca="1">ROUND(IF(F53="押一",C49/12*F11,IF(F53="押二",C49/12*2*F11,IF(F53="押三",C49/12*3*F11,C54*F11))),0)</f>
        <v>0</v>
      </c>
      <c r="D53" s="1823" t="s">
        <v>3034</v>
      </c>
      <c r="E53" s="358" t="s">
        <v>1405</v>
      </c>
      <c r="F53" s="1366"/>
      <c r="I53" s="1904" t="s">
        <v>1542</v>
      </c>
      <c r="J53" s="2949">
        <f ca="1">IF(M47="住宅",IF(D1="——",MAX(J51,L48),MAX(J51,L48-'数据-取费表'!B24)),IF(D1="——",MIN(J51,L48),MIN(J51,L48-'数据-取费表'!B24)))</f>
        <v>-1.02</v>
      </c>
      <c r="K53" s="3175" t="s">
        <v>1543</v>
      </c>
      <c r="L53" s="3176"/>
      <c r="O53" s="1883" t="s">
        <v>1043</v>
      </c>
      <c r="P53" s="1884" t="s">
        <v>1544</v>
      </c>
      <c r="Q53" s="1885" t="e">
        <f ca="1">Q47+Q48</f>
        <v>#DIV/0!</v>
      </c>
      <c r="R53" s="1885" t="s">
        <v>1044</v>
      </c>
    </row>
    <row r="54" spans="1:18" s="1841" customFormat="1" ht="13.8"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IF(项目基本情况!B11="自然人","——",ROUND(F62*F63,0))</f>
        <v>0</v>
      </c>
      <c r="D62" s="1184" t="s">
        <v>1492</v>
      </c>
      <c r="E62" s="1169" t="s">
        <v>1493</v>
      </c>
      <c r="F62" s="371">
        <f t="shared" si="0"/>
        <v>12</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2"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8" thickBot="1">
      <c r="A69" s="1170"/>
      <c r="B69" s="1171"/>
      <c r="C69" s="351"/>
      <c r="D69" s="1189" t="s">
        <v>1468</v>
      </c>
      <c r="E69" s="1169" t="s">
        <v>1469</v>
      </c>
      <c r="F69" s="379">
        <f ca="1">F41</f>
        <v>0</v>
      </c>
      <c r="O69" s="1893" t="s">
        <v>1045</v>
      </c>
      <c r="P69" s="1932" t="s">
        <v>1579</v>
      </c>
      <c r="Q69" s="1885">
        <f ca="1">C39</f>
        <v>0</v>
      </c>
      <c r="R69" s="1885" t="s">
        <v>1524</v>
      </c>
    </row>
    <row r="70" spans="1:18" s="1841" customFormat="1" ht="13.8" thickBot="1">
      <c r="A70" s="1173"/>
      <c r="B70" s="1174"/>
      <c r="C70" s="355"/>
      <c r="D70" s="1185"/>
      <c r="E70" s="1169" t="s">
        <v>1472</v>
      </c>
      <c r="F70" s="1275">
        <f ca="1">F42</f>
        <v>0</v>
      </c>
      <c r="O70" s="1893" t="s">
        <v>1046</v>
      </c>
      <c r="P70" s="1932" t="s">
        <v>1580</v>
      </c>
      <c r="Q70" s="1885">
        <f ca="1">C13</f>
        <v>0</v>
      </c>
      <c r="R70" s="1885" t="s">
        <v>1524</v>
      </c>
    </row>
    <row r="71" spans="1:18" s="1841" customFormat="1" ht="13.8"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1" t="s">
        <v>2517</v>
      </c>
      <c r="B1" s="2562"/>
      <c r="C1" s="2562"/>
      <c r="D1" s="2562"/>
      <c r="E1" s="2563"/>
    </row>
    <row r="2" spans="1:6" ht="15.6">
      <c r="A2" s="2564" t="s">
        <v>2321</v>
      </c>
      <c r="B2" s="2565">
        <f ca="1">SUMIF(B6:B13,"&lt;&gt;#ref!",B6:B13)</f>
        <v>17354</v>
      </c>
      <c r="C2" s="2566" t="s">
        <v>2510</v>
      </c>
      <c r="D2" s="2567" t="s">
        <v>2511</v>
      </c>
      <c r="E2" s="2568">
        <f>SUM(E6:E13)</f>
        <v>2804.3640999999993</v>
      </c>
    </row>
    <row r="3" spans="1:6" ht="15.6">
      <c r="A3" s="2564" t="s">
        <v>1390</v>
      </c>
      <c r="B3" s="2565">
        <f ca="1">ROUND(B2*10000/E2,0)</f>
        <v>61882</v>
      </c>
      <c r="C3" s="2566" t="s">
        <v>2518</v>
      </c>
      <c r="D3" s="2569"/>
      <c r="E3" s="2570"/>
    </row>
    <row r="4" spans="1:6" ht="15.6">
      <c r="A4" s="2571"/>
      <c r="B4" s="2569"/>
      <c r="C4" s="2569"/>
      <c r="D4" s="2569"/>
      <c r="E4" s="2570"/>
    </row>
    <row r="5" spans="1:6" ht="14.4">
      <c r="A5" s="2572" t="s">
        <v>2512</v>
      </c>
      <c r="B5" s="3180" t="s">
        <v>2513</v>
      </c>
      <c r="C5" s="3180"/>
      <c r="D5" s="2573"/>
      <c r="E5" s="2574" t="s">
        <v>2514</v>
      </c>
      <c r="F5" s="2575" t="s">
        <v>2515</v>
      </c>
    </row>
    <row r="6" spans="1:6" ht="14.4">
      <c r="A6" s="2576">
        <f>'数据-取费表'!AN6</f>
        <v>0</v>
      </c>
      <c r="B6" s="2575" t="e">
        <f ca="1">IF(F6="是",'数据-取费表'!AO6,0)</f>
        <v>#REF!</v>
      </c>
      <c r="C6" s="2566" t="s">
        <v>2510</v>
      </c>
      <c r="D6" s="2569"/>
      <c r="E6" s="2577">
        <f>IF(OR(A6=0,F6="否"),0,'数据-取费表'!K6+'数据-取费表'!S6)</f>
        <v>0</v>
      </c>
      <c r="F6" s="2578" t="s">
        <v>2516</v>
      </c>
    </row>
    <row r="7" spans="1:6" ht="14.4">
      <c r="A7" s="2576" t="str">
        <f>'数据-取费表'!AN7</f>
        <v>收益法</v>
      </c>
      <c r="B7" s="2575">
        <f ca="1">IF(F7="是",'数据-取费表'!AO7,0)</f>
        <v>17354</v>
      </c>
      <c r="C7" s="2566" t="s">
        <v>2510</v>
      </c>
      <c r="D7" s="2569"/>
      <c r="E7" s="2577">
        <f>IF(OR(A7=0,F7="否"),0,'数据-取费表'!K7+'数据-取费表'!S7)</f>
        <v>2804.3640999999993</v>
      </c>
      <c r="F7" s="2578" t="s">
        <v>2516</v>
      </c>
    </row>
    <row r="8" spans="1:6" ht="14.4">
      <c r="A8" s="2576">
        <f>'数据-取费表'!AN8</f>
        <v>0</v>
      </c>
      <c r="B8" s="2575" t="e">
        <f ca="1">IF(F8="是",'数据-取费表'!AO8,0)</f>
        <v>#REF!</v>
      </c>
      <c r="C8" s="2566" t="s">
        <v>2510</v>
      </c>
      <c r="D8" s="2569"/>
      <c r="E8" s="2577">
        <f>IF(OR(A8=0,F8="否"),0,'数据-取费表'!K8+'数据-取费表'!S8)</f>
        <v>0</v>
      </c>
      <c r="F8" s="2578" t="s">
        <v>2516</v>
      </c>
    </row>
    <row r="9" spans="1:6" ht="14.4">
      <c r="A9" s="2576">
        <f>'数据-取费表'!AN9</f>
        <v>0</v>
      </c>
      <c r="B9" s="2575" t="e">
        <f ca="1">IF(F9="是",'数据-取费表'!AO9,0)</f>
        <v>#REF!</v>
      </c>
      <c r="C9" s="2566" t="s">
        <v>2510</v>
      </c>
      <c r="D9" s="2569"/>
      <c r="E9" s="2577">
        <f>IF(OR(A9=0,F9="否"),0,'数据-取费表'!K9+'数据-取费表'!S9)</f>
        <v>0</v>
      </c>
      <c r="F9" s="2578" t="s">
        <v>2516</v>
      </c>
    </row>
    <row r="10" spans="1:6" ht="14.4">
      <c r="A10" s="2576">
        <f>'数据-取费表'!AN10</f>
        <v>0</v>
      </c>
      <c r="B10" s="2575" t="e">
        <f ca="1">IF(F10="是",'数据-取费表'!AO10,0)</f>
        <v>#REF!</v>
      </c>
      <c r="C10" s="2566" t="s">
        <v>2510</v>
      </c>
      <c r="D10" s="2569"/>
      <c r="E10" s="2577">
        <f>IF(OR(A10=0,F10="否"),0,'数据-取费表'!K10+'数据-取费表'!S10)</f>
        <v>0</v>
      </c>
      <c r="F10" s="2578" t="s">
        <v>2516</v>
      </c>
    </row>
    <row r="11" spans="1:6" ht="14.4">
      <c r="A11" s="2576">
        <f>'数据-取费表'!AN11</f>
        <v>0</v>
      </c>
      <c r="B11" s="2575" t="e">
        <f ca="1">IF(F11="是",'数据-取费表'!AO11,0)</f>
        <v>#REF!</v>
      </c>
      <c r="C11" s="2566" t="s">
        <v>2510</v>
      </c>
      <c r="D11" s="2569"/>
      <c r="E11" s="2577">
        <f>IF(OR(A11=0,F11="否"),0,'数据-取费表'!K11+'数据-取费表'!S11)</f>
        <v>0</v>
      </c>
      <c r="F11" s="2578" t="s">
        <v>2516</v>
      </c>
    </row>
    <row r="12" spans="1:6" ht="14.4">
      <c r="A12" s="2576">
        <f>'数据-取费表'!AN12</f>
        <v>0</v>
      </c>
      <c r="B12" s="2575" t="e">
        <f ca="1">IF(F12="是",'数据-取费表'!AO12,0)</f>
        <v>#REF!</v>
      </c>
      <c r="C12" s="2566" t="s">
        <v>2510</v>
      </c>
      <c r="D12" s="2569"/>
      <c r="E12" s="2577">
        <f>IF(OR(A12=0,F12="否"),0,'数据-取费表'!K12+'数据-取费表'!S12)</f>
        <v>0</v>
      </c>
      <c r="F12" s="2578" t="s">
        <v>2516</v>
      </c>
    </row>
    <row r="13" spans="1:6" ht="15" thickBot="1">
      <c r="A13" s="2579">
        <f>'数据-取费表'!AN13</f>
        <v>0</v>
      </c>
      <c r="B13" s="2575" t="e">
        <f ca="1">IF(F13="是",'数据-取费表'!AO13,0)</f>
        <v>#REF!</v>
      </c>
      <c r="C13" s="2580" t="s">
        <v>2510</v>
      </c>
      <c r="D13" s="2581"/>
      <c r="E13" s="2577">
        <f>IF(OR(A13=0,F13="否"),0,'数据-取费表'!K13+'数据-取费表'!S13)</f>
        <v>0</v>
      </c>
      <c r="F13" s="257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181" t="s">
        <v>1073</v>
      </c>
      <c r="B1" s="3182"/>
      <c r="C1" s="3183"/>
      <c r="D1" s="3184">
        <f>SUM(I10,I15,I20,I21,I23)</f>
        <v>0</v>
      </c>
      <c r="E1" s="3184"/>
      <c r="F1" s="3184"/>
      <c r="G1" s="3184"/>
      <c r="H1" s="3184"/>
      <c r="I1" s="3185"/>
    </row>
    <row r="2" spans="1:9">
      <c r="A2" s="3186" t="s">
        <v>1074</v>
      </c>
      <c r="B2" s="3187" t="s">
        <v>1075</v>
      </c>
      <c r="C2" s="3187"/>
      <c r="D2" s="1301" t="s">
        <v>1076</v>
      </c>
      <c r="E2" s="1301" t="s">
        <v>1077</v>
      </c>
      <c r="F2" s="1301" t="s">
        <v>1078</v>
      </c>
      <c r="G2" s="1301" t="s">
        <v>1079</v>
      </c>
      <c r="H2" s="1301" t="s">
        <v>1080</v>
      </c>
      <c r="I2" s="1302" t="s">
        <v>1081</v>
      </c>
    </row>
    <row r="3" spans="1:9">
      <c r="A3" s="3186"/>
      <c r="B3" s="3187" t="s">
        <v>1082</v>
      </c>
      <c r="C3" s="3187"/>
      <c r="D3" s="1303"/>
      <c r="E3" s="1301"/>
      <c r="F3" s="1304"/>
      <c r="G3" s="1304"/>
      <c r="H3" s="1305"/>
      <c r="I3" s="1306">
        <f>ROUND(D3*E3*F3*G3*H3/10000,0)</f>
        <v>0</v>
      </c>
    </row>
    <row r="4" spans="1:9">
      <c r="A4" s="3186"/>
      <c r="B4" s="3187" t="s">
        <v>1083</v>
      </c>
      <c r="C4" s="3187"/>
      <c r="D4" s="1303"/>
      <c r="E4" s="1301"/>
      <c r="F4" s="1304"/>
      <c r="G4" s="1304"/>
      <c r="H4" s="1305"/>
      <c r="I4" s="1306">
        <f t="shared" ref="I4:I9" si="0">ROUND(D4*E4*F4*G4*H4/10000,0)</f>
        <v>0</v>
      </c>
    </row>
    <row r="5" spans="1:9">
      <c r="A5" s="3186"/>
      <c r="B5" s="3187" t="s">
        <v>1084</v>
      </c>
      <c r="C5" s="3187"/>
      <c r="D5" s="1303"/>
      <c r="E5" s="1301"/>
      <c r="F5" s="1304"/>
      <c r="G5" s="1304"/>
      <c r="H5" s="1305"/>
      <c r="I5" s="1306">
        <f t="shared" si="0"/>
        <v>0</v>
      </c>
    </row>
    <row r="6" spans="1:9">
      <c r="A6" s="3186"/>
      <c r="B6" s="3187" t="s">
        <v>1085</v>
      </c>
      <c r="C6" s="3187"/>
      <c r="D6" s="1303"/>
      <c r="E6" s="1301"/>
      <c r="F6" s="1304"/>
      <c r="G6" s="1304"/>
      <c r="H6" s="1305"/>
      <c r="I6" s="1306">
        <f t="shared" si="0"/>
        <v>0</v>
      </c>
    </row>
    <row r="7" spans="1:9">
      <c r="A7" s="3186"/>
      <c r="B7" s="3187" t="s">
        <v>1086</v>
      </c>
      <c r="C7" s="3187"/>
      <c r="D7" s="1303"/>
      <c r="E7" s="1301"/>
      <c r="F7" s="1304"/>
      <c r="G7" s="1304"/>
      <c r="H7" s="1305"/>
      <c r="I7" s="1306">
        <f t="shared" si="0"/>
        <v>0</v>
      </c>
    </row>
    <row r="8" spans="1:9">
      <c r="A8" s="3186"/>
      <c r="B8" s="3187" t="s">
        <v>1087</v>
      </c>
      <c r="C8" s="3187"/>
      <c r="D8" s="1303"/>
      <c r="E8" s="1301"/>
      <c r="F8" s="1304"/>
      <c r="G8" s="1304"/>
      <c r="H8" s="1305"/>
      <c r="I8" s="1306">
        <f t="shared" si="0"/>
        <v>0</v>
      </c>
    </row>
    <row r="9" spans="1:9">
      <c r="A9" s="3186"/>
      <c r="B9" s="3187" t="s">
        <v>1088</v>
      </c>
      <c r="C9" s="3187"/>
      <c r="D9" s="1303"/>
      <c r="E9" s="1301"/>
      <c r="F9" s="1304"/>
      <c r="G9" s="1304"/>
      <c r="H9" s="1305"/>
      <c r="I9" s="1306">
        <f t="shared" si="0"/>
        <v>0</v>
      </c>
    </row>
    <row r="10" spans="1:9">
      <c r="A10" s="3186"/>
      <c r="B10" s="3188" t="s">
        <v>1089</v>
      </c>
      <c r="C10" s="3188"/>
      <c r="D10" s="1307"/>
      <c r="E10" s="1307" t="e">
        <f>ROUND(D1*10000/D10/H9,0)</f>
        <v>#DIV/0!</v>
      </c>
      <c r="F10" s="1308"/>
      <c r="G10" s="1308"/>
      <c r="H10" s="1309"/>
      <c r="I10" s="1310">
        <f>SUM(I3:I9)</f>
        <v>0</v>
      </c>
    </row>
    <row r="11" spans="1:9" ht="15.6">
      <c r="A11" s="3186" t="s">
        <v>1090</v>
      </c>
      <c r="B11" s="3187" t="s">
        <v>1091</v>
      </c>
      <c r="C11" s="3187"/>
      <c r="D11" s="1303" t="s">
        <v>1092</v>
      </c>
      <c r="E11" s="1303" t="s">
        <v>1093</v>
      </c>
      <c r="F11" s="1304" t="s">
        <v>1094</v>
      </c>
      <c r="G11" s="1304" t="s">
        <v>1080</v>
      </c>
      <c r="H11" s="1311" t="s">
        <v>1095</v>
      </c>
      <c r="I11" s="1302" t="s">
        <v>1081</v>
      </c>
    </row>
    <row r="12" spans="1:9">
      <c r="A12" s="3186"/>
      <c r="B12" s="3187" t="s">
        <v>1096</v>
      </c>
      <c r="C12" s="3187"/>
      <c r="D12" s="1303"/>
      <c r="E12" s="1303"/>
      <c r="F12" s="1304"/>
      <c r="G12" s="1305"/>
      <c r="H12" s="1312"/>
      <c r="I12" s="1302">
        <f>ROUND(D12*E12*F12*G12/10000,0)</f>
        <v>0</v>
      </c>
    </row>
    <row r="13" spans="1:9">
      <c r="A13" s="3186"/>
      <c r="B13" s="3187" t="s">
        <v>1097</v>
      </c>
      <c r="C13" s="3187"/>
      <c r="D13" s="1303"/>
      <c r="E13" s="1303"/>
      <c r="F13" s="1304"/>
      <c r="G13" s="1305"/>
      <c r="H13" s="1312"/>
      <c r="I13" s="1302">
        <f>ROUND(D13*E13*F13*G13/10000,0)</f>
        <v>0</v>
      </c>
    </row>
    <row r="14" spans="1:9">
      <c r="A14" s="3186"/>
      <c r="B14" s="3187" t="s">
        <v>1098</v>
      </c>
      <c r="C14" s="3187"/>
      <c r="D14" s="1303"/>
      <c r="E14" s="1303"/>
      <c r="F14" s="1304"/>
      <c r="G14" s="1305"/>
      <c r="H14" s="1312"/>
      <c r="I14" s="1302">
        <f>ROUND(D14*E14*F14*G14/10000,0)</f>
        <v>0</v>
      </c>
    </row>
    <row r="15" spans="1:9">
      <c r="A15" s="3186"/>
      <c r="B15" s="3188" t="s">
        <v>1089</v>
      </c>
      <c r="C15" s="3188"/>
      <c r="D15" s="1307"/>
      <c r="E15" s="1307">
        <f>SUM(E12:E14)</f>
        <v>0</v>
      </c>
      <c r="F15" s="1308"/>
      <c r="G15" s="1305"/>
      <c r="H15" s="1312"/>
      <c r="I15" s="1313">
        <f>SUM(I12:I14)</f>
        <v>0</v>
      </c>
    </row>
    <row r="16" spans="1:9" ht="24">
      <c r="A16" s="3186" t="s">
        <v>1099</v>
      </c>
      <c r="B16" s="3187" t="s">
        <v>1100</v>
      </c>
      <c r="C16" s="3187"/>
      <c r="D16" s="1303" t="s">
        <v>1076</v>
      </c>
      <c r="E16" s="1314" t="s">
        <v>1101</v>
      </c>
      <c r="F16" s="1304" t="s">
        <v>1102</v>
      </c>
      <c r="G16" s="1305" t="s">
        <v>1080</v>
      </c>
      <c r="H16" s="1311" t="s">
        <v>1095</v>
      </c>
      <c r="I16" s="1302" t="s">
        <v>1081</v>
      </c>
    </row>
    <row r="17" spans="1:9" ht="15.6">
      <c r="A17" s="3186"/>
      <c r="B17" s="3187" t="s">
        <v>1103</v>
      </c>
      <c r="C17" s="3187"/>
      <c r="D17" s="1303"/>
      <c r="E17" s="1303"/>
      <c r="F17" s="1304"/>
      <c r="G17" s="1305"/>
      <c r="H17" s="1315"/>
      <c r="I17" s="1316">
        <f>ROUND(D17*E17*F17*G17/10000,0)</f>
        <v>0</v>
      </c>
    </row>
    <row r="18" spans="1:9" ht="15.6">
      <c r="A18" s="3186"/>
      <c r="B18" s="3187" t="s">
        <v>1104</v>
      </c>
      <c r="C18" s="3187"/>
      <c r="D18" s="1303"/>
      <c r="E18" s="1303"/>
      <c r="F18" s="1304"/>
      <c r="G18" s="1305"/>
      <c r="H18" s="1315"/>
      <c r="I18" s="1316">
        <f>ROUND(D18*E18*F18*G18/10000,0)</f>
        <v>0</v>
      </c>
    </row>
    <row r="19" spans="1:9" ht="15.6">
      <c r="A19" s="3186"/>
      <c r="B19" s="3187" t="s">
        <v>1105</v>
      </c>
      <c r="C19" s="3187"/>
      <c r="D19" s="1303"/>
      <c r="E19" s="1303"/>
      <c r="F19" s="1304"/>
      <c r="G19" s="1305"/>
      <c r="H19" s="1315"/>
      <c r="I19" s="1316">
        <f>ROUND(D19*E19*F19*G19/10000,0)</f>
        <v>0</v>
      </c>
    </row>
    <row r="20" spans="1:9">
      <c r="A20" s="3186"/>
      <c r="B20" s="3188" t="s">
        <v>1089</v>
      </c>
      <c r="C20" s="3188"/>
      <c r="D20" s="1307">
        <f>SUM(D17:D19)</f>
        <v>0</v>
      </c>
      <c r="E20" s="1307"/>
      <c r="F20" s="1308"/>
      <c r="G20" s="1305"/>
      <c r="H20" s="1312"/>
      <c r="I20" s="1313">
        <f>SUM(I17:I19)</f>
        <v>0</v>
      </c>
    </row>
    <row r="21" spans="1:9">
      <c r="A21" s="3186" t="s">
        <v>1106</v>
      </c>
      <c r="B21" s="3190"/>
      <c r="C21" s="3190"/>
      <c r="D21" s="3190"/>
      <c r="E21" s="3190"/>
      <c r="F21" s="3190"/>
      <c r="G21" s="3190"/>
      <c r="H21" s="1764">
        <v>0.1</v>
      </c>
      <c r="I21" s="1310">
        <f>ROUND(I10*H21,0)</f>
        <v>0</v>
      </c>
    </row>
    <row r="22" spans="1:9" ht="15.6">
      <c r="A22" s="3191" t="s">
        <v>1107</v>
      </c>
      <c r="B22" s="3192"/>
      <c r="C22" s="3193"/>
      <c r="D22" s="1317" t="s">
        <v>1108</v>
      </c>
      <c r="E22" s="1317" t="s">
        <v>1109</v>
      </c>
      <c r="F22" s="1318" t="s">
        <v>1110</v>
      </c>
      <c r="G22" s="1318" t="s">
        <v>1111</v>
      </c>
      <c r="H22" s="1311" t="s">
        <v>1112</v>
      </c>
      <c r="I22" s="1302" t="s">
        <v>1113</v>
      </c>
    </row>
    <row r="23" spans="1:9" ht="15" thickBot="1">
      <c r="A23" s="3194"/>
      <c r="B23" s="3195"/>
      <c r="C23" s="3196"/>
      <c r="D23" s="1319"/>
      <c r="E23" s="1319"/>
      <c r="F23" s="1319"/>
      <c r="G23" s="1320"/>
      <c r="H23" s="1321"/>
      <c r="I23" s="1322">
        <f>ROUND(E23*D23*F23*(1-G23)/10000,0)</f>
        <v>0</v>
      </c>
    </row>
    <row r="26" spans="1:9">
      <c r="A26" s="1323" t="s">
        <v>1114</v>
      </c>
      <c r="B26" s="1323"/>
      <c r="C26" s="1323"/>
      <c r="D26" s="1323"/>
      <c r="E26" s="3197">
        <f>C27-C30-C31-C32</f>
        <v>0</v>
      </c>
      <c r="F26" s="3197"/>
      <c r="G26" s="3197"/>
      <c r="H26" s="1736" t="s">
        <v>1336</v>
      </c>
    </row>
    <row r="27" spans="1:9">
      <c r="A27" s="1324">
        <v>1</v>
      </c>
      <c r="B27" s="1325" t="s">
        <v>1115</v>
      </c>
      <c r="C27" s="1325">
        <f>C28+C29</f>
        <v>0</v>
      </c>
      <c r="D27" s="1325"/>
      <c r="E27" s="3198"/>
      <c r="F27" s="3198"/>
      <c r="G27" s="3198"/>
    </row>
    <row r="28" spans="1:9">
      <c r="A28" s="1326" t="s">
        <v>1116</v>
      </c>
      <c r="B28" s="1325" t="s">
        <v>1117</v>
      </c>
      <c r="C28" s="1325"/>
      <c r="D28" s="1325"/>
      <c r="E28" s="3198"/>
      <c r="F28" s="3198"/>
      <c r="G28" s="319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9"/>
      <c r="F32" s="3189"/>
      <c r="G32" s="3189"/>
    </row>
    <row r="33" spans="1:7" hidden="1">
      <c r="A33" s="3199" t="s">
        <v>1126</v>
      </c>
      <c r="B33" s="3200"/>
      <c r="C33" s="3200"/>
      <c r="D33" s="3201"/>
      <c r="E33" s="3197"/>
      <c r="F33" s="3197"/>
      <c r="G33" s="3197"/>
    </row>
    <row r="34" spans="1:7" hidden="1">
      <c r="A34" s="1328">
        <v>1</v>
      </c>
      <c r="B34" s="1325" t="s">
        <v>1127</v>
      </c>
      <c r="C34" s="1325"/>
      <c r="D34" s="1325"/>
      <c r="E34" s="3198"/>
      <c r="F34" s="3198"/>
      <c r="G34" s="3198"/>
    </row>
    <row r="35" spans="1:7" hidden="1">
      <c r="A35" s="1328">
        <v>2</v>
      </c>
      <c r="B35" s="1325" t="s">
        <v>1128</v>
      </c>
      <c r="C35" s="1325"/>
      <c r="D35" s="1325"/>
      <c r="E35" s="3198"/>
      <c r="F35" s="3198"/>
      <c r="G35" s="3198"/>
    </row>
    <row r="36" spans="1:7" hidden="1">
      <c r="A36" s="1328">
        <v>3</v>
      </c>
      <c r="B36" s="1325" t="s">
        <v>1129</v>
      </c>
      <c r="C36" s="1325"/>
      <c r="D36" s="1325"/>
      <c r="E36" s="3198"/>
      <c r="F36" s="3198"/>
      <c r="G36" s="3198"/>
    </row>
    <row r="37" spans="1:7" hidden="1">
      <c r="A37" s="1328">
        <v>4</v>
      </c>
      <c r="B37" s="1325" t="s">
        <v>1130</v>
      </c>
      <c r="C37" s="1325"/>
      <c r="D37" s="1325"/>
      <c r="E37" s="3198"/>
      <c r="F37" s="3198"/>
      <c r="G37" s="3198"/>
    </row>
    <row r="38" spans="1:7" hidden="1">
      <c r="A38" s="3199" t="s">
        <v>1131</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70" zoomScaleNormal="70" workbookViewId="0">
      <selection activeCell="B2" sqref="B2:B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6.5546875" style="403" customWidth="1"/>
    <col min="6" max="6" width="12.21875" style="403" customWidth="1"/>
    <col min="7" max="7" width="15.6640625" style="403" customWidth="1"/>
    <col min="8" max="8" width="12.21875" style="403" customWidth="1"/>
    <col min="9" max="9" width="17.10937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582" t="s">
        <v>2520</v>
      </c>
      <c r="C1" s="1633" t="s">
        <v>2521</v>
      </c>
      <c r="D1" s="1620" t="s">
        <v>3117</v>
      </c>
      <c r="E1" s="2583"/>
      <c r="F1" s="2584" t="s">
        <v>2522</v>
      </c>
      <c r="G1" s="1630" t="s">
        <v>2523</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1389</v>
      </c>
      <c r="B2" s="1418">
        <f>IF(C2="——",ROUND(C49*D3/10000,0),ROUND(C49*D3/10000,0)-D2)</f>
        <v>225394</v>
      </c>
      <c r="C2" s="2586" t="s">
        <v>70</v>
      </c>
      <c r="D2" s="1365" t="e">
        <f ca="1">SUMIF(INDIRECT("'"&amp;F2&amp;"'"&amp;"!A:A"),"承租人权益价值",INDIRECT("'"&amp;F2&amp;"'"&amp;"!c:c"))</f>
        <v>#REF!</v>
      </c>
      <c r="E2" s="2587" t="s">
        <v>2524</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f>IF(C2="——",C49,ROUND(B2*10000/D3,0))</f>
        <v>57997</v>
      </c>
      <c r="C3" s="400" t="s">
        <v>2525</v>
      </c>
      <c r="D3" s="399">
        <f>IF(D1="",'数据-汇总表'!E3,SUMIF('数据-汇总表'!$C19:$C33,D1,'数据-汇总表'!$E19:$E33))</f>
        <v>38862.989800000003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4.4">
      <c r="A4" s="401" t="s">
        <v>2526</v>
      </c>
      <c r="B4" s="402"/>
      <c r="C4" s="3218" t="s">
        <v>2527</v>
      </c>
      <c r="D4" s="3219"/>
      <c r="E4" s="3220" t="s">
        <v>2528</v>
      </c>
      <c r="F4" s="3221"/>
      <c r="G4" s="3218" t="s">
        <v>2529</v>
      </c>
      <c r="H4" s="3219"/>
      <c r="I4" s="3218" t="s">
        <v>2530</v>
      </c>
      <c r="J4" s="3219"/>
      <c r="K4" s="2596" t="s">
        <v>2531</v>
      </c>
      <c r="L4" s="1130"/>
      <c r="M4" s="1131"/>
      <c r="N4" s="1131"/>
      <c r="O4" s="1131"/>
      <c r="P4" s="3222" t="s">
        <v>2532</v>
      </c>
      <c r="Q4" s="3223"/>
      <c r="R4" s="3207" t="s">
        <v>2528</v>
      </c>
      <c r="S4" s="3208"/>
      <c r="T4" s="3207" t="s">
        <v>2529</v>
      </c>
      <c r="U4" s="3208"/>
      <c r="V4" s="3230" t="s">
        <v>2530</v>
      </c>
      <c r="W4" s="3230"/>
      <c r="X4" s="1812"/>
      <c r="Y4" s="3207" t="s">
        <v>2532</v>
      </c>
      <c r="Z4" s="3208"/>
      <c r="AA4" s="3202" t="s">
        <v>2528</v>
      </c>
      <c r="AB4" s="3202" t="s">
        <v>2529</v>
      </c>
      <c r="AC4" s="3202" t="s">
        <v>2530</v>
      </c>
    </row>
    <row r="5" spans="1:29" ht="13.8" customHeight="1">
      <c r="A5" s="404"/>
      <c r="B5" s="405"/>
      <c r="C5" s="3213" t="s">
        <v>3180</v>
      </c>
      <c r="D5" s="3214"/>
      <c r="E5" s="3211" t="s">
        <v>3181</v>
      </c>
      <c r="F5" s="3212"/>
      <c r="G5" s="3213" t="s">
        <v>3218</v>
      </c>
      <c r="H5" s="3214"/>
      <c r="I5" s="3213" t="s">
        <v>3656</v>
      </c>
      <c r="J5" s="3214"/>
      <c r="K5" s="2597"/>
      <c r="L5" s="1130"/>
      <c r="M5" s="1131"/>
      <c r="N5" s="1131"/>
      <c r="O5" s="1131"/>
      <c r="P5" s="3224"/>
      <c r="Q5" s="3225"/>
      <c r="R5" s="3209"/>
      <c r="S5" s="3210"/>
      <c r="T5" s="3209"/>
      <c r="U5" s="3210"/>
      <c r="V5" s="3230"/>
      <c r="W5" s="3230"/>
      <c r="X5" s="1812"/>
      <c r="Y5" s="3209"/>
      <c r="Z5" s="3210"/>
      <c r="AA5" s="3203"/>
      <c r="AB5" s="3203"/>
      <c r="AC5" s="3203"/>
    </row>
    <row r="6" spans="1:29" ht="15" thickBot="1">
      <c r="A6" s="406"/>
      <c r="B6" s="407"/>
      <c r="C6" s="3215" t="s">
        <v>3182</v>
      </c>
      <c r="D6" s="3216"/>
      <c r="E6" s="3215" t="s">
        <v>3182</v>
      </c>
      <c r="F6" s="3216"/>
      <c r="G6" s="3215" t="s">
        <v>3182</v>
      </c>
      <c r="H6" s="3216"/>
      <c r="I6" s="3215" t="s">
        <v>3182</v>
      </c>
      <c r="J6" s="3216"/>
      <c r="K6" s="2597" t="s">
        <v>2538</v>
      </c>
      <c r="L6" s="1130"/>
      <c r="M6" s="1131"/>
      <c r="N6" s="1131"/>
      <c r="O6" s="1131"/>
      <c r="P6" s="3226"/>
      <c r="Q6" s="3227"/>
      <c r="R6" s="3209"/>
      <c r="S6" s="3210"/>
      <c r="T6" s="3228"/>
      <c r="U6" s="3229"/>
      <c r="V6" s="3230"/>
      <c r="W6" s="3230"/>
      <c r="X6" s="1812"/>
      <c r="Y6" s="3228"/>
      <c r="Z6" s="3229"/>
      <c r="AA6" s="3204"/>
      <c r="AB6" s="3204"/>
      <c r="AC6" s="3204"/>
    </row>
    <row r="7" spans="1:29" s="117" customFormat="1" ht="15" thickBot="1">
      <c r="A7" s="408" t="s">
        <v>2539</v>
      </c>
      <c r="B7" s="409"/>
      <c r="C7" s="410">
        <f>'数据-取费表'!B2</f>
        <v>43712</v>
      </c>
      <c r="D7" s="411">
        <v>100</v>
      </c>
      <c r="E7" s="412">
        <v>43709</v>
      </c>
      <c r="F7" s="413">
        <f>SUMIF(58:58,YEAR(E7)&amp;"-"&amp;MONTH(E7),59:59)</f>
        <v>100</v>
      </c>
      <c r="G7" s="412">
        <v>43709</v>
      </c>
      <c r="H7" s="411">
        <f>SUMIF(58:58,YEAR(G7)&amp;"-"&amp;MONTH(G7),59:59)</f>
        <v>100</v>
      </c>
      <c r="I7" s="412">
        <v>43617</v>
      </c>
      <c r="J7" s="411">
        <f>SUMIF(58:58,YEAR(I7)&amp;"-"&amp;MONTH(I7),59:59)</f>
        <v>99.5</v>
      </c>
      <c r="K7" s="2598"/>
      <c r="L7" s="1132"/>
      <c r="M7" s="1133"/>
      <c r="N7" s="1133"/>
      <c r="O7" s="1133"/>
      <c r="P7" s="3205" t="s">
        <v>2540</v>
      </c>
      <c r="Q7" s="3231"/>
      <c r="R7" s="770" t="s">
        <v>23</v>
      </c>
      <c r="S7" s="771">
        <f t="shared" ref="S7:S15" si="0">F7</f>
        <v>100</v>
      </c>
      <c r="T7" s="770" t="s">
        <v>23</v>
      </c>
      <c r="U7" s="771">
        <f t="shared" ref="U7:U15" si="1">H7</f>
        <v>100</v>
      </c>
      <c r="V7" s="770" t="s">
        <v>23</v>
      </c>
      <c r="W7" s="771">
        <f t="shared" ref="W7:W15" si="2">J7</f>
        <v>99.5</v>
      </c>
      <c r="X7" s="772"/>
      <c r="Y7" s="3205" t="s">
        <v>2540</v>
      </c>
      <c r="Z7" s="3206"/>
      <c r="AA7" s="773">
        <f>D7/F7</f>
        <v>1</v>
      </c>
      <c r="AB7" s="773">
        <f>D7/H7</f>
        <v>1</v>
      </c>
      <c r="AC7" s="773">
        <f>D7/J7</f>
        <v>1.0050251256281406</v>
      </c>
    </row>
    <row r="8" spans="1:29" s="117" customFormat="1" ht="15" thickBot="1">
      <c r="A8" s="408" t="s">
        <v>2541</v>
      </c>
      <c r="B8" s="409"/>
      <c r="C8" s="414" t="s">
        <v>2542</v>
      </c>
      <c r="D8" s="411">
        <v>100</v>
      </c>
      <c r="E8" s="2599" t="s">
        <v>3186</v>
      </c>
      <c r="F8" s="413">
        <f>SUMIF(61:61,E8,62:62)-SUMIF(61:61,C8,62:62)+100</f>
        <v>100</v>
      </c>
      <c r="G8" s="2599" t="s">
        <v>3186</v>
      </c>
      <c r="H8" s="411">
        <f>SUMIF(61:61,G8,62:62)-SUMIF(61:61,C8,62:62)+100</f>
        <v>100</v>
      </c>
      <c r="I8" s="2599" t="s">
        <v>3186</v>
      </c>
      <c r="J8" s="411">
        <f>SUMIF(61:61,I8,62:62)-SUMIF(61:61,C8,62:62)+100</f>
        <v>100</v>
      </c>
      <c r="K8" s="2598"/>
      <c r="L8" s="1132"/>
      <c r="M8" s="1133"/>
      <c r="N8" s="1133"/>
      <c r="O8" s="1133"/>
      <c r="P8" s="3205" t="s">
        <v>2543</v>
      </c>
      <c r="Q8" s="3206"/>
      <c r="R8" s="770" t="s">
        <v>23</v>
      </c>
      <c r="S8" s="771">
        <f t="shared" si="0"/>
        <v>100</v>
      </c>
      <c r="T8" s="770" t="s">
        <v>23</v>
      </c>
      <c r="U8" s="771">
        <f t="shared" si="1"/>
        <v>100</v>
      </c>
      <c r="V8" s="770" t="s">
        <v>23</v>
      </c>
      <c r="W8" s="771">
        <f t="shared" si="2"/>
        <v>100</v>
      </c>
      <c r="X8" s="772"/>
      <c r="Y8" s="3205" t="s">
        <v>2543</v>
      </c>
      <c r="Z8" s="3206"/>
      <c r="AA8" s="773">
        <f t="shared" ref="AA8:AA19" si="3">D8/F8</f>
        <v>1</v>
      </c>
      <c r="AB8" s="773">
        <f t="shared" ref="AB8:AB19" si="4">D8/H8</f>
        <v>1</v>
      </c>
      <c r="AC8" s="773">
        <f t="shared" ref="AC8:AC19" si="5">D8/J8</f>
        <v>1</v>
      </c>
    </row>
    <row r="9" spans="1:29" s="117" customFormat="1" ht="14.4">
      <c r="A9" s="415" t="s">
        <v>2544</v>
      </c>
      <c r="B9" s="71" t="s">
        <v>2545</v>
      </c>
      <c r="C9" s="2973" t="s">
        <v>3185</v>
      </c>
      <c r="D9" s="135">
        <v>100</v>
      </c>
      <c r="E9" s="417" t="s">
        <v>3117</v>
      </c>
      <c r="F9" s="418">
        <f>SUMIF(63:63,E9,64:64)-SUMIF(63:63,C9,64:64)+100</f>
        <v>100</v>
      </c>
      <c r="G9" s="417" t="s">
        <v>3117</v>
      </c>
      <c r="H9" s="135">
        <f>SUMIF(63:63,G9,64:64)-SUMIF(63:63,C9,64:64)+100</f>
        <v>100</v>
      </c>
      <c r="I9" s="417" t="s">
        <v>3117</v>
      </c>
      <c r="J9" s="135">
        <f>SUMIF(63:63,I9,64:64)-SUMIF(63:63,C9,64:64)+100</f>
        <v>100</v>
      </c>
      <c r="K9" s="2598"/>
      <c r="L9" s="1132"/>
      <c r="M9" s="1133"/>
      <c r="N9" s="1133"/>
      <c r="O9" s="1133"/>
      <c r="P9" s="3217" t="s">
        <v>2546</v>
      </c>
      <c r="Q9" s="1794" t="str">
        <f t="shared" ref="Q9:Q15" si="6">B9</f>
        <v>用途</v>
      </c>
      <c r="R9" s="770" t="s">
        <v>17</v>
      </c>
      <c r="S9" s="771">
        <f t="shared" si="0"/>
        <v>100</v>
      </c>
      <c r="T9" s="770" t="s">
        <v>17</v>
      </c>
      <c r="U9" s="771">
        <f t="shared" si="1"/>
        <v>100</v>
      </c>
      <c r="V9" s="770" t="s">
        <v>17</v>
      </c>
      <c r="W9" s="771">
        <f t="shared" si="2"/>
        <v>100</v>
      </c>
      <c r="X9" s="772"/>
      <c r="Y9" s="3052" t="s">
        <v>2547</v>
      </c>
      <c r="Z9" s="55" t="str">
        <f t="shared" ref="Z9:Z15" si="7">Q9</f>
        <v>用途</v>
      </c>
      <c r="AA9" s="773">
        <f t="shared" si="3"/>
        <v>1</v>
      </c>
      <c r="AB9" s="773">
        <f t="shared" si="4"/>
        <v>1</v>
      </c>
      <c r="AC9" s="773">
        <f t="shared" si="5"/>
        <v>1</v>
      </c>
    </row>
    <row r="10" spans="1:29" s="427" customFormat="1" ht="28.8">
      <c r="A10" s="421"/>
      <c r="B10" s="422" t="s">
        <v>2548</v>
      </c>
      <c r="C10" s="423" t="s">
        <v>3183</v>
      </c>
      <c r="D10" s="136">
        <v>100</v>
      </c>
      <c r="E10" s="424" t="s">
        <v>3184</v>
      </c>
      <c r="F10" s="425">
        <f>SUMIF(65:65,E10,66:66)-SUMIF(65:65,C10,66:66)+100</f>
        <v>101</v>
      </c>
      <c r="G10" s="424" t="s">
        <v>3184</v>
      </c>
      <c r="H10" s="136">
        <f>SUMIF(65:65,G10,66:66)-SUMIF(65:65,C10,66:66)+100</f>
        <v>101</v>
      </c>
      <c r="I10" s="424" t="s">
        <v>3184</v>
      </c>
      <c r="J10" s="136">
        <f>SUMIF(65:65,I10,66:66)-SUMIF(65:65,C10,66:66)+100</f>
        <v>101</v>
      </c>
      <c r="K10" s="426">
        <v>1</v>
      </c>
      <c r="L10" s="1135"/>
      <c r="M10" s="1136"/>
      <c r="N10" s="1136"/>
      <c r="O10" s="1136"/>
      <c r="P10" s="3217"/>
      <c r="Q10" s="1794" t="str">
        <f t="shared" si="6"/>
        <v>土地使用年限（年）</v>
      </c>
      <c r="R10" s="770" t="s">
        <v>17</v>
      </c>
      <c r="S10" s="771">
        <f t="shared" si="0"/>
        <v>101</v>
      </c>
      <c r="T10" s="770" t="s">
        <v>17</v>
      </c>
      <c r="U10" s="771">
        <f t="shared" si="1"/>
        <v>101</v>
      </c>
      <c r="V10" s="770" t="s">
        <v>17</v>
      </c>
      <c r="W10" s="771">
        <f t="shared" si="2"/>
        <v>101</v>
      </c>
      <c r="X10" s="772"/>
      <c r="Y10" s="3052"/>
      <c r="Z10" s="55" t="str">
        <f t="shared" si="7"/>
        <v>土地使用年限（年）</v>
      </c>
      <c r="AA10" s="773">
        <f t="shared" si="3"/>
        <v>0.99009900990099009</v>
      </c>
      <c r="AB10" s="773">
        <f t="shared" si="4"/>
        <v>0.99009900990099009</v>
      </c>
      <c r="AC10" s="773">
        <f t="shared" si="5"/>
        <v>0.99009900990099009</v>
      </c>
    </row>
    <row r="11" spans="1:29" ht="15">
      <c r="A11" s="428"/>
      <c r="B11" s="422" t="s">
        <v>2549</v>
      </c>
      <c r="C11" s="429">
        <f>'数据-汇总表'!I6</f>
        <v>2.15</v>
      </c>
      <c r="D11" s="136">
        <v>100</v>
      </c>
      <c r="E11" s="430">
        <v>7.4</v>
      </c>
      <c r="F11" s="425">
        <f>LOOKUP(E11,68:68,69:69)-LOOKUP(C11,68:68,69:69)+100</f>
        <v>92.5</v>
      </c>
      <c r="G11" s="429">
        <v>5.5</v>
      </c>
      <c r="H11" s="136">
        <f>LOOKUP(G11,68:68,69:69)-LOOKUP(C11,68:68,69:69)+100</f>
        <v>95.5</v>
      </c>
      <c r="I11" s="429">
        <v>2.2400000000000002</v>
      </c>
      <c r="J11" s="136">
        <f>LOOKUP(I11,68:68,69:69)-LOOKUP(C11,68:68,69:69)+100</f>
        <v>100</v>
      </c>
      <c r="K11" s="426">
        <v>1.5</v>
      </c>
      <c r="L11" s="1138"/>
      <c r="M11" s="1131"/>
      <c r="N11" s="1131"/>
      <c r="O11" s="1131"/>
      <c r="P11" s="3217"/>
      <c r="Q11" s="1794" t="str">
        <f t="shared" si="6"/>
        <v>容积率</v>
      </c>
      <c r="R11" s="770" t="s">
        <v>21</v>
      </c>
      <c r="S11" s="771">
        <f t="shared" si="0"/>
        <v>92.5</v>
      </c>
      <c r="T11" s="770" t="s">
        <v>21</v>
      </c>
      <c r="U11" s="771">
        <f t="shared" si="1"/>
        <v>95.5</v>
      </c>
      <c r="V11" s="770" t="s">
        <v>21</v>
      </c>
      <c r="W11" s="771">
        <f t="shared" si="2"/>
        <v>100</v>
      </c>
      <c r="X11" s="772"/>
      <c r="Y11" s="3052"/>
      <c r="Z11" s="55" t="str">
        <f t="shared" si="7"/>
        <v>容积率</v>
      </c>
      <c r="AA11" s="773">
        <f t="shared" si="3"/>
        <v>1.0810810810810811</v>
      </c>
      <c r="AB11" s="773">
        <f t="shared" si="4"/>
        <v>1.0471204188481675</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7"/>
      <c r="Q12" s="1794">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7"/>
      <c r="Q13" s="1794">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7"/>
      <c r="Q14" s="1794">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96.6">
      <c r="A15" s="440" t="s">
        <v>2550</v>
      </c>
      <c r="B15" s="69" t="s">
        <v>2083</v>
      </c>
      <c r="C15" s="2603" t="str">
        <f>估价对象房地状况!C3</f>
        <v>估价对象周边居住用地比例、居住小区规模和社区发展完善程度，综合评价居住社区成熟度较好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44" t="s">
        <v>2551</v>
      </c>
      <c r="Q15" s="1809" t="str">
        <f t="shared" si="6"/>
        <v>居住社区成熟度</v>
      </c>
      <c r="R15" s="774" t="s">
        <v>21</v>
      </c>
      <c r="S15" s="775">
        <f t="shared" si="0"/>
        <v>100</v>
      </c>
      <c r="T15" s="774" t="s">
        <v>21</v>
      </c>
      <c r="U15" s="775">
        <f t="shared" si="1"/>
        <v>100</v>
      </c>
      <c r="V15" s="774" t="s">
        <v>21</v>
      </c>
      <c r="W15" s="775">
        <f t="shared" si="2"/>
        <v>100</v>
      </c>
      <c r="X15" s="1812"/>
      <c r="Y15" s="3237" t="s">
        <v>2551</v>
      </c>
      <c r="Z15" s="1813" t="str">
        <f t="shared" si="7"/>
        <v>居住社区成熟度</v>
      </c>
      <c r="AA15" s="1810">
        <f t="shared" si="3"/>
        <v>1</v>
      </c>
      <c r="AB15" s="1810">
        <f t="shared" si="4"/>
        <v>1</v>
      </c>
      <c r="AC15" s="1810">
        <f t="shared" si="5"/>
        <v>1</v>
      </c>
    </row>
    <row r="16" spans="1:29" ht="15">
      <c r="A16" s="428"/>
      <c r="B16" s="446"/>
      <c r="C16" s="447" t="s">
        <v>3207</v>
      </c>
      <c r="D16" s="448"/>
      <c r="E16" s="447" t="s">
        <v>3207</v>
      </c>
      <c r="F16" s="448"/>
      <c r="G16" s="447" t="s">
        <v>3207</v>
      </c>
      <c r="H16" s="450"/>
      <c r="I16" s="447" t="s">
        <v>3207</v>
      </c>
      <c r="J16" s="448"/>
      <c r="K16" s="2606"/>
      <c r="L16" s="1140"/>
      <c r="M16" s="1131"/>
      <c r="N16" s="1131"/>
      <c r="O16" s="1131"/>
      <c r="P16" s="3245"/>
      <c r="Q16" s="1809"/>
      <c r="R16" s="774"/>
      <c r="S16" s="775"/>
      <c r="T16" s="774"/>
      <c r="U16" s="775"/>
      <c r="V16" s="774"/>
      <c r="W16" s="775"/>
      <c r="X16" s="1812"/>
      <c r="Y16" s="3238"/>
      <c r="Z16" s="1813"/>
      <c r="AA16" s="1810">
        <v>1</v>
      </c>
      <c r="AB16" s="1810">
        <v>1</v>
      </c>
      <c r="AC16" s="1810">
        <v>1</v>
      </c>
    </row>
    <row r="17" spans="1:29" ht="82.8">
      <c r="A17" s="428"/>
      <c r="B17" s="451" t="s">
        <v>2092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45"/>
      <c r="Q17" s="1809" t="str">
        <f>B17</f>
        <v>交通便捷度</v>
      </c>
      <c r="R17" s="774" t="s">
        <v>21</v>
      </c>
      <c r="S17" s="775">
        <f>F17</f>
        <v>100</v>
      </c>
      <c r="T17" s="774" t="s">
        <v>21</v>
      </c>
      <c r="U17" s="775">
        <f>H17</f>
        <v>100</v>
      </c>
      <c r="V17" s="774" t="s">
        <v>21</v>
      </c>
      <c r="W17" s="775">
        <f>J17</f>
        <v>100</v>
      </c>
      <c r="X17" s="1812"/>
      <c r="Y17" s="3238"/>
      <c r="Z17" s="1813" t="str">
        <f>Q17</f>
        <v>交通便捷度</v>
      </c>
      <c r="AA17" s="1810">
        <f t="shared" si="3"/>
        <v>1</v>
      </c>
      <c r="AB17" s="1810">
        <f t="shared" si="4"/>
        <v>1</v>
      </c>
      <c r="AC17" s="1810">
        <f t="shared" si="5"/>
        <v>1</v>
      </c>
    </row>
    <row r="18" spans="1:29" ht="15">
      <c r="A18" s="428"/>
      <c r="B18" s="456"/>
      <c r="C18" s="2608" t="s">
        <v>3207</v>
      </c>
      <c r="D18" s="450"/>
      <c r="E18" s="2608" t="s">
        <v>3207</v>
      </c>
      <c r="F18" s="450"/>
      <c r="G18" s="2608" t="s">
        <v>3207</v>
      </c>
      <c r="H18" s="448"/>
      <c r="I18" s="2608" t="s">
        <v>3207</v>
      </c>
      <c r="J18" s="448"/>
      <c r="K18" s="2606"/>
      <c r="L18" s="1140"/>
      <c r="M18" s="1131"/>
      <c r="N18" s="1131"/>
      <c r="O18" s="1131"/>
      <c r="P18" s="3245"/>
      <c r="Q18" s="1809"/>
      <c r="R18" s="774"/>
      <c r="S18" s="775"/>
      <c r="T18" s="774"/>
      <c r="U18" s="775"/>
      <c r="V18" s="774"/>
      <c r="W18" s="775"/>
      <c r="X18" s="1812"/>
      <c r="Y18" s="3238"/>
      <c r="Z18" s="1813"/>
      <c r="AA18" s="1810">
        <v>1</v>
      </c>
      <c r="AB18" s="1810">
        <v>1</v>
      </c>
      <c r="AC18" s="1810">
        <v>1</v>
      </c>
    </row>
    <row r="19" spans="1:29" ht="41.4">
      <c r="A19" s="428"/>
      <c r="B19" s="451" t="s">
        <v>2090</v>
      </c>
      <c r="C19" s="2607"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45"/>
      <c r="Q19" s="1809" t="str">
        <f>B19</f>
        <v>公共配套设施</v>
      </c>
      <c r="R19" s="774" t="s">
        <v>21</v>
      </c>
      <c r="S19" s="775">
        <f>F19</f>
        <v>100</v>
      </c>
      <c r="T19" s="774" t="s">
        <v>21</v>
      </c>
      <c r="U19" s="775">
        <f>H19</f>
        <v>100</v>
      </c>
      <c r="V19" s="774" t="s">
        <v>21</v>
      </c>
      <c r="W19" s="775">
        <f>J19</f>
        <v>100</v>
      </c>
      <c r="X19" s="1812"/>
      <c r="Y19" s="3238"/>
      <c r="Z19" s="1813" t="str">
        <f>Q19</f>
        <v>公共配套设施</v>
      </c>
      <c r="AA19" s="1810">
        <f t="shared" si="3"/>
        <v>1</v>
      </c>
      <c r="AB19" s="1810">
        <f t="shared" si="4"/>
        <v>1</v>
      </c>
      <c r="AC19" s="1810">
        <f t="shared" si="5"/>
        <v>1</v>
      </c>
    </row>
    <row r="20" spans="1:29" ht="15">
      <c r="A20" s="428"/>
      <c r="B20" s="456"/>
      <c r="C20" s="447" t="s">
        <v>3207</v>
      </c>
      <c r="D20" s="448"/>
      <c r="E20" s="447" t="s">
        <v>3207</v>
      </c>
      <c r="F20" s="448"/>
      <c r="G20" s="447" t="s">
        <v>3207</v>
      </c>
      <c r="H20" s="448"/>
      <c r="I20" s="447" t="s">
        <v>3207</v>
      </c>
      <c r="J20" s="448"/>
      <c r="K20" s="2606"/>
      <c r="L20" s="1140"/>
      <c r="M20" s="1131"/>
      <c r="N20" s="1131"/>
      <c r="O20" s="1131"/>
      <c r="P20" s="3245"/>
      <c r="Q20" s="1809"/>
      <c r="R20" s="774"/>
      <c r="S20" s="775"/>
      <c r="T20" s="774"/>
      <c r="U20" s="775"/>
      <c r="V20" s="774"/>
      <c r="W20" s="775"/>
      <c r="X20" s="1812"/>
      <c r="Y20" s="3238"/>
      <c r="Z20" s="1813"/>
      <c r="AA20" s="1810">
        <v>1</v>
      </c>
      <c r="AB20" s="1810">
        <v>1</v>
      </c>
      <c r="AC20" s="1810">
        <v>1</v>
      </c>
    </row>
    <row r="21" spans="1:29" ht="15">
      <c r="A21" s="428"/>
      <c r="B21" s="1384" t="s">
        <v>2093</v>
      </c>
      <c r="C21" s="2607"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45"/>
      <c r="Q21" s="1809" t="str">
        <f>B21</f>
        <v>基础设施水平</v>
      </c>
      <c r="R21" s="774" t="s">
        <v>17</v>
      </c>
      <c r="S21" s="775">
        <f>F21</f>
        <v>100</v>
      </c>
      <c r="T21" s="774" t="s">
        <v>17</v>
      </c>
      <c r="U21" s="775">
        <f>H21</f>
        <v>100</v>
      </c>
      <c r="V21" s="774" t="s">
        <v>17</v>
      </c>
      <c r="W21" s="775">
        <f>J21</f>
        <v>100</v>
      </c>
      <c r="X21" s="1812"/>
      <c r="Y21" s="3238"/>
      <c r="Z21" s="1813" t="str">
        <f>Q21</f>
        <v>基础设施水平</v>
      </c>
      <c r="AA21" s="1810">
        <f t="shared" ref="AA21" si="8">D21/F21</f>
        <v>1</v>
      </c>
      <c r="AB21" s="1810">
        <f t="shared" ref="AB21" si="9">D21/H21</f>
        <v>1</v>
      </c>
      <c r="AC21" s="1810">
        <f t="shared" ref="AC21" si="10">D21/J21</f>
        <v>1</v>
      </c>
    </row>
    <row r="22" spans="1:29" ht="15">
      <c r="A22" s="428"/>
      <c r="B22" s="1384"/>
      <c r="C22" s="2608" t="s">
        <v>3197</v>
      </c>
      <c r="D22" s="448"/>
      <c r="E22" s="2608" t="s">
        <v>3197</v>
      </c>
      <c r="F22" s="448"/>
      <c r="G22" s="2608" t="s">
        <v>3197</v>
      </c>
      <c r="H22" s="448"/>
      <c r="I22" s="2608" t="s">
        <v>3197</v>
      </c>
      <c r="J22" s="448"/>
      <c r="K22" s="2612"/>
      <c r="L22" s="1140"/>
      <c r="M22" s="1131"/>
      <c r="N22" s="1131"/>
      <c r="O22" s="1131"/>
      <c r="P22" s="3245"/>
      <c r="Q22" s="1809"/>
      <c r="R22" s="774"/>
      <c r="S22" s="775"/>
      <c r="T22" s="774"/>
      <c r="U22" s="775"/>
      <c r="V22" s="774"/>
      <c r="W22" s="775"/>
      <c r="X22" s="1812"/>
      <c r="Y22" s="3238"/>
      <c r="Z22" s="1813"/>
      <c r="AA22" s="1810">
        <v>1</v>
      </c>
      <c r="AB22" s="1810">
        <v>1</v>
      </c>
      <c r="AC22" s="1810">
        <v>1</v>
      </c>
    </row>
    <row r="23" spans="1:29" ht="15">
      <c r="A23" s="428"/>
      <c r="B23" s="451" t="s">
        <v>2097</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45"/>
      <c r="Q23" s="1809" t="str">
        <f>B23</f>
        <v>自然及人文环境</v>
      </c>
      <c r="R23" s="774" t="s">
        <v>21</v>
      </c>
      <c r="S23" s="775">
        <f>F23</f>
        <v>100</v>
      </c>
      <c r="T23" s="774" t="s">
        <v>21</v>
      </c>
      <c r="U23" s="775">
        <f>H23</f>
        <v>100</v>
      </c>
      <c r="V23" s="774" t="s">
        <v>21</v>
      </c>
      <c r="W23" s="775">
        <f>J23</f>
        <v>100</v>
      </c>
      <c r="X23" s="1812"/>
      <c r="Y23" s="3238"/>
      <c r="Z23" s="1813" t="str">
        <f>Q23</f>
        <v>自然及人文环境</v>
      </c>
      <c r="AA23" s="1810">
        <f>D23/F23</f>
        <v>1</v>
      </c>
      <c r="AB23" s="1810">
        <f>D23/H23</f>
        <v>1</v>
      </c>
      <c r="AC23" s="1810">
        <f>D23/J23</f>
        <v>1</v>
      </c>
    </row>
    <row r="24" spans="1:29" ht="15">
      <c r="A24" s="428"/>
      <c r="B24" s="456"/>
      <c r="C24" s="447" t="s">
        <v>3207</v>
      </c>
      <c r="D24" s="448"/>
      <c r="E24" s="447" t="s">
        <v>3207</v>
      </c>
      <c r="F24" s="448"/>
      <c r="G24" s="447" t="s">
        <v>3207</v>
      </c>
      <c r="H24" s="448"/>
      <c r="I24" s="447" t="s">
        <v>3207</v>
      </c>
      <c r="J24" s="448"/>
      <c r="K24" s="2606"/>
      <c r="L24" s="1140"/>
      <c r="M24" s="1131"/>
      <c r="N24" s="1131"/>
      <c r="O24" s="1131"/>
      <c r="P24" s="3245"/>
      <c r="Q24" s="1809"/>
      <c r="R24" s="774"/>
      <c r="S24" s="775"/>
      <c r="T24" s="774"/>
      <c r="U24" s="775"/>
      <c r="V24" s="774"/>
      <c r="W24" s="775"/>
      <c r="X24" s="1812"/>
      <c r="Y24" s="3238"/>
      <c r="Z24" s="1813"/>
      <c r="AA24" s="1810">
        <v>1</v>
      </c>
      <c r="AB24" s="1810">
        <v>1</v>
      </c>
      <c r="AC24" s="1810">
        <v>1</v>
      </c>
    </row>
    <row r="25" spans="1:29" ht="15">
      <c r="A25" s="428"/>
      <c r="B25" s="422" t="s">
        <v>2552</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38"/>
      <c r="Z25" s="1813" t="str">
        <f>Q25</f>
        <v>楼层-1</v>
      </c>
      <c r="AA25" s="1810">
        <f t="shared" ref="AA25:AA46" si="15">D25/F25</f>
        <v>1</v>
      </c>
      <c r="AB25" s="1810">
        <f t="shared" ref="AB25:AB46" si="16">D25/H25</f>
        <v>1</v>
      </c>
      <c r="AC25" s="1810">
        <f t="shared" ref="AC25:AC46" si="17">D25/J25</f>
        <v>1</v>
      </c>
    </row>
    <row r="26" spans="1:29" ht="15">
      <c r="A26" s="428"/>
      <c r="B26" s="422" t="s">
        <v>2553</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45"/>
      <c r="Q26" s="1809" t="str">
        <f t="shared" si="11"/>
        <v>朝向</v>
      </c>
      <c r="R26" s="774" t="s">
        <v>21</v>
      </c>
      <c r="S26" s="775">
        <f t="shared" si="12"/>
        <v>100</v>
      </c>
      <c r="T26" s="774" t="s">
        <v>21</v>
      </c>
      <c r="U26" s="775">
        <f t="shared" si="13"/>
        <v>100</v>
      </c>
      <c r="V26" s="774" t="s">
        <v>21</v>
      </c>
      <c r="W26" s="775">
        <f t="shared" si="14"/>
        <v>100</v>
      </c>
      <c r="X26" s="1812"/>
      <c r="Y26" s="3238"/>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45"/>
      <c r="Q27" s="1794">
        <f t="shared" si="11"/>
        <v>111</v>
      </c>
      <c r="R27" s="770" t="s">
        <v>21</v>
      </c>
      <c r="S27" s="771">
        <f t="shared" si="12"/>
        <v>100</v>
      </c>
      <c r="T27" s="770" t="s">
        <v>21</v>
      </c>
      <c r="U27" s="771">
        <f t="shared" si="13"/>
        <v>100</v>
      </c>
      <c r="V27" s="770" t="s">
        <v>21</v>
      </c>
      <c r="W27" s="771">
        <f t="shared" si="14"/>
        <v>100</v>
      </c>
      <c r="X27" s="772"/>
      <c r="Y27" s="3238"/>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5"/>
      <c r="Q28" s="1809">
        <f t="shared" si="11"/>
        <v>111</v>
      </c>
      <c r="R28" s="774" t="s">
        <v>21</v>
      </c>
      <c r="S28" s="775">
        <f t="shared" si="12"/>
        <v>100</v>
      </c>
      <c r="T28" s="774" t="s">
        <v>21</v>
      </c>
      <c r="U28" s="775">
        <f t="shared" si="13"/>
        <v>100</v>
      </c>
      <c r="V28" s="774" t="s">
        <v>21</v>
      </c>
      <c r="W28" s="775">
        <f t="shared" si="14"/>
        <v>100</v>
      </c>
      <c r="X28" s="1812"/>
      <c r="Y28" s="3238"/>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5"/>
      <c r="Q29" s="1809">
        <f t="shared" si="11"/>
        <v>111</v>
      </c>
      <c r="R29" s="774" t="s">
        <v>21</v>
      </c>
      <c r="S29" s="775">
        <f t="shared" si="12"/>
        <v>100</v>
      </c>
      <c r="T29" s="774" t="s">
        <v>21</v>
      </c>
      <c r="U29" s="775">
        <f t="shared" si="13"/>
        <v>100</v>
      </c>
      <c r="V29" s="774" t="s">
        <v>21</v>
      </c>
      <c r="W29" s="775">
        <f t="shared" si="14"/>
        <v>100</v>
      </c>
      <c r="X29" s="1812"/>
      <c r="Y29" s="3238"/>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5"/>
      <c r="Q30" s="1809">
        <f t="shared" si="11"/>
        <v>111</v>
      </c>
      <c r="R30" s="774" t="s">
        <v>21</v>
      </c>
      <c r="S30" s="775">
        <f t="shared" si="12"/>
        <v>100</v>
      </c>
      <c r="T30" s="774" t="s">
        <v>21</v>
      </c>
      <c r="U30" s="775">
        <f t="shared" si="13"/>
        <v>100</v>
      </c>
      <c r="V30" s="774" t="s">
        <v>21</v>
      </c>
      <c r="W30" s="775">
        <f t="shared" si="14"/>
        <v>100</v>
      </c>
      <c r="X30" s="1812"/>
      <c r="Y30" s="3238"/>
      <c r="Z30" s="1813">
        <f t="shared" si="18"/>
        <v>111</v>
      </c>
      <c r="AA30" s="1810">
        <f t="shared" si="15"/>
        <v>1</v>
      </c>
      <c r="AB30" s="1810">
        <f t="shared" si="16"/>
        <v>1</v>
      </c>
      <c r="AC30" s="1810">
        <f t="shared" si="17"/>
        <v>1</v>
      </c>
    </row>
    <row r="31" spans="1:29" ht="15.6"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5"/>
      <c r="Q31" s="1809">
        <f t="shared" si="11"/>
        <v>111</v>
      </c>
      <c r="R31" s="774" t="s">
        <v>21</v>
      </c>
      <c r="S31" s="775">
        <f t="shared" si="12"/>
        <v>100</v>
      </c>
      <c r="T31" s="774" t="s">
        <v>21</v>
      </c>
      <c r="U31" s="775">
        <f t="shared" si="13"/>
        <v>100</v>
      </c>
      <c r="V31" s="774" t="s">
        <v>21</v>
      </c>
      <c r="W31" s="775">
        <f t="shared" si="14"/>
        <v>100</v>
      </c>
      <c r="X31" s="1812"/>
      <c r="Y31" s="3238"/>
      <c r="Z31" s="1813">
        <f t="shared" si="18"/>
        <v>111</v>
      </c>
      <c r="AA31" s="1810">
        <f t="shared" si="15"/>
        <v>1</v>
      </c>
      <c r="AB31" s="1810">
        <f t="shared" si="16"/>
        <v>1</v>
      </c>
      <c r="AC31" s="1810">
        <f t="shared" si="17"/>
        <v>1</v>
      </c>
    </row>
    <row r="32" spans="1:29" ht="15">
      <c r="A32" s="440" t="s">
        <v>2554</v>
      </c>
      <c r="B32" s="71" t="s">
        <v>2555</v>
      </c>
      <c r="C32" s="2617" t="s">
        <v>3187</v>
      </c>
      <c r="D32" s="467">
        <v>100</v>
      </c>
      <c r="E32" s="2618" t="s">
        <v>3189</v>
      </c>
      <c r="F32" s="461">
        <f>SUMIF(100:100,E32,101:101)-SUMIF(100:100,C32,101:101)+100</f>
        <v>99</v>
      </c>
      <c r="G32" s="2618" t="s">
        <v>3189</v>
      </c>
      <c r="H32" s="467">
        <f>SUMIF(100:100,G32,101:101)-SUMIF(100:100,C32,101:101)+100</f>
        <v>99</v>
      </c>
      <c r="I32" s="2618" t="s">
        <v>3189</v>
      </c>
      <c r="J32" s="435">
        <f>SUMIF(100:100,I32,101:101)-SUMIF(100:100,C32,101:101)+100</f>
        <v>99</v>
      </c>
      <c r="K32" s="426">
        <v>1</v>
      </c>
      <c r="L32" s="1140"/>
      <c r="M32" s="1131"/>
      <c r="N32" s="1131"/>
      <c r="O32" s="1131"/>
      <c r="P32" s="3239" t="s">
        <v>2556</v>
      </c>
      <c r="Q32" s="1809" t="str">
        <f t="shared" si="11"/>
        <v>建筑类型</v>
      </c>
      <c r="R32" s="774" t="s">
        <v>21</v>
      </c>
      <c r="S32" s="775">
        <f t="shared" si="12"/>
        <v>99</v>
      </c>
      <c r="T32" s="774" t="s">
        <v>21</v>
      </c>
      <c r="U32" s="775">
        <f t="shared" si="13"/>
        <v>99</v>
      </c>
      <c r="V32" s="774" t="s">
        <v>21</v>
      </c>
      <c r="W32" s="775">
        <f t="shared" si="14"/>
        <v>99</v>
      </c>
      <c r="X32" s="1812"/>
      <c r="Y32" s="3242" t="s">
        <v>2556</v>
      </c>
      <c r="Z32" s="1813" t="str">
        <f t="shared" si="18"/>
        <v>建筑类型</v>
      </c>
      <c r="AA32" s="1810">
        <f t="shared" si="15"/>
        <v>1.0101010101010102</v>
      </c>
      <c r="AB32" s="1810">
        <f t="shared" si="16"/>
        <v>1.0101010101010102</v>
      </c>
      <c r="AC32" s="1810">
        <f t="shared" si="17"/>
        <v>1.0101010101010102</v>
      </c>
    </row>
    <row r="33" spans="1:29" s="471" customFormat="1" ht="15">
      <c r="A33" s="468"/>
      <c r="B33" s="422" t="s">
        <v>2557</v>
      </c>
      <c r="C33" s="469">
        <f>'数据-基础表'!B3</f>
        <v>57258.498200000002</v>
      </c>
      <c r="D33" s="136">
        <v>100</v>
      </c>
      <c r="E33" s="430">
        <v>215812.4</v>
      </c>
      <c r="F33" s="425">
        <f>LOOKUP(E33,103:103,104:104)-LOOKUP(C33,103:103,104:104)+100</f>
        <v>101</v>
      </c>
      <c r="G33" s="429">
        <v>108000</v>
      </c>
      <c r="H33" s="136">
        <f>LOOKUP(G33,103:103,104:104)-LOOKUP(C33,103:103,104:104)+100</f>
        <v>100</v>
      </c>
      <c r="I33" s="430">
        <v>560000</v>
      </c>
      <c r="J33" s="136">
        <f>LOOKUP(I33,103:103,104:104)-LOOKUP(C33,103:103,104:104)+100</f>
        <v>102</v>
      </c>
      <c r="K33" s="2601"/>
      <c r="L33" s="1138"/>
      <c r="M33" s="1141"/>
      <c r="N33" s="1141"/>
      <c r="O33" s="1141"/>
      <c r="P33" s="3240"/>
      <c r="Q33" s="776" t="str">
        <f t="shared" si="11"/>
        <v>项目建筑规模</v>
      </c>
      <c r="R33" s="777" t="s">
        <v>21</v>
      </c>
      <c r="S33" s="778">
        <f t="shared" si="12"/>
        <v>101</v>
      </c>
      <c r="T33" s="777" t="s">
        <v>21</v>
      </c>
      <c r="U33" s="778">
        <f t="shared" si="13"/>
        <v>100</v>
      </c>
      <c r="V33" s="777" t="s">
        <v>21</v>
      </c>
      <c r="W33" s="778">
        <f t="shared" si="14"/>
        <v>102</v>
      </c>
      <c r="X33" s="779"/>
      <c r="Y33" s="3242"/>
      <c r="Z33" s="780" t="str">
        <f t="shared" si="18"/>
        <v>项目建筑规模</v>
      </c>
      <c r="AA33" s="1810">
        <f t="shared" si="15"/>
        <v>0.99009900990099009</v>
      </c>
      <c r="AB33" s="1810">
        <f t="shared" si="16"/>
        <v>1</v>
      </c>
      <c r="AC33" s="1810">
        <f t="shared" si="17"/>
        <v>0.98039215686274506</v>
      </c>
    </row>
    <row r="34" spans="1:29" ht="15">
      <c r="A34" s="472"/>
      <c r="B34" s="422" t="s">
        <v>2558</v>
      </c>
      <c r="C34" s="2619" t="s">
        <v>3178</v>
      </c>
      <c r="D34" s="435">
        <v>100</v>
      </c>
      <c r="E34" s="2619" t="s">
        <v>3178</v>
      </c>
      <c r="F34" s="461">
        <f>SUMIF(105:105,E34,106:106)-SUMIF(105:105,C34,106:106)+100</f>
        <v>100</v>
      </c>
      <c r="G34" s="2619" t="s">
        <v>3178</v>
      </c>
      <c r="H34" s="435">
        <f>SUMIF(105:105,G34,106:106)-SUMIF(105:105,C34,106:106)+100</f>
        <v>100</v>
      </c>
      <c r="I34" s="2619" t="s">
        <v>3178</v>
      </c>
      <c r="J34" s="435">
        <f>SUMIF(105:105,I34,106:106)-SUMIF(105:105,C34,106:106)+100</f>
        <v>100</v>
      </c>
      <c r="K34" s="426">
        <v>1</v>
      </c>
      <c r="L34" s="1140"/>
      <c r="M34" s="1131"/>
      <c r="N34" s="1131"/>
      <c r="O34" s="1131"/>
      <c r="P34" s="3240"/>
      <c r="Q34" s="1809" t="str">
        <f t="shared" si="11"/>
        <v>建筑结构</v>
      </c>
      <c r="R34" s="774" t="s">
        <v>21</v>
      </c>
      <c r="S34" s="775">
        <f t="shared" si="12"/>
        <v>100</v>
      </c>
      <c r="T34" s="774" t="s">
        <v>21</v>
      </c>
      <c r="U34" s="775">
        <f t="shared" si="13"/>
        <v>100</v>
      </c>
      <c r="V34" s="774" t="s">
        <v>21</v>
      </c>
      <c r="W34" s="775">
        <f t="shared" si="14"/>
        <v>100</v>
      </c>
      <c r="X34" s="1812"/>
      <c r="Y34" s="3242"/>
      <c r="Z34" s="1813" t="str">
        <f t="shared" si="18"/>
        <v>建筑结构</v>
      </c>
      <c r="AA34" s="1810">
        <f t="shared" si="15"/>
        <v>1</v>
      </c>
      <c r="AB34" s="1810">
        <f t="shared" si="16"/>
        <v>1</v>
      </c>
      <c r="AC34" s="1810">
        <f t="shared" si="17"/>
        <v>1</v>
      </c>
    </row>
    <row r="35" spans="1:29" ht="15">
      <c r="A35" s="472"/>
      <c r="B35" s="422" t="s">
        <v>2559</v>
      </c>
      <c r="C35" s="2613" t="s">
        <v>3207</v>
      </c>
      <c r="D35" s="435">
        <v>100</v>
      </c>
      <c r="E35" s="2613" t="s">
        <v>3207</v>
      </c>
      <c r="F35" s="461">
        <f>SUMIF(107:107,E35,108:108)-SUMIF(107:107,C35,108:108)+100</f>
        <v>100</v>
      </c>
      <c r="G35" s="2613" t="s">
        <v>3207</v>
      </c>
      <c r="H35" s="435">
        <f>SUMIF(107:107,G35,108:108)-SUMIF(107:107,C35,108:108)+100</f>
        <v>100</v>
      </c>
      <c r="I35" s="2613" t="s">
        <v>3207</v>
      </c>
      <c r="J35" s="435">
        <f>SUMIF(107:107,I35,108:108)-SUMIF(107:107,C35,108:108)+100</f>
        <v>100</v>
      </c>
      <c r="K35" s="426">
        <v>1</v>
      </c>
      <c r="L35" s="1140"/>
      <c r="M35" s="1131"/>
      <c r="N35" s="1131"/>
      <c r="O35" s="1131"/>
      <c r="P35" s="3240"/>
      <c r="Q35" s="1809" t="str">
        <f t="shared" si="11"/>
        <v>建筑品质</v>
      </c>
      <c r="R35" s="774" t="s">
        <v>21</v>
      </c>
      <c r="S35" s="775">
        <f t="shared" si="12"/>
        <v>100</v>
      </c>
      <c r="T35" s="774" t="s">
        <v>21</v>
      </c>
      <c r="U35" s="775">
        <f t="shared" si="13"/>
        <v>100</v>
      </c>
      <c r="V35" s="774" t="s">
        <v>21</v>
      </c>
      <c r="W35" s="775">
        <f t="shared" si="14"/>
        <v>100</v>
      </c>
      <c r="X35" s="1812"/>
      <c r="Y35" s="3242"/>
      <c r="Z35" s="1813" t="str">
        <f t="shared" si="18"/>
        <v>建筑品质</v>
      </c>
      <c r="AA35" s="1810">
        <f t="shared" si="15"/>
        <v>1</v>
      </c>
      <c r="AB35" s="1810">
        <f t="shared" si="16"/>
        <v>1</v>
      </c>
      <c r="AC35" s="1810">
        <f t="shared" si="17"/>
        <v>1</v>
      </c>
    </row>
    <row r="36" spans="1:29" ht="15">
      <c r="A36" s="472"/>
      <c r="B36" s="422" t="s">
        <v>2560</v>
      </c>
      <c r="C36" s="2613" t="s">
        <v>3219</v>
      </c>
      <c r="D36" s="435">
        <v>100</v>
      </c>
      <c r="E36" s="2613" t="s">
        <v>3219</v>
      </c>
      <c r="F36" s="461">
        <f>SUMIF(109:109,E36,110:110)-SUMIF(109:109,C36,110:110)+100</f>
        <v>100</v>
      </c>
      <c r="G36" s="2613" t="s">
        <v>3219</v>
      </c>
      <c r="H36" s="435">
        <f>SUMIF(109:109,G36,110:110)-SUMIF(109:109,C36,110:110)+100</f>
        <v>100</v>
      </c>
      <c r="I36" s="2613" t="s">
        <v>3219</v>
      </c>
      <c r="J36" s="435">
        <f>SUMIF(109:109,I36,110:110)-SUMIF(109:109,C36,110:110)+100</f>
        <v>100</v>
      </c>
      <c r="K36" s="426">
        <v>1</v>
      </c>
      <c r="L36" s="1140"/>
      <c r="M36" s="1131"/>
      <c r="N36" s="1131"/>
      <c r="O36" s="1131"/>
      <c r="P36" s="3240"/>
      <c r="Q36" s="1809" t="str">
        <f t="shared" si="11"/>
        <v>公共部分装修</v>
      </c>
      <c r="R36" s="774" t="s">
        <v>21</v>
      </c>
      <c r="S36" s="775">
        <f t="shared" si="12"/>
        <v>100</v>
      </c>
      <c r="T36" s="774" t="s">
        <v>21</v>
      </c>
      <c r="U36" s="775">
        <f t="shared" si="13"/>
        <v>100</v>
      </c>
      <c r="V36" s="774" t="s">
        <v>21</v>
      </c>
      <c r="W36" s="775">
        <f t="shared" si="14"/>
        <v>100</v>
      </c>
      <c r="X36" s="1812"/>
      <c r="Y36" s="3242"/>
      <c r="Z36" s="1813" t="str">
        <f t="shared" si="18"/>
        <v>公共部分装修</v>
      </c>
      <c r="AA36" s="1810">
        <f t="shared" si="15"/>
        <v>1</v>
      </c>
      <c r="AB36" s="1810">
        <f t="shared" si="16"/>
        <v>1</v>
      </c>
      <c r="AC36" s="1810">
        <f t="shared" si="17"/>
        <v>1</v>
      </c>
    </row>
    <row r="37" spans="1:29" s="117" customFormat="1" ht="15">
      <c r="A37" s="473"/>
      <c r="B37" s="422" t="s">
        <v>2561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2"/>
      <c r="M37" s="1133"/>
      <c r="N37" s="1133"/>
      <c r="O37" s="1133"/>
      <c r="P37" s="3240"/>
      <c r="Q37" s="1794" t="str">
        <f t="shared" si="11"/>
        <v>成新度</v>
      </c>
      <c r="R37" s="770" t="s">
        <v>21</v>
      </c>
      <c r="S37" s="771">
        <f t="shared" si="12"/>
        <v>100</v>
      </c>
      <c r="T37" s="770" t="s">
        <v>21</v>
      </c>
      <c r="U37" s="771">
        <f t="shared" si="13"/>
        <v>100</v>
      </c>
      <c r="V37" s="770" t="s">
        <v>21</v>
      </c>
      <c r="W37" s="771">
        <f t="shared" si="14"/>
        <v>100</v>
      </c>
      <c r="X37" s="772"/>
      <c r="Y37" s="3242"/>
      <c r="Z37" s="55" t="str">
        <f t="shared" si="18"/>
        <v>成新度</v>
      </c>
      <c r="AA37" s="773">
        <f t="shared" si="15"/>
        <v>1</v>
      </c>
      <c r="AB37" s="773">
        <f t="shared" si="16"/>
        <v>1</v>
      </c>
      <c r="AC37" s="773">
        <f t="shared" si="17"/>
        <v>1</v>
      </c>
    </row>
    <row r="38" spans="1:29" ht="15">
      <c r="A38" s="472"/>
      <c r="B38" s="422" t="s">
        <v>2562</v>
      </c>
      <c r="C38" s="2613" t="s">
        <v>3207</v>
      </c>
      <c r="D38" s="435">
        <v>100</v>
      </c>
      <c r="E38" s="2613" t="s">
        <v>3207</v>
      </c>
      <c r="F38" s="461">
        <f>SUMIF(114:114,E38,115:115)-SUMIF(114:114,C38,115:115)+100</f>
        <v>100</v>
      </c>
      <c r="G38" s="2613" t="s">
        <v>3207</v>
      </c>
      <c r="H38" s="435">
        <f>SUMIF(114:114,G38,115:115)-SUMIF(114:114,C38,115:115)+100</f>
        <v>100</v>
      </c>
      <c r="I38" s="2613" t="s">
        <v>3207</v>
      </c>
      <c r="J38" s="435">
        <f>SUMIF(114:114,I38,115:115)-SUMIF(114:114,C38,115:115)+100</f>
        <v>100</v>
      </c>
      <c r="K38" s="426">
        <v>1</v>
      </c>
      <c r="L38" s="1140"/>
      <c r="M38" s="1131"/>
      <c r="N38" s="1131"/>
      <c r="O38" s="1131"/>
      <c r="P38" s="3240" t="s">
        <v>2556</v>
      </c>
      <c r="Q38" s="1809" t="str">
        <f t="shared" si="11"/>
        <v>物业管理</v>
      </c>
      <c r="R38" s="774" t="s">
        <v>21</v>
      </c>
      <c r="S38" s="775">
        <f t="shared" si="12"/>
        <v>100</v>
      </c>
      <c r="T38" s="774" t="s">
        <v>21</v>
      </c>
      <c r="U38" s="775">
        <f t="shared" si="13"/>
        <v>100</v>
      </c>
      <c r="V38" s="774" t="s">
        <v>21</v>
      </c>
      <c r="W38" s="775">
        <f t="shared" si="14"/>
        <v>100</v>
      </c>
      <c r="X38" s="1812"/>
      <c r="Y38" s="3242" t="s">
        <v>2556</v>
      </c>
      <c r="Z38" s="1813" t="str">
        <f t="shared" si="18"/>
        <v>物业管理</v>
      </c>
      <c r="AA38" s="1810">
        <f t="shared" si="15"/>
        <v>1</v>
      </c>
      <c r="AB38" s="1810">
        <f t="shared" si="16"/>
        <v>1</v>
      </c>
      <c r="AC38" s="1810">
        <f t="shared" si="17"/>
        <v>1</v>
      </c>
    </row>
    <row r="39" spans="1:29" ht="15">
      <c r="A39" s="472"/>
      <c r="B39" s="422" t="s">
        <v>2563</v>
      </c>
      <c r="C39" s="2613" t="s">
        <v>3197</v>
      </c>
      <c r="D39" s="435">
        <v>100</v>
      </c>
      <c r="E39" s="2613" t="s">
        <v>3197</v>
      </c>
      <c r="F39" s="461">
        <f>SUMIF(116:116,E39,117:117)-SUMIF(116:116,C39,117:117)+100</f>
        <v>100</v>
      </c>
      <c r="G39" s="2613" t="s">
        <v>3197</v>
      </c>
      <c r="H39" s="435">
        <f>SUMIF(116:116,G39,117:117)-SUMIF(116:116,C39,117:117)+100</f>
        <v>100</v>
      </c>
      <c r="I39" s="2613" t="s">
        <v>3197</v>
      </c>
      <c r="J39" s="435">
        <f>SUMIF(116:116,I39,117:117)-SUMIF(116:116,C39,117:117)+100</f>
        <v>100</v>
      </c>
      <c r="K39" s="426">
        <v>1</v>
      </c>
      <c r="L39" s="1140"/>
      <c r="M39" s="1131"/>
      <c r="N39" s="1131"/>
      <c r="O39" s="1131"/>
      <c r="P39" s="3240"/>
      <c r="Q39" s="1809" t="str">
        <f t="shared" si="11"/>
        <v>市政基础设施</v>
      </c>
      <c r="R39" s="774" t="s">
        <v>21</v>
      </c>
      <c r="S39" s="775">
        <f t="shared" si="12"/>
        <v>100</v>
      </c>
      <c r="T39" s="774" t="s">
        <v>21</v>
      </c>
      <c r="U39" s="775">
        <f t="shared" si="13"/>
        <v>100</v>
      </c>
      <c r="V39" s="774" t="s">
        <v>21</v>
      </c>
      <c r="W39" s="775">
        <f t="shared" si="14"/>
        <v>100</v>
      </c>
      <c r="X39" s="1812"/>
      <c r="Y39" s="3242"/>
      <c r="Z39" s="1813" t="str">
        <f t="shared" si="18"/>
        <v>市政基础设施</v>
      </c>
      <c r="AA39" s="1810">
        <f t="shared" si="15"/>
        <v>1</v>
      </c>
      <c r="AB39" s="1810">
        <f t="shared" si="16"/>
        <v>1</v>
      </c>
      <c r="AC39" s="1810">
        <f t="shared" si="17"/>
        <v>1</v>
      </c>
    </row>
    <row r="40" spans="1:29" ht="15">
      <c r="A40" s="472"/>
      <c r="B40" s="422" t="s">
        <v>2564</v>
      </c>
      <c r="C40" s="2613" t="s">
        <v>3203</v>
      </c>
      <c r="D40" s="435">
        <v>100</v>
      </c>
      <c r="E40" s="2613" t="s">
        <v>3203</v>
      </c>
      <c r="F40" s="461">
        <f>SUMIF(118:118,E40,119:119)-SUMIF(118:118,C40,119:119)+100</f>
        <v>100</v>
      </c>
      <c r="G40" s="2613" t="s">
        <v>3203</v>
      </c>
      <c r="H40" s="435">
        <f>SUMIF(118:118,G40,119:119)-SUMIF(118:118,C40,119:119)+100</f>
        <v>100</v>
      </c>
      <c r="I40" s="2613" t="s">
        <v>3203</v>
      </c>
      <c r="J40" s="435">
        <f>SUMIF(118:118,I40,119:119)-SUMIF(118:118,C40,119:119)+100</f>
        <v>100</v>
      </c>
      <c r="K40" s="426">
        <v>1</v>
      </c>
      <c r="L40" s="1140"/>
      <c r="M40" s="1131"/>
      <c r="N40" s="1131"/>
      <c r="O40" s="1131"/>
      <c r="P40" s="3240"/>
      <c r="Q40" s="1809" t="str">
        <f t="shared" si="11"/>
        <v>房型</v>
      </c>
      <c r="R40" s="774" t="s">
        <v>21</v>
      </c>
      <c r="S40" s="775">
        <f t="shared" si="12"/>
        <v>100</v>
      </c>
      <c r="T40" s="774" t="s">
        <v>21</v>
      </c>
      <c r="U40" s="775">
        <f t="shared" si="13"/>
        <v>100</v>
      </c>
      <c r="V40" s="774" t="s">
        <v>21</v>
      </c>
      <c r="W40" s="775">
        <f t="shared" si="14"/>
        <v>100</v>
      </c>
      <c r="X40" s="1812"/>
      <c r="Y40" s="3242"/>
      <c r="Z40" s="1813" t="str">
        <f t="shared" si="18"/>
        <v>房型</v>
      </c>
      <c r="AA40" s="1810">
        <f t="shared" si="15"/>
        <v>1</v>
      </c>
      <c r="AB40" s="1810">
        <f t="shared" si="16"/>
        <v>1</v>
      </c>
      <c r="AC40" s="1810">
        <f t="shared" si="17"/>
        <v>1</v>
      </c>
    </row>
    <row r="41" spans="1:29" s="471" customFormat="1" ht="28.8">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0"/>
      <c r="Q41" s="776" t="str">
        <f t="shared" si="11"/>
        <v>单套/主力户型建筑面积</v>
      </c>
      <c r="R41" s="777" t="s">
        <v>21</v>
      </c>
      <c r="S41" s="778">
        <f t="shared" si="12"/>
        <v>100</v>
      </c>
      <c r="T41" s="777" t="s">
        <v>21</v>
      </c>
      <c r="U41" s="778">
        <f t="shared" si="13"/>
        <v>100</v>
      </c>
      <c r="V41" s="777" t="s">
        <v>21</v>
      </c>
      <c r="W41" s="778">
        <f t="shared" si="14"/>
        <v>100</v>
      </c>
      <c r="X41" s="779"/>
      <c r="Y41" s="3242"/>
      <c r="Z41" s="780" t="str">
        <f t="shared" si="18"/>
        <v>单套/主力户型建筑面积</v>
      </c>
      <c r="AA41" s="1810">
        <f t="shared" si="15"/>
        <v>1</v>
      </c>
      <c r="AB41" s="1810">
        <f t="shared" si="16"/>
        <v>1</v>
      </c>
      <c r="AC41" s="1810">
        <f t="shared" si="17"/>
        <v>1</v>
      </c>
    </row>
    <row r="42" spans="1:29" ht="15">
      <c r="A42" s="472"/>
      <c r="B42" s="422" t="s">
        <v>2566</v>
      </c>
      <c r="C42" s="2613" t="s">
        <v>3219</v>
      </c>
      <c r="D42" s="435">
        <v>100</v>
      </c>
      <c r="E42" s="2613" t="s">
        <v>3219</v>
      </c>
      <c r="F42" s="461">
        <f>SUMIF(122:122,E42,123:123)-SUMIF(122:122,C42,123:123)+100</f>
        <v>100</v>
      </c>
      <c r="G42" s="2613" t="s">
        <v>3219</v>
      </c>
      <c r="H42" s="435">
        <f>SUMIF(122:122,G42,123:123)-SUMIF(122:122,C42,123:123)+100</f>
        <v>100</v>
      </c>
      <c r="I42" s="2613" t="s">
        <v>3219</v>
      </c>
      <c r="J42" s="435">
        <f>SUMIF(122:122,I42,123:123)-SUMIF(122:122,C42,123:123)+100</f>
        <v>100</v>
      </c>
      <c r="K42" s="426">
        <v>1</v>
      </c>
      <c r="L42" s="1140"/>
      <c r="M42" s="1131"/>
      <c r="N42" s="1131"/>
      <c r="O42" s="1131"/>
      <c r="P42" s="3240"/>
      <c r="Q42" s="1809" t="str">
        <f t="shared" si="11"/>
        <v>内部装修</v>
      </c>
      <c r="R42" s="774" t="s">
        <v>21</v>
      </c>
      <c r="S42" s="775">
        <f t="shared" si="12"/>
        <v>100</v>
      </c>
      <c r="T42" s="774" t="s">
        <v>21</v>
      </c>
      <c r="U42" s="775">
        <f t="shared" si="13"/>
        <v>100</v>
      </c>
      <c r="V42" s="774" t="s">
        <v>21</v>
      </c>
      <c r="W42" s="775">
        <f t="shared" si="14"/>
        <v>100</v>
      </c>
      <c r="X42" s="1812"/>
      <c r="Y42" s="3242"/>
      <c r="Z42" s="1813" t="str">
        <f t="shared" si="18"/>
        <v>内部装修</v>
      </c>
      <c r="AA42" s="1810">
        <f t="shared" si="15"/>
        <v>1</v>
      </c>
      <c r="AB42" s="1810">
        <f t="shared" si="16"/>
        <v>1</v>
      </c>
      <c r="AC42" s="1810">
        <f t="shared" si="17"/>
        <v>1</v>
      </c>
    </row>
    <row r="43" spans="1:29" ht="28.8">
      <c r="A43" s="472"/>
      <c r="B43" s="422" t="s">
        <v>2567</v>
      </c>
      <c r="C43" s="2613" t="s">
        <v>3207</v>
      </c>
      <c r="D43" s="435">
        <v>100</v>
      </c>
      <c r="E43" s="2613" t="s">
        <v>3207</v>
      </c>
      <c r="F43" s="461">
        <f>SUMIF(124:124,E43,125:125)-SUMIF(124:124,C43,125:125)+100</f>
        <v>100</v>
      </c>
      <c r="G43" s="2613" t="s">
        <v>3207</v>
      </c>
      <c r="H43" s="435">
        <f>SUMIF(124:124,G43,125:125)-SUMIF(124:124,C43,125:125)+100</f>
        <v>100</v>
      </c>
      <c r="I43" s="2613" t="s">
        <v>3207</v>
      </c>
      <c r="J43" s="435">
        <f>SUMIF(124:124,I43,125:125)-SUMIF(124:124,C43,125:125)+100</f>
        <v>100</v>
      </c>
      <c r="K43" s="426">
        <v>1</v>
      </c>
      <c r="L43" s="1140"/>
      <c r="M43" s="1131"/>
      <c r="N43" s="1131"/>
      <c r="O43" s="1131"/>
      <c r="P43" s="3240"/>
      <c r="Q43" s="1809" t="str">
        <f t="shared" si="11"/>
        <v>内部装修维护情况</v>
      </c>
      <c r="R43" s="774" t="s">
        <v>21</v>
      </c>
      <c r="S43" s="775">
        <f t="shared" si="12"/>
        <v>100</v>
      </c>
      <c r="T43" s="774" t="s">
        <v>21</v>
      </c>
      <c r="U43" s="775">
        <f t="shared" si="13"/>
        <v>100</v>
      </c>
      <c r="V43" s="774" t="s">
        <v>21</v>
      </c>
      <c r="W43" s="775">
        <f t="shared" si="14"/>
        <v>100</v>
      </c>
      <c r="X43" s="1812"/>
      <c r="Y43" s="3242"/>
      <c r="Z43" s="1813" t="str">
        <f t="shared" si="18"/>
        <v>内部装修维护情况</v>
      </c>
      <c r="AA43" s="1810">
        <f t="shared" si="15"/>
        <v>1</v>
      </c>
      <c r="AB43" s="1810">
        <f t="shared" si="16"/>
        <v>1</v>
      </c>
      <c r="AC43" s="1810">
        <f t="shared" si="17"/>
        <v>1</v>
      </c>
    </row>
    <row r="44" spans="1:29" s="117" customFormat="1" ht="15">
      <c r="A44" s="473"/>
      <c r="B44" s="2980" t="s">
        <v>3220</v>
      </c>
      <c r="C44" s="2981" t="s">
        <v>3221</v>
      </c>
      <c r="D44" s="136">
        <v>100</v>
      </c>
      <c r="E44" s="2981" t="s">
        <v>3221</v>
      </c>
      <c r="F44" s="425">
        <f>SUMIF(126:126,E44,127:127)-SUMIF(126:126,C44,127:127)+100</f>
        <v>100</v>
      </c>
      <c r="G44" s="2981" t="s">
        <v>3222</v>
      </c>
      <c r="H44" s="136">
        <f>SUMIF(126:126,G44,127:127)-SUMIF(126:126,C44,127:127)+100</f>
        <v>103</v>
      </c>
      <c r="I44" s="2981" t="s">
        <v>3221</v>
      </c>
      <c r="J44" s="136">
        <f>SUMIF(126:126,I44,127:127)-SUMIF(126:126,C44,127:127)+100</f>
        <v>100</v>
      </c>
      <c r="K44" s="2601"/>
      <c r="L44" s="1132"/>
      <c r="M44" s="1133"/>
      <c r="N44" s="1133"/>
      <c r="O44" s="1133"/>
      <c r="P44" s="3240"/>
      <c r="Q44" s="1794" t="str">
        <f t="shared" si="11"/>
        <v>是否看江景</v>
      </c>
      <c r="R44" s="770" t="s">
        <v>21</v>
      </c>
      <c r="S44" s="771">
        <f t="shared" si="12"/>
        <v>100</v>
      </c>
      <c r="T44" s="770" t="s">
        <v>21</v>
      </c>
      <c r="U44" s="771">
        <f t="shared" si="13"/>
        <v>103</v>
      </c>
      <c r="V44" s="770" t="s">
        <v>21</v>
      </c>
      <c r="W44" s="771">
        <f t="shared" si="14"/>
        <v>100</v>
      </c>
      <c r="X44" s="772"/>
      <c r="Y44" s="3242"/>
      <c r="Z44" s="55" t="str">
        <f t="shared" si="18"/>
        <v>是否看江景</v>
      </c>
      <c r="AA44" s="773">
        <f t="shared" si="15"/>
        <v>1</v>
      </c>
      <c r="AB44" s="773">
        <f t="shared" si="16"/>
        <v>0.970873786407767</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0"/>
      <c r="Q45" s="1809">
        <f t="shared" si="11"/>
        <v>111</v>
      </c>
      <c r="R45" s="774" t="s">
        <v>21</v>
      </c>
      <c r="S45" s="775">
        <f t="shared" si="12"/>
        <v>100</v>
      </c>
      <c r="T45" s="774" t="s">
        <v>21</v>
      </c>
      <c r="U45" s="775">
        <f t="shared" si="13"/>
        <v>100</v>
      </c>
      <c r="V45" s="774" t="s">
        <v>21</v>
      </c>
      <c r="W45" s="775">
        <f t="shared" si="14"/>
        <v>100</v>
      </c>
      <c r="X45" s="1812"/>
      <c r="Y45" s="3242"/>
      <c r="Z45" s="1813">
        <f t="shared" si="18"/>
        <v>111</v>
      </c>
      <c r="AA45" s="1810">
        <f t="shared" si="15"/>
        <v>1</v>
      </c>
      <c r="AB45" s="1810">
        <f t="shared" si="16"/>
        <v>1</v>
      </c>
      <c r="AC45" s="1810">
        <f t="shared" si="17"/>
        <v>1</v>
      </c>
    </row>
    <row r="46" spans="1:29" ht="15.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1"/>
      <c r="Q46" s="1809">
        <f t="shared" si="11"/>
        <v>111</v>
      </c>
      <c r="R46" s="774" t="s">
        <v>20</v>
      </c>
      <c r="S46" s="775">
        <f t="shared" si="12"/>
        <v>100</v>
      </c>
      <c r="T46" s="774" t="s">
        <v>20</v>
      </c>
      <c r="U46" s="775">
        <f t="shared" si="13"/>
        <v>100</v>
      </c>
      <c r="V46" s="774" t="s">
        <v>20</v>
      </c>
      <c r="W46" s="775">
        <f t="shared" si="14"/>
        <v>100</v>
      </c>
      <c r="X46" s="1812"/>
      <c r="Y46" s="3243"/>
      <c r="Z46" s="1813">
        <f t="shared" si="18"/>
        <v>111</v>
      </c>
      <c r="AA46" s="1810">
        <f t="shared" si="15"/>
        <v>1</v>
      </c>
      <c r="AB46" s="1810">
        <f t="shared" si="16"/>
        <v>1</v>
      </c>
      <c r="AC46" s="1810">
        <f t="shared" si="17"/>
        <v>1</v>
      </c>
    </row>
    <row r="47" spans="1:29" ht="14.4">
      <c r="A47" s="479" t="s">
        <v>2568</v>
      </c>
      <c r="B47" s="480"/>
      <c r="C47" s="1407" t="s">
        <v>19</v>
      </c>
      <c r="D47" s="1408"/>
      <c r="E47" s="1409">
        <v>54000</v>
      </c>
      <c r="F47" s="1410"/>
      <c r="G47" s="1411">
        <v>60000</v>
      </c>
      <c r="H47" s="1412"/>
      <c r="I47" s="1409">
        <v>56000</v>
      </c>
      <c r="J47" s="1412"/>
      <c r="K47" s="2620"/>
      <c r="L47" s="1143"/>
      <c r="M47" s="1144"/>
      <c r="N47" s="1131"/>
      <c r="O47" s="1144"/>
      <c r="P47" s="3235" t="str">
        <f>A47</f>
        <v>成交单价（元/平方米）</v>
      </c>
      <c r="Q47" s="3235"/>
      <c r="R47" s="3236">
        <f>E47</f>
        <v>54000</v>
      </c>
      <c r="S47" s="3236"/>
      <c r="T47" s="3236">
        <f>G47</f>
        <v>60000</v>
      </c>
      <c r="U47" s="3236"/>
      <c r="V47" s="3236">
        <f>I47</f>
        <v>56000</v>
      </c>
      <c r="W47" s="3236"/>
      <c r="X47" s="759"/>
      <c r="Y47" s="781"/>
      <c r="Z47" s="759"/>
      <c r="AA47" s="759"/>
      <c r="AB47" s="759"/>
      <c r="AC47" s="759"/>
    </row>
    <row r="48" spans="1:29" ht="15" thickBot="1">
      <c r="A48" s="486" t="s">
        <v>2569</v>
      </c>
      <c r="B48" s="487"/>
      <c r="C48" s="1413">
        <f>R49</f>
        <v>57997</v>
      </c>
      <c r="D48" s="1414"/>
      <c r="E48" s="1415">
        <f>R48</f>
        <v>57806</v>
      </c>
      <c r="F48" s="1415"/>
      <c r="G48" s="1413">
        <f>T48</f>
        <v>61003</v>
      </c>
      <c r="H48" s="1414"/>
      <c r="I48" s="1415">
        <f>V48</f>
        <v>55183</v>
      </c>
      <c r="J48" s="1414"/>
      <c r="K48" s="2621"/>
      <c r="L48" s="1143"/>
      <c r="M48" s="1144"/>
      <c r="N48" s="1144"/>
      <c r="O48" s="1144"/>
      <c r="P48" s="3235" t="str">
        <f>A48</f>
        <v>比较价值（元/平方米）</v>
      </c>
      <c r="Q48" s="3235"/>
      <c r="R48" s="3236">
        <f>IF(F1="售价",ROUND(PRODUCT(R47,AA7:AA46),0),ROUND(PRODUCT(R47,AA7:AA46),1))</f>
        <v>57806</v>
      </c>
      <c r="S48" s="3236"/>
      <c r="T48" s="3236">
        <f>IF(F1="售价",ROUND(PRODUCT(T47,AB7:AB46),0),ROUND(PRODUCT(T47,AB7:AB46),1))</f>
        <v>61003</v>
      </c>
      <c r="U48" s="3236"/>
      <c r="V48" s="3236">
        <f>IF(F1="售价",ROUND(PRODUCT(V47,AC7:AC46),0),ROUND(PRODUCT(V47,AC7:AC46),1))</f>
        <v>55183</v>
      </c>
      <c r="W48" s="3236"/>
      <c r="X48" s="759"/>
      <c r="Y48" s="759"/>
      <c r="Z48" s="759"/>
      <c r="AA48" s="759"/>
      <c r="AB48" s="759"/>
      <c r="AC48" s="759"/>
    </row>
    <row r="49" spans="1:29" ht="15" thickBot="1">
      <c r="A49" s="492" t="s">
        <v>2570</v>
      </c>
      <c r="B49" s="493"/>
      <c r="C49" s="1416">
        <f>R49</f>
        <v>57997</v>
      </c>
      <c r="D49" s="1417"/>
      <c r="E49" s="1417"/>
      <c r="F49" s="1417"/>
      <c r="G49" s="1417"/>
      <c r="H49" s="1417"/>
      <c r="I49" s="1417"/>
      <c r="J49" s="1417"/>
      <c r="K49" s="2622"/>
      <c r="L49" s="1143"/>
      <c r="M49" s="1144"/>
      <c r="N49" s="1144"/>
      <c r="O49" s="1144"/>
      <c r="P49" s="3232" t="str">
        <f>A49</f>
        <v>估价对象XX用房的比较价值（楼面单价，元/平方米）</v>
      </c>
      <c r="Q49" s="3233"/>
      <c r="R49" s="3234">
        <f>IF(F1="售价",ROUND(AVERAGE(R48:V48),0),ROUND(AVERAGE(R48:V48),1))</f>
        <v>57997</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f>IF(E47&lt;E48,E48/E47-1,E47/E48-1)</f>
        <v>7.0481481481481589E-2</v>
      </c>
      <c r="F52" s="500" t="str">
        <f>IF(OR(E52&gt;=0.3,E52&lt;=-0.3),"超过30%","")</f>
        <v/>
      </c>
      <c r="G52" s="499">
        <f>IF(G47&lt;G48,G48/G47-1,G47/G48-1)</f>
        <v>1.6716666666666713E-2</v>
      </c>
      <c r="H52" s="500" t="str">
        <f>IF(OR(G52&gt;=0.3,G52&lt;=-0.3),"超过30%","")</f>
        <v/>
      </c>
      <c r="I52" s="499">
        <f>IF(I47&lt;I48,I48/I47-1,I47/I48-1)</f>
        <v>1.480528423608729E-2</v>
      </c>
      <c r="J52" s="500" t="str">
        <f>IF(OR(I52&gt;=0.3,I52&lt;=-0.3),"超过30%","")</f>
        <v/>
      </c>
      <c r="K52" s="1105"/>
      <c r="L52" s="1106"/>
      <c r="M52" s="1144"/>
      <c r="N52" s="1144"/>
      <c r="O52" s="1144"/>
    </row>
    <row r="53" spans="1:29" ht="13.5" customHeight="1">
      <c r="A53" s="1144"/>
      <c r="B53" s="1144"/>
      <c r="C53" s="497" t="s">
        <v>2572</v>
      </c>
      <c r="D53" s="501"/>
      <c r="E53" s="499">
        <f>IF(E48&lt;G48,G48/E48-1,E48/G48-1)</f>
        <v>5.5305677611320547E-2</v>
      </c>
      <c r="F53" s="500" t="str">
        <f>IF(OR(E53&gt;=0.2,E53&lt;=-0.2),"超过20%","")</f>
        <v/>
      </c>
      <c r="G53" s="499">
        <f>IF(G48&lt;I48,I48/G48-1,G48/I48-1)</f>
        <v>0.10546726346882185</v>
      </c>
      <c r="H53" s="500" t="str">
        <f>IF(OR(G53&gt;=0.2,G53&lt;=-0.2),"超过20%","")</f>
        <v/>
      </c>
      <c r="I53" s="499">
        <f>IF(I48&lt;E48,E48/I48-1,I48/E48-1)</f>
        <v>4.7532754652700904E-2</v>
      </c>
      <c r="J53" s="500" t="str">
        <f>IF(OR(I53&gt;=0.2,I53&lt;=-0.2),"超过20%","")</f>
        <v/>
      </c>
      <c r="K53" s="1105"/>
      <c r="L53" s="1106"/>
      <c r="M53" s="1144"/>
      <c r="N53" s="1144"/>
      <c r="O53" s="1144"/>
    </row>
    <row r="54" spans="1:29" s="502" customFormat="1" ht="13.5" customHeight="1">
      <c r="A54" s="1145"/>
      <c r="B54" s="1145"/>
      <c r="C54" s="497" t="s">
        <v>2573</v>
      </c>
      <c r="D54" s="501"/>
      <c r="E54" s="499">
        <f>IF(E47&lt;G47,G47/E47-1,E47/G47-1)</f>
        <v>0.11111111111111116</v>
      </c>
      <c r="F54" s="500" t="str">
        <f>IF(OR(E54&gt;=0.3,E54&lt;=-0.3),"超过30%","")</f>
        <v/>
      </c>
      <c r="G54" s="499">
        <f>IF(G47&lt;I47,I47/G47-1,G47/I47-1)</f>
        <v>7.1428571428571397E-2</v>
      </c>
      <c r="H54" s="500" t="str">
        <f>IF(OR(G54&gt;=0.3,G54&lt;=-0.3),"超过30%","")</f>
        <v/>
      </c>
      <c r="I54" s="499">
        <f>IF(I47&lt;E47,E47/I47-1,I47/E47-1)</f>
        <v>3.7037037037036979E-2</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2.2" thickBot="1">
      <c r="A57" s="763" t="s">
        <v>2574</v>
      </c>
      <c r="B57" s="759"/>
      <c r="C57" s="764"/>
      <c r="D57" s="764"/>
      <c r="E57" s="764"/>
      <c r="F57" s="765"/>
      <c r="G57" s="765"/>
      <c r="H57" s="764"/>
      <c r="I57" s="764"/>
      <c r="J57" s="764"/>
      <c r="K57" s="1160"/>
      <c r="L57" s="1161"/>
      <c r="M57" s="1159"/>
      <c r="N57" s="1159"/>
      <c r="O57" s="1159"/>
      <c r="P57" s="2625"/>
      <c r="Q57" s="504"/>
    </row>
    <row r="58" spans="1:29" s="508" customFormat="1" ht="14.4">
      <c r="A58" s="505" t="s">
        <v>2575</v>
      </c>
      <c r="B58" s="506"/>
      <c r="C58" s="1575" t="str">
        <f>YEAR(C7)&amp;"-"&amp;MONTH(C7)</f>
        <v>2019-9</v>
      </c>
      <c r="D58" s="1574">
        <f>EDATE(C58,-1)</f>
        <v>43678</v>
      </c>
      <c r="E58" s="1574">
        <f>EDATE(D58,-1)</f>
        <v>43647</v>
      </c>
      <c r="F58" s="1574">
        <f t="shared" ref="F58:O58" si="19">EDATE(E58,-1)</f>
        <v>43617</v>
      </c>
      <c r="G58" s="1574">
        <f t="shared" si="19"/>
        <v>43586</v>
      </c>
      <c r="H58" s="1574">
        <f t="shared" si="19"/>
        <v>43556</v>
      </c>
      <c r="I58" s="1574">
        <f t="shared" si="19"/>
        <v>43525</v>
      </c>
      <c r="J58" s="1574">
        <f t="shared" si="19"/>
        <v>43497</v>
      </c>
      <c r="K58" s="1574">
        <f t="shared" si="19"/>
        <v>43466</v>
      </c>
      <c r="L58" s="1574">
        <f t="shared" si="19"/>
        <v>43435</v>
      </c>
      <c r="M58" s="1574">
        <f t="shared" si="19"/>
        <v>43405</v>
      </c>
      <c r="N58" s="1574">
        <f t="shared" si="19"/>
        <v>43374</v>
      </c>
      <c r="O58" s="1574">
        <f t="shared" si="19"/>
        <v>43344</v>
      </c>
      <c r="P58" s="1569"/>
    </row>
    <row r="59" spans="1:29" s="117" customFormat="1">
      <c r="A59" s="509"/>
      <c r="B59" s="2626"/>
      <c r="C59" s="1572">
        <v>100</v>
      </c>
      <c r="D59" s="511">
        <v>100</v>
      </c>
      <c r="E59" s="512">
        <v>100</v>
      </c>
      <c r="F59" s="512">
        <v>99.5</v>
      </c>
      <c r="G59" s="512">
        <v>99.5</v>
      </c>
      <c r="H59" s="512">
        <v>99.5</v>
      </c>
      <c r="I59" s="512"/>
      <c r="J59" s="512"/>
      <c r="K59" s="512"/>
      <c r="L59" s="512"/>
      <c r="M59" s="513"/>
      <c r="N59" s="512"/>
      <c r="O59" s="513"/>
      <c r="P59" s="2627"/>
    </row>
    <row r="60" spans="1:29" s="117" customFormat="1" ht="15" thickBot="1">
      <c r="A60" s="515" t="s">
        <v>2576</v>
      </c>
      <c r="B60" s="516"/>
      <c r="C60" s="517"/>
      <c r="D60" s="518"/>
      <c r="E60" s="518"/>
      <c r="F60" s="518"/>
      <c r="G60" s="518"/>
      <c r="H60" s="518"/>
      <c r="I60" s="518"/>
      <c r="J60" s="518"/>
      <c r="K60" s="518"/>
      <c r="L60" s="518"/>
      <c r="M60" s="519"/>
      <c r="N60" s="518"/>
      <c r="O60" s="519"/>
      <c r="P60" s="2627"/>
      <c r="Q60" s="504"/>
    </row>
    <row r="61" spans="1:29" s="117" customFormat="1" ht="14.4">
      <c r="A61" s="521" t="s">
        <v>2577</v>
      </c>
      <c r="B61" s="510"/>
      <c r="C61" s="522" t="s">
        <v>2578</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2579</v>
      </c>
      <c r="B63" s="528" t="s">
        <v>2545</v>
      </c>
      <c r="C63" s="529" t="str">
        <f>C9</f>
        <v>住宅</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9"/>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 thickTop="1">
      <c r="A67" s="534"/>
      <c r="B67" s="546" t="s">
        <v>2549</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v>
      </c>
      <c r="L67" s="547" t="str">
        <f t="shared" si="21"/>
        <v>（含）-</v>
      </c>
      <c r="M67" s="448" t="str">
        <f>M68&amp;"（含）"&amp;"-"&amp;P68</f>
        <v>（含）-</v>
      </c>
      <c r="N67" s="1153"/>
      <c r="O67" s="1153"/>
      <c r="P67" s="2629"/>
      <c r="Q67" s="504"/>
    </row>
    <row r="68" spans="1:17">
      <c r="A68" s="534"/>
      <c r="B68" s="548"/>
      <c r="C68" s="549">
        <v>0</v>
      </c>
      <c r="D68" s="549">
        <v>1</v>
      </c>
      <c r="E68" s="549">
        <v>2</v>
      </c>
      <c r="F68" s="549">
        <v>3</v>
      </c>
      <c r="G68" s="549">
        <v>4</v>
      </c>
      <c r="H68" s="549">
        <v>5</v>
      </c>
      <c r="I68" s="549">
        <v>6</v>
      </c>
      <c r="J68" s="549">
        <v>7</v>
      </c>
      <c r="K68" s="549">
        <v>8</v>
      </c>
      <c r="L68" s="551"/>
      <c r="M68" s="552"/>
      <c r="N68" s="1152"/>
      <c r="O68" s="1152"/>
      <c r="P68" s="2629"/>
      <c r="Q68" s="504"/>
    </row>
    <row r="69" spans="1:17" ht="14.4" thickBot="1">
      <c r="A69" s="534"/>
      <c r="B69" s="535"/>
      <c r="C69" s="544">
        <v>100</v>
      </c>
      <c r="D69" s="544">
        <f t="shared" ref="D69:M69" si="22">C69-$K11</f>
        <v>98.5</v>
      </c>
      <c r="E69" s="544">
        <f t="shared" si="22"/>
        <v>97</v>
      </c>
      <c r="F69" s="544">
        <f t="shared" si="22"/>
        <v>95.5</v>
      </c>
      <c r="G69" s="544">
        <f t="shared" si="22"/>
        <v>94</v>
      </c>
      <c r="H69" s="544">
        <f t="shared" si="22"/>
        <v>92.5</v>
      </c>
      <c r="I69" s="544">
        <f t="shared" si="22"/>
        <v>91</v>
      </c>
      <c r="J69" s="544">
        <f t="shared" si="22"/>
        <v>89.5</v>
      </c>
      <c r="K69" s="544">
        <f t="shared" si="22"/>
        <v>88</v>
      </c>
      <c r="L69" s="544">
        <f t="shared" si="22"/>
        <v>86.5</v>
      </c>
      <c r="M69" s="545">
        <f t="shared" si="22"/>
        <v>85</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60"/>
      <c r="E73" s="560"/>
      <c r="F73" s="560"/>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52"/>
      <c r="O76" s="1152"/>
      <c r="P76" s="2633"/>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52"/>
      <c r="O78" s="1152"/>
      <c r="P78" s="2629"/>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9"/>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52"/>
      <c r="O80" s="1152"/>
      <c r="P80" s="2629"/>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9"/>
      <c r="Q81" s="504"/>
    </row>
    <row r="82" spans="1:17" ht="15" thickTop="1">
      <c r="A82" s="534"/>
      <c r="B82" s="546" t="s">
        <v>2093</v>
      </c>
      <c r="C82" s="539" t="s">
        <v>2595</v>
      </c>
      <c r="D82" s="539" t="s">
        <v>2596</v>
      </c>
      <c r="E82" s="539" t="s">
        <v>2597</v>
      </c>
      <c r="F82" s="539" t="s">
        <v>2598</v>
      </c>
      <c r="G82" s="539" t="s">
        <v>2599</v>
      </c>
      <c r="H82" s="539"/>
      <c r="I82" s="539"/>
      <c r="J82" s="539"/>
      <c r="K82" s="539"/>
      <c r="L82" s="539"/>
      <c r="M82" s="1382"/>
      <c r="N82" s="1153"/>
      <c r="O82" s="1153"/>
      <c r="P82" s="2629"/>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52"/>
      <c r="O84" s="1152"/>
      <c r="P84" s="2629"/>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9"/>
      <c r="Q85" s="504"/>
    </row>
    <row r="86" spans="1:17" s="117" customFormat="1" ht="15" thickTop="1">
      <c r="A86" s="579"/>
      <c r="B86" s="538" t="s">
        <v>2601</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 thickTop="1">
      <c r="A88" s="579"/>
      <c r="B88" s="538" t="s">
        <v>2602</v>
      </c>
      <c r="C88" s="554"/>
      <c r="D88" s="554"/>
      <c r="E88" s="554"/>
      <c r="F88" s="2634"/>
      <c r="G88" s="554"/>
      <c r="H88" s="554"/>
      <c r="I88" s="554"/>
      <c r="J88" s="554"/>
      <c r="K88" s="554"/>
      <c r="L88" s="554"/>
      <c r="M88" s="581"/>
      <c r="N88" s="1151"/>
      <c r="O88" s="1151"/>
      <c r="P88" s="2629"/>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4.4" thickTop="1">
      <c r="A90" s="553"/>
      <c r="B90" s="538">
        <f>B27</f>
        <v>111</v>
      </c>
      <c r="C90" s="554"/>
      <c r="D90" s="554"/>
      <c r="E90" s="554"/>
      <c r="F90" s="554"/>
      <c r="G90" s="554"/>
      <c r="H90" s="555"/>
      <c r="I90" s="555"/>
      <c r="J90" s="555"/>
      <c r="K90" s="555"/>
      <c r="L90" s="556"/>
      <c r="M90" s="557"/>
      <c r="N90" s="1154"/>
      <c r="O90" s="1154"/>
      <c r="P90" s="2630"/>
      <c r="Q90" s="559"/>
    </row>
    <row r="91" spans="1:17" s="471" customFormat="1" ht="14.4" thickBot="1">
      <c r="A91" s="553"/>
      <c r="B91" s="543"/>
      <c r="C91" s="560"/>
      <c r="D91" s="560"/>
      <c r="E91" s="560"/>
      <c r="F91" s="560"/>
      <c r="G91" s="560"/>
      <c r="H91" s="562"/>
      <c r="I91" s="562"/>
      <c r="J91" s="562"/>
      <c r="K91" s="562"/>
      <c r="L91" s="562"/>
      <c r="M91" s="563"/>
      <c r="N91" s="1154"/>
      <c r="O91" s="1154"/>
      <c r="P91" s="2630"/>
      <c r="Q91" s="559"/>
    </row>
    <row r="92" spans="1:17" ht="14.4" thickTop="1">
      <c r="A92" s="534"/>
      <c r="B92" s="538">
        <f>B28</f>
        <v>111</v>
      </c>
      <c r="C92" s="554"/>
      <c r="D92" s="554"/>
      <c r="E92" s="554"/>
      <c r="F92" s="554"/>
      <c r="G92" s="583"/>
      <c r="H92" s="583"/>
      <c r="I92" s="583"/>
      <c r="J92" s="583"/>
      <c r="K92" s="584"/>
      <c r="L92" s="585"/>
      <c r="M92" s="586"/>
      <c r="N92" s="1152"/>
      <c r="O92" s="1152"/>
      <c r="P92" s="2629"/>
      <c r="Q92" s="504"/>
    </row>
    <row r="93" spans="1:17" ht="14.4" thickBot="1">
      <c r="A93" s="534"/>
      <c r="B93" s="543"/>
      <c r="C93" s="560"/>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60"/>
      <c r="E95" s="560"/>
      <c r="F95" s="560"/>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70"/>
      <c r="D97" s="570"/>
      <c r="E97" s="570"/>
      <c r="F97" s="570"/>
      <c r="G97" s="536"/>
      <c r="H97" s="536"/>
      <c r="I97" s="536"/>
      <c r="J97" s="536"/>
      <c r="K97" s="536"/>
      <c r="L97" s="536"/>
      <c r="M97" s="537"/>
      <c r="N97" s="1153"/>
      <c r="O97" s="1153"/>
      <c r="P97" s="2629"/>
      <c r="Q97" s="504"/>
    </row>
    <row r="98" spans="1:17" ht="14.4" thickTop="1">
      <c r="A98" s="534"/>
      <c r="B98" s="546">
        <f>B31</f>
        <v>111</v>
      </c>
      <c r="C98" s="587"/>
      <c r="D98" s="587"/>
      <c r="E98" s="587"/>
      <c r="F98" s="587"/>
      <c r="G98" s="587"/>
      <c r="H98" s="587"/>
      <c r="I98" s="587"/>
      <c r="J98" s="587"/>
      <c r="K98" s="588"/>
      <c r="L98" s="589"/>
      <c r="M98" s="590"/>
      <c r="N98" s="1152"/>
      <c r="O98" s="1152"/>
      <c r="P98" s="2629"/>
      <c r="Q98" s="504"/>
    </row>
    <row r="99" spans="1:17" ht="14.4" thickBot="1">
      <c r="A99" s="2635"/>
      <c r="B99" s="569"/>
      <c r="C99" s="591"/>
      <c r="D99" s="591"/>
      <c r="E99" s="591"/>
      <c r="F99" s="591"/>
      <c r="G99" s="591"/>
      <c r="H99" s="591"/>
      <c r="I99" s="591"/>
      <c r="J99" s="591"/>
      <c r="K99" s="591"/>
      <c r="L99" s="591"/>
      <c r="M99" s="592"/>
      <c r="N99" s="1153"/>
      <c r="O99" s="1153"/>
      <c r="P99" s="2629"/>
      <c r="Q99" s="504"/>
    </row>
    <row r="100" spans="1:17" ht="14.4">
      <c r="A100" s="527" t="s">
        <v>2554</v>
      </c>
      <c r="B100" s="528" t="s">
        <v>2603</v>
      </c>
      <c r="C100" s="2974" t="s">
        <v>3188</v>
      </c>
      <c r="D100" s="2974" t="s">
        <v>3190</v>
      </c>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9"/>
      <c r="Q101" s="504"/>
    </row>
    <row r="102" spans="1:17" ht="28.2" thickTop="1">
      <c r="A102" s="534"/>
      <c r="B102" s="538" t="s">
        <v>2604</v>
      </c>
      <c r="C102" s="578" t="str">
        <f>C103&amp;"(含)"&amp;"-"&amp;D103</f>
        <v>0(含)-200000</v>
      </c>
      <c r="D102" s="578" t="str">
        <f t="shared" ref="D102:L102" si="27">D103&amp;"(含)"&amp;"-"&amp;E103</f>
        <v>200000(含)-400000</v>
      </c>
      <c r="E102" s="578" t="str">
        <f t="shared" si="27"/>
        <v>400000(含)-600000</v>
      </c>
      <c r="F102" s="578" t="str">
        <f t="shared" si="27"/>
        <v>600000(含)-800000</v>
      </c>
      <c r="G102" s="578" t="str">
        <f t="shared" si="27"/>
        <v>800000(含)-1000000</v>
      </c>
      <c r="H102" s="578" t="str">
        <f t="shared" si="27"/>
        <v>1000000(含)-1200000</v>
      </c>
      <c r="I102" s="578" t="str">
        <f t="shared" si="27"/>
        <v>1200000(含)-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f>C103+200000</f>
        <v>200000</v>
      </c>
      <c r="E103" s="595">
        <f t="shared" ref="E103:I103" si="28">D103+200000</f>
        <v>400000</v>
      </c>
      <c r="F103" s="595">
        <f t="shared" si="28"/>
        <v>600000</v>
      </c>
      <c r="G103" s="595">
        <f t="shared" si="28"/>
        <v>800000</v>
      </c>
      <c r="H103" s="595">
        <f t="shared" si="28"/>
        <v>1000000</v>
      </c>
      <c r="I103" s="595">
        <f t="shared" si="28"/>
        <v>1200000</v>
      </c>
      <c r="J103" s="596"/>
      <c r="K103" s="596"/>
      <c r="L103" s="597"/>
      <c r="M103" s="598"/>
      <c r="N103" s="1154"/>
      <c r="O103" s="1154"/>
      <c r="P103" s="2630"/>
      <c r="Q103" s="559"/>
    </row>
    <row r="104" spans="1:17" s="471" customFormat="1" ht="14.4" thickBot="1">
      <c r="A104" s="553"/>
      <c r="B104" s="543"/>
      <c r="C104" s="560">
        <v>100</v>
      </c>
      <c r="D104" s="536">
        <f>C104+1</f>
        <v>101</v>
      </c>
      <c r="E104" s="536">
        <f t="shared" ref="E104:I104" si="29">D104+1</f>
        <v>102</v>
      </c>
      <c r="F104" s="536">
        <f t="shared" si="29"/>
        <v>103</v>
      </c>
      <c r="G104" s="536">
        <f t="shared" si="29"/>
        <v>104</v>
      </c>
      <c r="H104" s="536">
        <f t="shared" si="29"/>
        <v>105</v>
      </c>
      <c r="I104" s="536">
        <f t="shared" si="29"/>
        <v>106</v>
      </c>
      <c r="J104" s="536"/>
      <c r="K104" s="536"/>
      <c r="L104" s="536"/>
      <c r="M104" s="536"/>
      <c r="N104" s="1153"/>
      <c r="O104" s="1153"/>
      <c r="P104" s="2630"/>
      <c r="Q104" s="559"/>
    </row>
    <row r="105" spans="1:17" ht="15" thickTop="1">
      <c r="A105" s="599"/>
      <c r="B105" s="538" t="s">
        <v>2605</v>
      </c>
      <c r="C105" s="2975" t="s">
        <v>3223</v>
      </c>
      <c r="D105" s="2975"/>
      <c r="E105" s="2975"/>
      <c r="F105" s="2976"/>
      <c r="G105" s="583"/>
      <c r="H105" s="583"/>
      <c r="I105" s="583"/>
      <c r="J105" s="583"/>
      <c r="K105" s="584"/>
      <c r="L105" s="585"/>
      <c r="M105" s="586"/>
      <c r="N105" s="1152"/>
      <c r="O105" s="1152"/>
      <c r="P105" s="2629"/>
      <c r="Q105" s="504"/>
    </row>
    <row r="106" spans="1:17" ht="14.4" thickBot="1">
      <c r="A106" s="534"/>
      <c r="B106" s="543"/>
      <c r="C106" s="544">
        <v>100</v>
      </c>
      <c r="D106" s="544">
        <f t="shared" ref="D106:M106" si="30">C106-$K34</f>
        <v>99</v>
      </c>
      <c r="E106" s="544">
        <f t="shared" si="30"/>
        <v>98</v>
      </c>
      <c r="F106" s="544">
        <f t="shared" si="30"/>
        <v>97</v>
      </c>
      <c r="G106" s="544">
        <f t="shared" si="30"/>
        <v>96</v>
      </c>
      <c r="H106" s="544">
        <f t="shared" si="30"/>
        <v>95</v>
      </c>
      <c r="I106" s="544">
        <f t="shared" si="30"/>
        <v>94</v>
      </c>
      <c r="J106" s="544">
        <f t="shared" si="30"/>
        <v>93</v>
      </c>
      <c r="K106" s="544">
        <f t="shared" si="30"/>
        <v>92</v>
      </c>
      <c r="L106" s="544">
        <f t="shared" si="30"/>
        <v>91</v>
      </c>
      <c r="M106" s="544">
        <f t="shared" si="30"/>
        <v>90</v>
      </c>
      <c r="N106" s="1153"/>
      <c r="O106" s="1153"/>
      <c r="P106" s="2629"/>
      <c r="Q106" s="504"/>
    </row>
    <row r="107" spans="1:17" ht="15" thickTop="1">
      <c r="A107" s="599"/>
      <c r="B107" s="538" t="s">
        <v>2606</v>
      </c>
      <c r="C107" s="2975" t="s">
        <v>3206</v>
      </c>
      <c r="D107" s="2975" t="s">
        <v>3208</v>
      </c>
      <c r="E107" s="2976" t="s">
        <v>3210</v>
      </c>
      <c r="F107" s="2976" t="s">
        <v>3211</v>
      </c>
      <c r="G107" s="2976" t="s">
        <v>3212</v>
      </c>
      <c r="H107" s="583"/>
      <c r="I107" s="583"/>
      <c r="J107" s="583"/>
      <c r="K107" s="584"/>
      <c r="L107" s="585"/>
      <c r="M107" s="586"/>
      <c r="N107" s="1152"/>
      <c r="O107" s="1152"/>
      <c r="P107" s="2629"/>
      <c r="Q107" s="504"/>
    </row>
    <row r="108" spans="1:17" ht="14.4" thickBot="1">
      <c r="A108" s="534"/>
      <c r="B108" s="543"/>
      <c r="C108" s="544">
        <v>100</v>
      </c>
      <c r="D108" s="544">
        <f t="shared" ref="D108:M108" si="31">C108-$K35</f>
        <v>99</v>
      </c>
      <c r="E108" s="544">
        <f t="shared" si="31"/>
        <v>98</v>
      </c>
      <c r="F108" s="544">
        <f t="shared" si="31"/>
        <v>97</v>
      </c>
      <c r="G108" s="544">
        <f t="shared" si="31"/>
        <v>96</v>
      </c>
      <c r="H108" s="544">
        <f t="shared" si="31"/>
        <v>95</v>
      </c>
      <c r="I108" s="544">
        <f t="shared" si="31"/>
        <v>94</v>
      </c>
      <c r="J108" s="544">
        <f t="shared" si="31"/>
        <v>93</v>
      </c>
      <c r="K108" s="544">
        <f t="shared" si="31"/>
        <v>92</v>
      </c>
      <c r="L108" s="544">
        <f t="shared" si="31"/>
        <v>91</v>
      </c>
      <c r="M108" s="544">
        <f t="shared" si="31"/>
        <v>90</v>
      </c>
      <c r="N108" s="1153"/>
      <c r="O108" s="1153"/>
      <c r="P108" s="2629"/>
      <c r="Q108" s="504"/>
    </row>
    <row r="109" spans="1:17" ht="15" thickTop="1">
      <c r="A109" s="599"/>
      <c r="B109" s="538" t="s">
        <v>2607</v>
      </c>
      <c r="C109" s="2975" t="s">
        <v>3191</v>
      </c>
      <c r="D109" s="2975" t="s">
        <v>3192</v>
      </c>
      <c r="E109" s="2975" t="s">
        <v>3193</v>
      </c>
      <c r="F109" s="2976" t="s">
        <v>3194</v>
      </c>
      <c r="G109" s="583"/>
      <c r="H109" s="583"/>
      <c r="I109" s="583"/>
      <c r="J109" s="583"/>
      <c r="K109" s="584"/>
      <c r="L109" s="585"/>
      <c r="M109" s="586"/>
      <c r="N109" s="1152"/>
      <c r="O109" s="1152"/>
      <c r="P109" s="2629"/>
      <c r="Q109" s="504"/>
    </row>
    <row r="110" spans="1:17" ht="14.4" thickBot="1">
      <c r="A110" s="534"/>
      <c r="B110" s="543"/>
      <c r="C110" s="544">
        <v>100</v>
      </c>
      <c r="D110" s="544">
        <f t="shared" ref="D110:M110" si="32">C110-$K36</f>
        <v>99</v>
      </c>
      <c r="E110" s="544">
        <f t="shared" si="32"/>
        <v>98</v>
      </c>
      <c r="F110" s="544">
        <f t="shared" si="32"/>
        <v>97</v>
      </c>
      <c r="G110" s="544">
        <f t="shared" si="32"/>
        <v>96</v>
      </c>
      <c r="H110" s="544">
        <f t="shared" si="32"/>
        <v>95</v>
      </c>
      <c r="I110" s="544">
        <f t="shared" si="32"/>
        <v>94</v>
      </c>
      <c r="J110" s="544">
        <f t="shared" si="32"/>
        <v>93</v>
      </c>
      <c r="K110" s="544">
        <f t="shared" si="32"/>
        <v>92</v>
      </c>
      <c r="L110" s="544">
        <f t="shared" si="32"/>
        <v>91</v>
      </c>
      <c r="M110" s="544">
        <f t="shared" si="32"/>
        <v>90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2608</v>
      </c>
      <c r="C114" s="2975" t="s">
        <v>3206</v>
      </c>
      <c r="D114" s="2975" t="s">
        <v>3208</v>
      </c>
      <c r="E114" s="2976" t="s">
        <v>3210</v>
      </c>
      <c r="F114" s="2976" t="s">
        <v>3211</v>
      </c>
      <c r="G114" s="2976" t="s">
        <v>3212</v>
      </c>
      <c r="H114" s="583"/>
      <c r="I114" s="583"/>
      <c r="J114" s="583"/>
      <c r="K114" s="584"/>
      <c r="L114" s="585"/>
      <c r="M114" s="586"/>
      <c r="N114" s="1152"/>
      <c r="O114" s="1152"/>
      <c r="P114" s="2629"/>
      <c r="Q114" s="504"/>
    </row>
    <row r="115" spans="1:17" ht="14.4" thickBot="1">
      <c r="A115" s="534"/>
      <c r="B115" s="543"/>
      <c r="C115" s="544">
        <v>100</v>
      </c>
      <c r="D115" s="544">
        <f t="shared" ref="D115:M115" si="33">C115-$K38</f>
        <v>99</v>
      </c>
      <c r="E115" s="544">
        <f t="shared" si="33"/>
        <v>98</v>
      </c>
      <c r="F115" s="544">
        <f t="shared" si="33"/>
        <v>97</v>
      </c>
      <c r="G115" s="544">
        <f t="shared" si="33"/>
        <v>96</v>
      </c>
      <c r="H115" s="544">
        <f t="shared" si="33"/>
        <v>95</v>
      </c>
      <c r="I115" s="544">
        <f t="shared" si="33"/>
        <v>94</v>
      </c>
      <c r="J115" s="544">
        <f t="shared" si="33"/>
        <v>93</v>
      </c>
      <c r="K115" s="544">
        <f t="shared" si="33"/>
        <v>92</v>
      </c>
      <c r="L115" s="544">
        <f t="shared" si="33"/>
        <v>91</v>
      </c>
      <c r="M115" s="544">
        <f t="shared" si="33"/>
        <v>90</v>
      </c>
      <c r="N115" s="1153"/>
      <c r="O115" s="1153"/>
      <c r="P115" s="2629"/>
      <c r="Q115" s="504"/>
    </row>
    <row r="116" spans="1:17" ht="15" thickTop="1">
      <c r="A116" s="599"/>
      <c r="B116" s="538" t="s">
        <v>2609</v>
      </c>
      <c r="C116" s="2975" t="s">
        <v>3198</v>
      </c>
      <c r="D116" s="2975" t="s">
        <v>3200</v>
      </c>
      <c r="E116" s="2975" t="s">
        <v>3201</v>
      </c>
      <c r="F116" s="2975" t="s">
        <v>3202</v>
      </c>
      <c r="G116" s="554"/>
      <c r="H116" s="583"/>
      <c r="I116" s="583"/>
      <c r="J116" s="583"/>
      <c r="K116" s="584"/>
      <c r="L116" s="585"/>
      <c r="M116" s="586"/>
      <c r="N116" s="1152"/>
      <c r="O116" s="1152"/>
      <c r="P116" s="2629"/>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2610</v>
      </c>
      <c r="C118" s="2976" t="s">
        <v>3204</v>
      </c>
      <c r="D118" s="583"/>
      <c r="E118" s="583"/>
      <c r="F118" s="583"/>
      <c r="G118" s="583"/>
      <c r="H118" s="583"/>
      <c r="I118" s="583"/>
      <c r="J118" s="583"/>
      <c r="K118" s="584"/>
      <c r="L118" s="585"/>
      <c r="M118" s="586"/>
      <c r="N118" s="1152"/>
      <c r="O118" s="1152"/>
      <c r="P118" s="2629"/>
      <c r="Q118" s="504"/>
    </row>
    <row r="119" spans="1:17" ht="14.4" thickBot="1">
      <c r="A119" s="534"/>
      <c r="B119" s="543"/>
      <c r="C119" s="544">
        <v>100</v>
      </c>
      <c r="D119" s="544">
        <f t="shared" ref="D119:M119" si="34">C119-$K40</f>
        <v>99</v>
      </c>
      <c r="E119" s="544">
        <f t="shared" si="34"/>
        <v>98</v>
      </c>
      <c r="F119" s="544">
        <f t="shared" si="34"/>
        <v>97</v>
      </c>
      <c r="G119" s="544">
        <f t="shared" si="34"/>
        <v>96</v>
      </c>
      <c r="H119" s="544">
        <f t="shared" si="34"/>
        <v>95</v>
      </c>
      <c r="I119" s="544">
        <f t="shared" si="34"/>
        <v>94</v>
      </c>
      <c r="J119" s="544">
        <f t="shared" si="34"/>
        <v>93</v>
      </c>
      <c r="K119" s="544">
        <f t="shared" si="34"/>
        <v>92</v>
      </c>
      <c r="L119" s="544">
        <f t="shared" si="34"/>
        <v>91</v>
      </c>
      <c r="M119" s="544">
        <f t="shared" si="34"/>
        <v>90</v>
      </c>
      <c r="N119" s="1153"/>
      <c r="O119" s="1153"/>
      <c r="P119" s="2629"/>
      <c r="Q119" s="504"/>
    </row>
    <row r="120" spans="1:17" s="471" customFormat="1" ht="29.4" thickTop="1">
      <c r="A120" s="593"/>
      <c r="B120" s="538" t="s">
        <v>2565</v>
      </c>
      <c r="C120" s="554"/>
      <c r="D120" s="554"/>
      <c r="E120" s="554"/>
      <c r="F120" s="554"/>
      <c r="G120" s="554"/>
      <c r="H120" s="554"/>
      <c r="I120" s="554"/>
      <c r="J120" s="554"/>
      <c r="K120" s="554"/>
      <c r="L120" s="580"/>
      <c r="M120" s="581"/>
      <c r="N120" s="1154"/>
      <c r="O120" s="1154"/>
      <c r="P120" s="2630"/>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2611</v>
      </c>
      <c r="C122" s="2975" t="s">
        <v>3191</v>
      </c>
      <c r="D122" s="2975" t="s">
        <v>3192</v>
      </c>
      <c r="E122" s="2975" t="s">
        <v>3193</v>
      </c>
      <c r="F122" s="2976" t="s">
        <v>3194</v>
      </c>
      <c r="G122" s="583"/>
      <c r="H122" s="583"/>
      <c r="I122" s="583"/>
      <c r="J122" s="583"/>
      <c r="K122" s="584"/>
      <c r="L122" s="585"/>
      <c r="M122" s="586"/>
      <c r="N122" s="1152"/>
      <c r="O122" s="1152"/>
      <c r="P122" s="2629"/>
      <c r="Q122" s="504"/>
    </row>
    <row r="123" spans="1:17" ht="14.4" thickBot="1">
      <c r="A123" s="534"/>
      <c r="B123" s="543"/>
      <c r="C123" s="544">
        <v>100</v>
      </c>
      <c r="D123" s="544">
        <f t="shared" ref="D123:M123" si="35">C123-$K42</f>
        <v>99</v>
      </c>
      <c r="E123" s="544">
        <f t="shared" si="35"/>
        <v>98</v>
      </c>
      <c r="F123" s="544">
        <f t="shared" si="35"/>
        <v>97</v>
      </c>
      <c r="G123" s="544">
        <f t="shared" si="35"/>
        <v>96</v>
      </c>
      <c r="H123" s="544">
        <f t="shared" si="35"/>
        <v>95</v>
      </c>
      <c r="I123" s="544">
        <f t="shared" si="35"/>
        <v>94</v>
      </c>
      <c r="J123" s="544">
        <f t="shared" si="35"/>
        <v>93</v>
      </c>
      <c r="K123" s="544">
        <f t="shared" si="35"/>
        <v>92</v>
      </c>
      <c r="L123" s="544">
        <f t="shared" si="35"/>
        <v>91</v>
      </c>
      <c r="M123" s="544">
        <f t="shared" si="35"/>
        <v>90</v>
      </c>
      <c r="N123" s="1153"/>
      <c r="O123" s="1153"/>
      <c r="P123" s="2629"/>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30"/>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9"/>
      <c r="Q125" s="504"/>
    </row>
    <row r="126" spans="1:17" s="471" customFormat="1" ht="15" thickTop="1">
      <c r="A126" s="593"/>
      <c r="B126" s="538" t="str">
        <f>B44</f>
        <v>是否看江景</v>
      </c>
      <c r="C126" s="2975" t="s">
        <v>3195</v>
      </c>
      <c r="D126" s="2975" t="s">
        <v>3196</v>
      </c>
      <c r="E126" s="554"/>
      <c r="F126" s="554"/>
      <c r="G126" s="554"/>
      <c r="H126" s="555"/>
      <c r="I126" s="555"/>
      <c r="J126" s="555"/>
      <c r="K126" s="555"/>
      <c r="L126" s="556"/>
      <c r="M126" s="557"/>
      <c r="N126" s="1154"/>
      <c r="O126" s="1154"/>
      <c r="P126" s="2630"/>
      <c r="Q126" s="559"/>
    </row>
    <row r="127" spans="1:17" s="471" customFormat="1" ht="14.4" thickBot="1">
      <c r="A127" s="553"/>
      <c r="B127" s="543"/>
      <c r="C127" s="560">
        <v>100</v>
      </c>
      <c r="D127" s="536">
        <v>103</v>
      </c>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60"/>
      <c r="E129" s="560"/>
      <c r="F129" s="560"/>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2613</v>
      </c>
    </row>
    <row r="137" spans="1:17" ht="15">
      <c r="B137" s="2637" t="s">
        <v>2614</v>
      </c>
      <c r="C137" s="2638"/>
      <c r="D137" s="2638"/>
      <c r="E137" s="2638"/>
      <c r="F137" s="2638"/>
      <c r="G137" s="2639"/>
      <c r="H137" s="2640"/>
      <c r="I137" s="2641" t="s">
        <v>2615</v>
      </c>
      <c r="J137" s="2638"/>
      <c r="K137" s="2642"/>
    </row>
    <row r="138" spans="1:17" ht="15">
      <c r="B138" s="2643"/>
      <c r="C138" s="146" t="s">
        <v>2616</v>
      </c>
      <c r="D138" s="146" t="s">
        <v>2617</v>
      </c>
      <c r="E138" s="2644" t="s">
        <v>2618</v>
      </c>
      <c r="F138" s="2645" t="s">
        <v>2619</v>
      </c>
      <c r="G138" s="146" t="s">
        <v>2617</v>
      </c>
      <c r="H138" s="147" t="s">
        <v>2618</v>
      </c>
      <c r="I138" s="2646"/>
      <c r="J138" s="146" t="s">
        <v>2620</v>
      </c>
      <c r="K138" s="147" t="s">
        <v>2621</v>
      </c>
    </row>
    <row r="139" spans="1:17" ht="15">
      <c r="B139" s="1084">
        <v>6</v>
      </c>
      <c r="C139" s="1085">
        <v>96</v>
      </c>
      <c r="D139" s="2647" t="s">
        <v>2622</v>
      </c>
      <c r="E139" s="1086">
        <v>100</v>
      </c>
      <c r="F139" s="1087">
        <v>102.5</v>
      </c>
      <c r="G139" s="2647" t="s">
        <v>2622</v>
      </c>
      <c r="H139" s="1088">
        <v>105</v>
      </c>
      <c r="I139" s="2648" t="s">
        <v>2623</v>
      </c>
      <c r="J139" s="1085">
        <v>20</v>
      </c>
      <c r="K139" s="1089">
        <f>C145/(J139-2)</f>
        <v>4.0555555555555553E-3</v>
      </c>
    </row>
    <row r="140" spans="1:17" ht="15">
      <c r="B140" s="1090">
        <v>5</v>
      </c>
      <c r="C140" s="1091">
        <v>100</v>
      </c>
      <c r="D140" s="1091"/>
      <c r="E140" s="1092"/>
      <c r="F140" s="1093">
        <v>102</v>
      </c>
      <c r="G140" s="1091"/>
      <c r="H140" s="1094"/>
      <c r="I140" s="2649" t="s">
        <v>2624</v>
      </c>
      <c r="J140" s="315">
        <f>ROUNDUP((J139-1)/2,0)</f>
        <v>10</v>
      </c>
      <c r="K140" s="1095">
        <v>100</v>
      </c>
    </row>
    <row r="141" spans="1:17" ht="15">
      <c r="B141" s="1090">
        <v>4</v>
      </c>
      <c r="C141" s="1091">
        <v>102</v>
      </c>
      <c r="D141" s="1091"/>
      <c r="E141" s="1092"/>
      <c r="F141" s="1093">
        <v>101.5</v>
      </c>
      <c r="G141" s="1091"/>
      <c r="H141" s="1094"/>
      <c r="I141" s="2649" t="s">
        <v>2625</v>
      </c>
      <c r="J141" s="315">
        <v>1</v>
      </c>
      <c r="K141" s="1096">
        <f>ROUND(100+(J141-J140)*K139*100,1)</f>
        <v>96.4</v>
      </c>
    </row>
    <row r="142" spans="1:17" ht="15">
      <c r="B142" s="1090">
        <v>3</v>
      </c>
      <c r="C142" s="1091">
        <v>103</v>
      </c>
      <c r="D142" s="1091"/>
      <c r="E142" s="1092"/>
      <c r="F142" s="1093">
        <v>101</v>
      </c>
      <c r="G142" s="1091"/>
      <c r="H142" s="1094"/>
      <c r="I142" s="2649" t="s">
        <v>2626</v>
      </c>
      <c r="J142" s="315">
        <f>J139</f>
        <v>20</v>
      </c>
      <c r="K142" s="1097">
        <v>95</v>
      </c>
    </row>
    <row r="143" spans="1:17" ht="15">
      <c r="B143" s="1090">
        <v>2</v>
      </c>
      <c r="C143" s="1091">
        <v>100</v>
      </c>
      <c r="D143" s="1091"/>
      <c r="E143" s="1092"/>
      <c r="F143" s="1093">
        <v>100.5</v>
      </c>
      <c r="G143" s="1091"/>
      <c r="H143" s="1094"/>
      <c r="I143" s="2649" t="s">
        <v>2627</v>
      </c>
      <c r="J143" s="1091">
        <v>15</v>
      </c>
      <c r="K143" s="1096">
        <f>ROUND(100+(J143-J140)*K139*100,1)</f>
        <v>102</v>
      </c>
    </row>
    <row r="144" spans="1:17" ht="15">
      <c r="B144" s="1090">
        <v>1</v>
      </c>
      <c r="C144" s="1091">
        <v>98</v>
      </c>
      <c r="D144" s="2650" t="s">
        <v>2628</v>
      </c>
      <c r="E144" s="1092">
        <v>102</v>
      </c>
      <c r="F144" s="1098">
        <v>100</v>
      </c>
      <c r="G144" s="2650" t="s">
        <v>2628</v>
      </c>
      <c r="H144" s="1094">
        <v>105</v>
      </c>
      <c r="I144" s="2649" t="s">
        <v>2627</v>
      </c>
      <c r="J144" s="1091">
        <v>18</v>
      </c>
      <c r="K144" s="1096">
        <f>ROUND(100+(J144-J140)*K139*100,1)</f>
        <v>103.2</v>
      </c>
    </row>
    <row r="145" spans="2:11" ht="16.2" thickBot="1">
      <c r="B145" s="2651" t="s">
        <v>2629</v>
      </c>
      <c r="C145" s="1099">
        <f>ROUND(MAX(C139:C144)/MIN(C139:C144)-1,3)</f>
        <v>7.2999999999999995E-2</v>
      </c>
      <c r="D145" s="1100"/>
      <c r="E145" s="1100"/>
      <c r="F145" s="2652" t="s">
        <v>2630</v>
      </c>
      <c r="G145" s="2653"/>
      <c r="H145" s="2654"/>
      <c r="I145" s="2655" t="s">
        <v>2627</v>
      </c>
      <c r="J145" s="1101">
        <v>8</v>
      </c>
      <c r="K145" s="1102">
        <f>ROUND(100+(J145-J140)*K139*100,1)</f>
        <v>99.2</v>
      </c>
    </row>
    <row r="147" spans="2:11" ht="14.4">
      <c r="B147" s="2636" t="s">
        <v>2631</v>
      </c>
    </row>
    <row r="148" spans="2:11" ht="14.4">
      <c r="B148" s="2636"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zoomScale="55" zoomScaleNormal="55" workbookViewId="0">
      <selection activeCell="AD60" sqref="AD60"/>
    </sheetView>
  </sheetViews>
  <sheetFormatPr defaultRowHeight="14.4"/>
  <sheetData>
    <row r="1" spans="1:45" s="2953" customFormat="1">
      <c r="A1" s="2953" t="s">
        <v>3225</v>
      </c>
      <c r="B1" s="2953" t="s">
        <v>3226</v>
      </c>
      <c r="C1" s="2953" t="s">
        <v>3227</v>
      </c>
      <c r="D1" s="2953" t="s">
        <v>3228</v>
      </c>
      <c r="E1" s="2953" t="s">
        <v>3229</v>
      </c>
      <c r="F1" s="2953" t="s">
        <v>3230</v>
      </c>
      <c r="G1" s="2953" t="s">
        <v>3231</v>
      </c>
      <c r="H1" s="2953" t="s">
        <v>3232</v>
      </c>
      <c r="I1" s="2953" t="s">
        <v>3233</v>
      </c>
      <c r="J1" s="2953" t="s">
        <v>3234</v>
      </c>
      <c r="K1" s="2953" t="s">
        <v>3235</v>
      </c>
      <c r="L1" s="2953" t="s">
        <v>3236</v>
      </c>
      <c r="M1" s="2953" t="s">
        <v>3237</v>
      </c>
      <c r="N1" s="2953" t="s">
        <v>3238</v>
      </c>
      <c r="O1" s="2953" t="s">
        <v>3239</v>
      </c>
      <c r="P1" s="2953" t="s">
        <v>3240</v>
      </c>
      <c r="Q1" s="2953" t="s">
        <v>3241</v>
      </c>
      <c r="R1" s="2953" t="s">
        <v>3242</v>
      </c>
      <c r="S1" s="2953" t="s">
        <v>3243</v>
      </c>
      <c r="T1" s="2953" t="s">
        <v>3244</v>
      </c>
      <c r="U1" s="2953" t="s">
        <v>3245</v>
      </c>
      <c r="V1" s="2953" t="s">
        <v>3246</v>
      </c>
      <c r="W1" s="2953" t="s">
        <v>3247</v>
      </c>
      <c r="X1" s="2953" t="s">
        <v>3248</v>
      </c>
      <c r="Y1" s="2953" t="s">
        <v>3249</v>
      </c>
      <c r="Z1" s="2953" t="s">
        <v>3250</v>
      </c>
      <c r="AA1" s="2953" t="s">
        <v>3251</v>
      </c>
      <c r="AB1" s="2953" t="s">
        <v>3252</v>
      </c>
      <c r="AC1" s="2953" t="s">
        <v>3253</v>
      </c>
      <c r="AD1" s="2953" t="s">
        <v>3254</v>
      </c>
      <c r="AE1" s="2953" t="s">
        <v>3255</v>
      </c>
      <c r="AF1" s="2953" t="s">
        <v>3256</v>
      </c>
      <c r="AG1" s="2953" t="s">
        <v>3257</v>
      </c>
      <c r="AH1" s="2953" t="s">
        <v>3258</v>
      </c>
      <c r="AI1" s="2953" t="s">
        <v>3259</v>
      </c>
      <c r="AJ1" s="2953" t="s">
        <v>3260</v>
      </c>
      <c r="AK1" s="2953" t="s">
        <v>3261</v>
      </c>
      <c r="AL1" s="2953" t="s">
        <v>3262</v>
      </c>
      <c r="AM1" s="2953" t="s">
        <v>3263</v>
      </c>
      <c r="AN1" s="2953" t="s">
        <v>3264</v>
      </c>
      <c r="AO1" s="2953" t="s">
        <v>3265</v>
      </c>
      <c r="AP1" s="2953" t="s">
        <v>3266</v>
      </c>
      <c r="AQ1" s="2953" t="s">
        <v>3267</v>
      </c>
      <c r="AR1" s="2953" t="s">
        <v>3268</v>
      </c>
      <c r="AS1" s="2953" t="s">
        <v>3269</v>
      </c>
    </row>
    <row r="2" spans="1:45" s="2953" customFormat="1">
      <c r="A2" s="2953" t="s">
        <v>3270</v>
      </c>
      <c r="B2" s="2953" t="s">
        <v>3271</v>
      </c>
      <c r="C2" s="2953" t="s">
        <v>3272</v>
      </c>
      <c r="D2" s="2953" t="s">
        <v>3273</v>
      </c>
      <c r="E2" s="2953" t="s">
        <v>1327</v>
      </c>
      <c r="F2" s="2953" t="s">
        <v>3270</v>
      </c>
      <c r="G2" s="2953" t="s">
        <v>3274</v>
      </c>
      <c r="H2" s="2953" t="s">
        <v>3270</v>
      </c>
      <c r="I2" s="2953" t="s">
        <v>3275</v>
      </c>
      <c r="J2" s="2953">
        <v>114119</v>
      </c>
      <c r="K2" s="2953">
        <v>312908</v>
      </c>
      <c r="L2" s="2953" t="s">
        <v>3276</v>
      </c>
      <c r="M2" s="2953" t="s">
        <v>1327</v>
      </c>
      <c r="N2" s="2953" t="s">
        <v>3277</v>
      </c>
      <c r="O2" s="2953" t="s">
        <v>1327</v>
      </c>
      <c r="P2" s="2953" t="s">
        <v>1327</v>
      </c>
      <c r="Q2" s="2953" t="s">
        <v>1327</v>
      </c>
      <c r="R2" s="2953" t="s">
        <v>1327</v>
      </c>
      <c r="S2" s="2953" t="s">
        <v>1327</v>
      </c>
      <c r="T2" s="2953" t="s">
        <v>3278</v>
      </c>
      <c r="U2" s="2953" t="s">
        <v>3279</v>
      </c>
      <c r="V2" s="2953" t="s">
        <v>1327</v>
      </c>
      <c r="W2" s="2953" t="s">
        <v>3280</v>
      </c>
      <c r="X2" s="2953" t="s">
        <v>3281</v>
      </c>
      <c r="Y2" s="2953" t="s">
        <v>3282</v>
      </c>
      <c r="Z2" s="2953" t="s">
        <v>3283</v>
      </c>
      <c r="AA2" s="2953" t="s">
        <v>3283</v>
      </c>
      <c r="AB2" s="2953" t="s">
        <v>3284</v>
      </c>
      <c r="AC2" s="2953" t="s">
        <v>3285</v>
      </c>
      <c r="AD2" s="2953" t="s">
        <v>3286</v>
      </c>
      <c r="AE2" s="2953">
        <v>68715</v>
      </c>
      <c r="AF2" s="2953">
        <v>343573</v>
      </c>
      <c r="AG2" s="2953">
        <v>411573</v>
      </c>
      <c r="AH2" s="2953">
        <v>2007.1</v>
      </c>
      <c r="AI2" s="2953">
        <v>2404.35</v>
      </c>
      <c r="AJ2" s="2953">
        <v>10980</v>
      </c>
      <c r="AK2" s="2953">
        <v>13153.15</v>
      </c>
      <c r="AL2" s="2953" t="s">
        <v>1327</v>
      </c>
      <c r="AM2" s="2953" t="s">
        <v>1327</v>
      </c>
      <c r="AN2" s="2953">
        <v>19.79</v>
      </c>
      <c r="AO2" s="2953">
        <v>70</v>
      </c>
      <c r="AP2" s="2953" t="s">
        <v>1327</v>
      </c>
      <c r="AQ2" s="2953" t="s">
        <v>1327</v>
      </c>
      <c r="AR2" s="2953" t="s">
        <v>1327</v>
      </c>
      <c r="AS2" s="2953" t="s">
        <v>3287</v>
      </c>
    </row>
    <row r="3" spans="1:45" s="2953" customFormat="1">
      <c r="A3" s="2953" t="s">
        <v>3288</v>
      </c>
      <c r="B3" s="2953" t="s">
        <v>3271</v>
      </c>
      <c r="C3" s="2953" t="s">
        <v>3272</v>
      </c>
      <c r="D3" s="2953" t="s">
        <v>3273</v>
      </c>
      <c r="E3" s="2953" t="s">
        <v>1327</v>
      </c>
      <c r="F3" s="2953" t="s">
        <v>3289</v>
      </c>
      <c r="G3" s="2953" t="s">
        <v>3274</v>
      </c>
      <c r="H3" s="2953" t="s">
        <v>3290</v>
      </c>
      <c r="I3" s="2953" t="s">
        <v>3291</v>
      </c>
      <c r="J3" s="2953">
        <v>45611</v>
      </c>
      <c r="K3" s="2953">
        <v>176054</v>
      </c>
      <c r="L3" s="2953" t="s">
        <v>3292</v>
      </c>
      <c r="M3" s="2953" t="s">
        <v>1327</v>
      </c>
      <c r="N3" s="2953" t="s">
        <v>3293</v>
      </c>
      <c r="O3" s="2953" t="s">
        <v>1327</v>
      </c>
      <c r="P3" s="2953" t="s">
        <v>1327</v>
      </c>
      <c r="Q3" s="2953" t="s">
        <v>1327</v>
      </c>
      <c r="R3" s="2953" t="s">
        <v>1327</v>
      </c>
      <c r="S3" s="2953" t="s">
        <v>1327</v>
      </c>
      <c r="T3" s="2953" t="s">
        <v>3294</v>
      </c>
      <c r="U3" s="2953" t="s">
        <v>3295</v>
      </c>
      <c r="V3" s="2953" t="s">
        <v>1327</v>
      </c>
      <c r="W3" s="2953" t="s">
        <v>3280</v>
      </c>
      <c r="X3" s="2953" t="s">
        <v>3296</v>
      </c>
      <c r="Y3" s="2953" t="s">
        <v>3297</v>
      </c>
      <c r="Z3" s="2953" t="s">
        <v>3298</v>
      </c>
      <c r="AA3" s="2953" t="s">
        <v>3298</v>
      </c>
      <c r="AB3" s="2953" t="s">
        <v>3299</v>
      </c>
      <c r="AC3" s="2953" t="s">
        <v>3285</v>
      </c>
      <c r="AD3" s="2953" t="s">
        <v>3300</v>
      </c>
      <c r="AE3" s="2953">
        <v>38732</v>
      </c>
      <c r="AF3" s="2953">
        <v>193660</v>
      </c>
      <c r="AG3" s="2953">
        <v>280807</v>
      </c>
      <c r="AH3" s="2953">
        <v>2830.6</v>
      </c>
      <c r="AI3" s="2953">
        <v>4104.38</v>
      </c>
      <c r="AJ3" s="2953">
        <v>11000.03</v>
      </c>
      <c r="AK3" s="2953">
        <v>15950.04</v>
      </c>
      <c r="AL3" s="2953" t="s">
        <v>1327</v>
      </c>
      <c r="AM3" s="2953" t="s">
        <v>1327</v>
      </c>
      <c r="AN3" s="2953">
        <v>45</v>
      </c>
      <c r="AO3" s="2953">
        <v>70</v>
      </c>
      <c r="AP3" s="2953">
        <v>5</v>
      </c>
      <c r="AQ3" s="2953">
        <v>5</v>
      </c>
      <c r="AR3" s="2953" t="s">
        <v>1327</v>
      </c>
      <c r="AS3" s="2953" t="s">
        <v>3287</v>
      </c>
    </row>
    <row r="4" spans="1:45" s="2953" customFormat="1">
      <c r="A4" s="2953" t="s">
        <v>3301</v>
      </c>
      <c r="B4" s="2953" t="s">
        <v>3271</v>
      </c>
      <c r="C4" s="2953" t="s">
        <v>3272</v>
      </c>
      <c r="D4" s="2953" t="s">
        <v>3273</v>
      </c>
      <c r="E4" s="2953" t="s">
        <v>1327</v>
      </c>
      <c r="F4" s="2953" t="s">
        <v>3289</v>
      </c>
      <c r="G4" s="2953" t="s">
        <v>3274</v>
      </c>
      <c r="H4" s="2953" t="s">
        <v>3302</v>
      </c>
      <c r="I4" s="2953" t="s">
        <v>3291</v>
      </c>
      <c r="J4" s="2953">
        <v>81178</v>
      </c>
      <c r="K4" s="2953">
        <v>162356</v>
      </c>
      <c r="L4" s="2953" t="s">
        <v>3303</v>
      </c>
      <c r="M4" s="2953" t="s">
        <v>1327</v>
      </c>
      <c r="N4" s="2953" t="s">
        <v>3293</v>
      </c>
      <c r="O4" s="2953" t="s">
        <v>1327</v>
      </c>
      <c r="P4" s="2953" t="s">
        <v>1327</v>
      </c>
      <c r="Q4" s="2953" t="s">
        <v>1327</v>
      </c>
      <c r="R4" s="2953" t="s">
        <v>1327</v>
      </c>
      <c r="S4" s="2953" t="s">
        <v>1327</v>
      </c>
      <c r="T4" s="2953" t="s">
        <v>3294</v>
      </c>
      <c r="U4" s="2953" t="s">
        <v>3295</v>
      </c>
      <c r="V4" s="2953" t="s">
        <v>1327</v>
      </c>
      <c r="W4" s="2953" t="s">
        <v>3280</v>
      </c>
      <c r="X4" s="2953" t="s">
        <v>3296</v>
      </c>
      <c r="Y4" s="2953" t="s">
        <v>3297</v>
      </c>
      <c r="Z4" s="2953" t="s">
        <v>3298</v>
      </c>
      <c r="AA4" s="2953" t="s">
        <v>3298</v>
      </c>
      <c r="AB4" s="2953" t="s">
        <v>3304</v>
      </c>
      <c r="AC4" s="2953" t="s">
        <v>3285</v>
      </c>
      <c r="AD4" s="2953" t="s">
        <v>3305</v>
      </c>
      <c r="AE4" s="2953">
        <v>38966</v>
      </c>
      <c r="AF4" s="2953">
        <v>194828</v>
      </c>
      <c r="AG4" s="2953">
        <v>282501</v>
      </c>
      <c r="AH4" s="2953">
        <v>1600.01</v>
      </c>
      <c r="AI4" s="2953">
        <v>2320.0100000000002</v>
      </c>
      <c r="AJ4" s="2953">
        <v>12000.04</v>
      </c>
      <c r="AK4" s="2953">
        <v>17400.09</v>
      </c>
      <c r="AL4" s="2953" t="s">
        <v>1327</v>
      </c>
      <c r="AM4" s="2953" t="s">
        <v>1327</v>
      </c>
      <c r="AN4" s="2953">
        <v>45</v>
      </c>
      <c r="AO4" s="2953">
        <v>70</v>
      </c>
      <c r="AP4" s="2953">
        <v>5</v>
      </c>
      <c r="AQ4" s="2953">
        <v>5</v>
      </c>
      <c r="AR4" s="2953" t="s">
        <v>1327</v>
      </c>
      <c r="AS4" s="2953" t="s">
        <v>3306</v>
      </c>
    </row>
    <row r="5" spans="1:45" s="2953" customFormat="1">
      <c r="A5" s="2953" t="s">
        <v>3307</v>
      </c>
      <c r="B5" s="2953" t="s">
        <v>3271</v>
      </c>
      <c r="C5" s="2953" t="s">
        <v>3272</v>
      </c>
      <c r="D5" s="2953" t="s">
        <v>3273</v>
      </c>
      <c r="E5" s="2953" t="s">
        <v>1327</v>
      </c>
      <c r="F5" s="2953" t="s">
        <v>3307</v>
      </c>
      <c r="G5" s="2953" t="s">
        <v>3274</v>
      </c>
      <c r="H5" s="2953" t="s">
        <v>3307</v>
      </c>
      <c r="I5" s="2953" t="s">
        <v>3291</v>
      </c>
      <c r="J5" s="2953">
        <v>9799</v>
      </c>
      <c r="K5" s="2953">
        <v>42136</v>
      </c>
      <c r="L5" s="2953" t="s">
        <v>3308</v>
      </c>
      <c r="M5" s="2953" t="s">
        <v>1327</v>
      </c>
      <c r="N5" s="2953" t="s">
        <v>3309</v>
      </c>
      <c r="O5" s="2953" t="s">
        <v>3310</v>
      </c>
      <c r="P5" s="2953" t="s">
        <v>1327</v>
      </c>
      <c r="Q5" s="2953" t="s">
        <v>1327</v>
      </c>
      <c r="R5" s="2953" t="s">
        <v>1327</v>
      </c>
      <c r="S5" s="2953" t="s">
        <v>1327</v>
      </c>
      <c r="T5" s="2953" t="s">
        <v>3294</v>
      </c>
      <c r="U5" s="2953" t="s">
        <v>3311</v>
      </c>
      <c r="V5" s="2953" t="s">
        <v>1327</v>
      </c>
      <c r="W5" s="2953" t="s">
        <v>3280</v>
      </c>
      <c r="X5" s="2953" t="s">
        <v>3312</v>
      </c>
      <c r="Y5" s="2953" t="s">
        <v>3313</v>
      </c>
      <c r="Z5" s="2953" t="s">
        <v>3314</v>
      </c>
      <c r="AA5" s="2953" t="s">
        <v>3314</v>
      </c>
      <c r="AB5" s="2953" t="s">
        <v>3315</v>
      </c>
      <c r="AC5" s="2953" t="s">
        <v>3285</v>
      </c>
      <c r="AD5" s="2953" t="s">
        <v>3316</v>
      </c>
      <c r="AE5" s="2953">
        <v>22350</v>
      </c>
      <c r="AF5" s="2953">
        <v>111661</v>
      </c>
      <c r="AG5" s="2953">
        <v>148661</v>
      </c>
      <c r="AH5" s="2953">
        <v>7596.76</v>
      </c>
      <c r="AI5" s="2953">
        <v>10114.030000000001</v>
      </c>
      <c r="AJ5" s="2953">
        <v>26500.14</v>
      </c>
      <c r="AK5" s="2953">
        <v>35281.230000000003</v>
      </c>
      <c r="AL5" s="2953" t="s">
        <v>1327</v>
      </c>
      <c r="AM5" s="2953" t="s">
        <v>1327</v>
      </c>
      <c r="AN5" s="2953">
        <v>33.14</v>
      </c>
      <c r="AO5" s="2953">
        <v>70</v>
      </c>
      <c r="AP5" s="2953" t="s">
        <v>1327</v>
      </c>
      <c r="AQ5" s="2953" t="s">
        <v>1327</v>
      </c>
      <c r="AR5" s="2953" t="s">
        <v>1327</v>
      </c>
      <c r="AS5" s="2953" t="s">
        <v>3317</v>
      </c>
    </row>
    <row r="6" spans="1:45" s="2953" customFormat="1">
      <c r="A6" s="2953" t="s">
        <v>3318</v>
      </c>
      <c r="B6" s="2953" t="s">
        <v>3271</v>
      </c>
      <c r="C6" s="2953" t="s">
        <v>3272</v>
      </c>
      <c r="D6" s="2953" t="s">
        <v>3319</v>
      </c>
      <c r="E6" s="2953" t="s">
        <v>1327</v>
      </c>
      <c r="F6" s="2953" t="s">
        <v>3320</v>
      </c>
      <c r="G6" s="2953" t="s">
        <v>3274</v>
      </c>
      <c r="H6" s="2953" t="s">
        <v>3321</v>
      </c>
      <c r="I6" s="2953" t="s">
        <v>3291</v>
      </c>
      <c r="J6" s="2953">
        <v>12460</v>
      </c>
      <c r="K6" s="2953">
        <v>56706</v>
      </c>
      <c r="L6" s="2953" t="s">
        <v>3322</v>
      </c>
      <c r="M6" s="2953" t="s">
        <v>1327</v>
      </c>
      <c r="N6" s="2953" t="s">
        <v>3309</v>
      </c>
      <c r="O6" s="2953" t="s">
        <v>3323</v>
      </c>
      <c r="P6" s="2953" t="s">
        <v>1327</v>
      </c>
      <c r="Q6" s="2953" t="s">
        <v>1327</v>
      </c>
      <c r="R6" s="2953" t="s">
        <v>1327</v>
      </c>
      <c r="S6" s="2953" t="s">
        <v>1327</v>
      </c>
      <c r="T6" s="2953" t="s">
        <v>3294</v>
      </c>
      <c r="U6" s="2953" t="s">
        <v>3311</v>
      </c>
      <c r="V6" s="2953" t="s">
        <v>1327</v>
      </c>
      <c r="W6" s="2953" t="s">
        <v>3280</v>
      </c>
      <c r="X6" s="2953" t="s">
        <v>3324</v>
      </c>
      <c r="Y6" s="2953" t="s">
        <v>3325</v>
      </c>
      <c r="Z6" s="2953" t="s">
        <v>3326</v>
      </c>
      <c r="AA6" s="2953" t="s">
        <v>3326</v>
      </c>
      <c r="AB6" s="2953" t="s">
        <v>3327</v>
      </c>
      <c r="AC6" s="2953" t="s">
        <v>3285</v>
      </c>
      <c r="AD6" s="2953" t="s">
        <v>3328</v>
      </c>
      <c r="AE6" s="2953">
        <v>31915</v>
      </c>
      <c r="AF6" s="2953">
        <v>159571</v>
      </c>
      <c r="AG6" s="2953">
        <v>196571</v>
      </c>
      <c r="AH6" s="2953">
        <v>8537.77</v>
      </c>
      <c r="AI6" s="2953">
        <v>10517.44</v>
      </c>
      <c r="AJ6" s="2953">
        <v>28140.05</v>
      </c>
      <c r="AK6" s="2953">
        <v>34664.94</v>
      </c>
      <c r="AL6" s="2953" t="s">
        <v>1327</v>
      </c>
      <c r="AM6" s="2953" t="s">
        <v>1327</v>
      </c>
      <c r="AN6" s="2953">
        <v>23.19</v>
      </c>
      <c r="AO6" s="2953">
        <v>70</v>
      </c>
      <c r="AP6" s="2953" t="s">
        <v>1327</v>
      </c>
      <c r="AQ6" s="2953" t="s">
        <v>1327</v>
      </c>
      <c r="AR6" s="2953" t="s">
        <v>1327</v>
      </c>
      <c r="AS6" s="2953" t="s">
        <v>3317</v>
      </c>
    </row>
    <row r="7" spans="1:45" s="2953" customFormat="1">
      <c r="A7" s="2953" t="s">
        <v>3329</v>
      </c>
      <c r="B7" s="2953" t="s">
        <v>3271</v>
      </c>
      <c r="C7" s="2953" t="s">
        <v>3330</v>
      </c>
      <c r="D7" s="2953" t="s">
        <v>3273</v>
      </c>
      <c r="E7" s="2953" t="s">
        <v>1327</v>
      </c>
      <c r="F7" s="2953" t="s">
        <v>3329</v>
      </c>
      <c r="G7" s="2953" t="s">
        <v>3274</v>
      </c>
      <c r="H7" s="2953" t="s">
        <v>3329</v>
      </c>
      <c r="I7" s="2953" t="s">
        <v>3331</v>
      </c>
      <c r="J7" s="2953">
        <v>47450</v>
      </c>
      <c r="K7" s="2953">
        <v>281898</v>
      </c>
      <c r="L7" s="2953" t="s">
        <v>3332</v>
      </c>
      <c r="M7" s="2953" t="s">
        <v>1327</v>
      </c>
      <c r="N7" s="2953" t="s">
        <v>3333</v>
      </c>
      <c r="O7" s="2953" t="s">
        <v>1327</v>
      </c>
      <c r="P7" s="2953" t="s">
        <v>1327</v>
      </c>
      <c r="Q7" s="2953" t="s">
        <v>1327</v>
      </c>
      <c r="R7" s="2953" t="s">
        <v>1327</v>
      </c>
      <c r="S7" s="2953" t="s">
        <v>1327</v>
      </c>
      <c r="T7" s="2953" t="s">
        <v>3334</v>
      </c>
      <c r="U7" s="2953" t="s">
        <v>3279</v>
      </c>
      <c r="V7" s="2953" t="s">
        <v>1327</v>
      </c>
      <c r="W7" s="2953" t="s">
        <v>3280</v>
      </c>
      <c r="X7" s="2953" t="s">
        <v>3335</v>
      </c>
      <c r="Y7" s="2953" t="s">
        <v>3336</v>
      </c>
      <c r="Z7" s="2953" t="s">
        <v>3337</v>
      </c>
      <c r="AA7" s="2953" t="s">
        <v>3337</v>
      </c>
      <c r="AB7" s="2953" t="s">
        <v>3338</v>
      </c>
      <c r="AC7" s="2953" t="s">
        <v>3285</v>
      </c>
      <c r="AD7" s="2953" t="s">
        <v>3286</v>
      </c>
      <c r="AE7" s="2953">
        <v>107680</v>
      </c>
      <c r="AF7" s="2953">
        <v>538358</v>
      </c>
      <c r="AG7" s="2953">
        <v>538358</v>
      </c>
      <c r="AH7" s="2953">
        <v>7563.86</v>
      </c>
      <c r="AI7" s="2953">
        <v>7563.86</v>
      </c>
      <c r="AJ7" s="2953">
        <v>19097.61</v>
      </c>
      <c r="AK7" s="2953">
        <v>19097.61</v>
      </c>
      <c r="AL7" s="2953" t="s">
        <v>1327</v>
      </c>
      <c r="AM7" s="2953" t="s">
        <v>1327</v>
      </c>
      <c r="AN7" s="2953">
        <v>0</v>
      </c>
      <c r="AO7" s="2953" t="s">
        <v>3339</v>
      </c>
      <c r="AP7" s="2953" t="s">
        <v>1327</v>
      </c>
      <c r="AQ7" s="2953" t="s">
        <v>1327</v>
      </c>
      <c r="AR7" s="2953" t="s">
        <v>1327</v>
      </c>
      <c r="AS7" s="2953" t="s">
        <v>3317</v>
      </c>
    </row>
    <row r="8" spans="1:45" s="2953" customFormat="1">
      <c r="A8" s="2953" t="s">
        <v>3340</v>
      </c>
      <c r="B8" s="2953" t="s">
        <v>3271</v>
      </c>
      <c r="C8" s="2953" t="s">
        <v>3272</v>
      </c>
      <c r="D8" s="2953" t="s">
        <v>3273</v>
      </c>
      <c r="E8" s="2953" t="s">
        <v>1327</v>
      </c>
      <c r="F8" s="2953" t="s">
        <v>3341</v>
      </c>
      <c r="G8" s="2953" t="s">
        <v>3274</v>
      </c>
      <c r="H8" s="2953" t="s">
        <v>3342</v>
      </c>
      <c r="I8" s="2953" t="s">
        <v>3291</v>
      </c>
      <c r="J8" s="2953">
        <v>117019</v>
      </c>
      <c r="K8" s="2953">
        <v>327653</v>
      </c>
      <c r="L8" s="2953" t="s">
        <v>3343</v>
      </c>
      <c r="M8" s="2953" t="s">
        <v>1327</v>
      </c>
      <c r="N8" s="2953" t="s">
        <v>3277</v>
      </c>
      <c r="O8" s="2953" t="s">
        <v>1327</v>
      </c>
      <c r="P8" s="2953" t="s">
        <v>1327</v>
      </c>
      <c r="Q8" s="2953" t="s">
        <v>1327</v>
      </c>
      <c r="R8" s="2953" t="s">
        <v>1327</v>
      </c>
      <c r="S8" s="2953" t="s">
        <v>1327</v>
      </c>
      <c r="T8" s="2953" t="s">
        <v>3334</v>
      </c>
      <c r="U8" s="2953" t="s">
        <v>3279</v>
      </c>
      <c r="V8" s="2953" t="s">
        <v>1327</v>
      </c>
      <c r="W8" s="2953" t="s">
        <v>3280</v>
      </c>
      <c r="X8" s="2953" t="s">
        <v>3344</v>
      </c>
      <c r="Y8" s="2953" t="s">
        <v>3345</v>
      </c>
      <c r="Z8" s="2953" t="s">
        <v>3346</v>
      </c>
      <c r="AA8" s="2953" t="s">
        <v>3346</v>
      </c>
      <c r="AB8" s="2953" t="s">
        <v>3347</v>
      </c>
      <c r="AC8" s="2953" t="s">
        <v>3285</v>
      </c>
      <c r="AD8" s="2953" t="s">
        <v>3348</v>
      </c>
      <c r="AE8" s="2953">
        <v>108130</v>
      </c>
      <c r="AF8" s="2953">
        <v>540627</v>
      </c>
      <c r="AG8" s="2953">
        <v>540627</v>
      </c>
      <c r="AH8" s="2953">
        <v>3080</v>
      </c>
      <c r="AI8" s="2953">
        <v>3080</v>
      </c>
      <c r="AJ8" s="2953">
        <v>16499.98</v>
      </c>
      <c r="AK8" s="2953">
        <v>16499.990000000002</v>
      </c>
      <c r="AL8" s="2953" t="s">
        <v>1327</v>
      </c>
      <c r="AM8" s="2953" t="s">
        <v>1327</v>
      </c>
      <c r="AN8" s="2953">
        <v>0</v>
      </c>
      <c r="AO8" s="2953">
        <v>70</v>
      </c>
      <c r="AP8" s="2953" t="s">
        <v>1327</v>
      </c>
      <c r="AQ8" s="2953" t="s">
        <v>1327</v>
      </c>
      <c r="AR8" s="2953" t="s">
        <v>1327</v>
      </c>
      <c r="AS8" s="2953" t="s">
        <v>3306</v>
      </c>
    </row>
    <row r="9" spans="1:45" s="2953" customFormat="1">
      <c r="A9" s="2953" t="s">
        <v>3349</v>
      </c>
      <c r="B9" s="2953" t="s">
        <v>3271</v>
      </c>
      <c r="C9" s="2953" t="s">
        <v>3330</v>
      </c>
      <c r="D9" s="2953" t="s">
        <v>3273</v>
      </c>
      <c r="E9" s="2953" t="s">
        <v>1327</v>
      </c>
      <c r="F9" s="2953" t="s">
        <v>3350</v>
      </c>
      <c r="G9" s="2953" t="s">
        <v>3274</v>
      </c>
      <c r="H9" s="2953" t="s">
        <v>3351</v>
      </c>
      <c r="I9" s="2953" t="s">
        <v>3352</v>
      </c>
      <c r="J9" s="2953">
        <v>222886</v>
      </c>
      <c r="K9" s="2953">
        <v>479185</v>
      </c>
      <c r="L9" s="2953" t="s">
        <v>3353</v>
      </c>
      <c r="M9" s="2953" t="s">
        <v>1327</v>
      </c>
      <c r="N9" s="2953" t="s">
        <v>3354</v>
      </c>
      <c r="O9" s="2953" t="s">
        <v>1327</v>
      </c>
      <c r="P9" s="2953" t="s">
        <v>1327</v>
      </c>
      <c r="Q9" s="2953" t="s">
        <v>1327</v>
      </c>
      <c r="R9" s="2953" t="s">
        <v>1327</v>
      </c>
      <c r="S9" s="2953" t="s">
        <v>1327</v>
      </c>
      <c r="T9" s="2953" t="s">
        <v>3355</v>
      </c>
      <c r="U9" s="2953" t="s">
        <v>3356</v>
      </c>
      <c r="V9" s="2953" t="s">
        <v>1327</v>
      </c>
      <c r="W9" s="2953" t="s">
        <v>3280</v>
      </c>
      <c r="X9" s="2953" t="s">
        <v>3357</v>
      </c>
      <c r="Y9" s="2953" t="s">
        <v>3358</v>
      </c>
      <c r="Z9" s="2953" t="s">
        <v>3359</v>
      </c>
      <c r="AA9" s="2953" t="s">
        <v>3359</v>
      </c>
      <c r="AB9" s="2953" t="s">
        <v>3360</v>
      </c>
      <c r="AC9" s="2953" t="s">
        <v>3285</v>
      </c>
      <c r="AD9" s="2953" t="s">
        <v>3361</v>
      </c>
      <c r="AE9" s="2953">
        <v>142175</v>
      </c>
      <c r="AF9" s="2953">
        <v>710871</v>
      </c>
      <c r="AG9" s="2953">
        <v>710871</v>
      </c>
      <c r="AH9" s="2953">
        <v>2126.2600000000002</v>
      </c>
      <c r="AI9" s="2953">
        <v>2126.2600000000002</v>
      </c>
      <c r="AJ9" s="2953">
        <v>14835</v>
      </c>
      <c r="AK9" s="2953">
        <v>14835</v>
      </c>
      <c r="AL9" s="2953" t="s">
        <v>1327</v>
      </c>
      <c r="AM9" s="2953" t="s">
        <v>1327</v>
      </c>
      <c r="AN9" s="2953">
        <v>0</v>
      </c>
      <c r="AO9" s="2953" t="s">
        <v>3362</v>
      </c>
      <c r="AP9" s="2953" t="s">
        <v>1327</v>
      </c>
      <c r="AQ9" s="2953" t="s">
        <v>1327</v>
      </c>
      <c r="AR9" s="2953" t="s">
        <v>1327</v>
      </c>
      <c r="AS9" s="2953" t="s">
        <v>3287</v>
      </c>
    </row>
    <row r="10" spans="1:45" s="2953" customFormat="1">
      <c r="A10" s="2953" t="s">
        <v>3363</v>
      </c>
      <c r="B10" s="2953" t="s">
        <v>3271</v>
      </c>
      <c r="C10" s="2953" t="s">
        <v>3272</v>
      </c>
      <c r="D10" s="2953" t="s">
        <v>3319</v>
      </c>
      <c r="E10" s="2953" t="s">
        <v>1327</v>
      </c>
      <c r="F10" s="2953" t="s">
        <v>3363</v>
      </c>
      <c r="G10" s="2953" t="s">
        <v>3274</v>
      </c>
      <c r="H10" s="2953" t="s">
        <v>3363</v>
      </c>
      <c r="I10" s="2953" t="s">
        <v>3291</v>
      </c>
      <c r="J10" s="2953">
        <v>3597</v>
      </c>
      <c r="K10" s="2953">
        <v>19784</v>
      </c>
      <c r="L10" s="2953" t="s">
        <v>3364</v>
      </c>
      <c r="M10" s="2953" t="s">
        <v>1327</v>
      </c>
      <c r="N10" s="2953" t="s">
        <v>3365</v>
      </c>
      <c r="O10" s="2953" t="s">
        <v>3366</v>
      </c>
      <c r="P10" s="2953" t="s">
        <v>3367</v>
      </c>
      <c r="Q10" s="2953">
        <v>5547</v>
      </c>
      <c r="R10" s="2953">
        <v>5547</v>
      </c>
      <c r="S10" s="2953" t="s">
        <v>1327</v>
      </c>
      <c r="T10" s="2953" t="s">
        <v>3334</v>
      </c>
      <c r="U10" s="2953" t="s">
        <v>3279</v>
      </c>
      <c r="V10" s="2953" t="s">
        <v>1327</v>
      </c>
      <c r="W10" s="2953" t="s">
        <v>3280</v>
      </c>
      <c r="X10" s="2953" t="s">
        <v>3357</v>
      </c>
      <c r="Y10" s="2953" t="s">
        <v>3358</v>
      </c>
      <c r="Z10" s="2953" t="s">
        <v>3359</v>
      </c>
      <c r="AA10" s="2953" t="s">
        <v>3359</v>
      </c>
      <c r="AB10" s="2953" t="s">
        <v>3368</v>
      </c>
      <c r="AC10" s="2953" t="s">
        <v>3285</v>
      </c>
      <c r="AD10" s="2953" t="s">
        <v>3369</v>
      </c>
      <c r="AE10" s="2953">
        <v>6870</v>
      </c>
      <c r="AF10" s="2953">
        <v>34329</v>
      </c>
      <c r="AG10" s="2953">
        <v>34329</v>
      </c>
      <c r="AH10" s="2953">
        <v>6362.52</v>
      </c>
      <c r="AI10" s="2953">
        <v>6362.52</v>
      </c>
      <c r="AJ10" s="2953">
        <v>17351.900000000001</v>
      </c>
      <c r="AK10" s="2953">
        <v>17351.900000000001</v>
      </c>
      <c r="AL10" s="2953">
        <v>24113</v>
      </c>
      <c r="AM10" s="2953">
        <v>24113</v>
      </c>
      <c r="AN10" s="2953">
        <v>0</v>
      </c>
      <c r="AO10" s="2953">
        <v>70</v>
      </c>
      <c r="AP10" s="2953" t="s">
        <v>1327</v>
      </c>
      <c r="AQ10" s="2953" t="s">
        <v>1327</v>
      </c>
      <c r="AR10" s="2953" t="s">
        <v>1327</v>
      </c>
      <c r="AS10" s="2953" t="s">
        <v>3317</v>
      </c>
    </row>
    <row r="11" spans="1:45" s="2953" customFormat="1">
      <c r="A11" s="2953" t="s">
        <v>3370</v>
      </c>
      <c r="B11" s="2953" t="s">
        <v>3271</v>
      </c>
      <c r="C11" s="2953" t="s">
        <v>3272</v>
      </c>
      <c r="D11" s="2953" t="s">
        <v>3273</v>
      </c>
      <c r="E11" s="2953" t="s">
        <v>1327</v>
      </c>
      <c r="F11" s="2953" t="s">
        <v>3371</v>
      </c>
      <c r="G11" s="2953" t="s">
        <v>3274</v>
      </c>
      <c r="H11" s="2953" t="s">
        <v>3372</v>
      </c>
      <c r="I11" s="2953" t="s">
        <v>3291</v>
      </c>
      <c r="J11" s="2953">
        <v>8136</v>
      </c>
      <c r="K11" s="2953">
        <v>20340</v>
      </c>
      <c r="L11" s="2953" t="s">
        <v>3373</v>
      </c>
      <c r="M11" s="2953" t="s">
        <v>1327</v>
      </c>
      <c r="N11" s="2953" t="s">
        <v>3309</v>
      </c>
      <c r="O11" s="2953" t="s">
        <v>1327</v>
      </c>
      <c r="P11" s="2953" t="s">
        <v>1327</v>
      </c>
      <c r="Q11" s="2953" t="s">
        <v>1327</v>
      </c>
      <c r="R11" s="2953" t="s">
        <v>1327</v>
      </c>
      <c r="S11" s="2953" t="s">
        <v>1327</v>
      </c>
      <c r="T11" s="2953" t="s">
        <v>3355</v>
      </c>
      <c r="U11" s="2953" t="s">
        <v>3356</v>
      </c>
      <c r="V11" s="2953" t="s">
        <v>1327</v>
      </c>
      <c r="W11" s="2953" t="s">
        <v>3374</v>
      </c>
      <c r="X11" s="2953" t="s">
        <v>3375</v>
      </c>
      <c r="Y11" s="2953" t="s">
        <v>3376</v>
      </c>
      <c r="Z11" s="2953" t="s">
        <v>3377</v>
      </c>
      <c r="AA11" s="2953" t="s">
        <v>3377</v>
      </c>
      <c r="AB11" s="2953" t="s">
        <v>3378</v>
      </c>
      <c r="AC11" s="2953" t="s">
        <v>3285</v>
      </c>
      <c r="AD11" s="2953" t="s">
        <v>3379</v>
      </c>
      <c r="AE11" s="2953">
        <v>3300</v>
      </c>
      <c r="AF11" s="2953">
        <v>6600</v>
      </c>
      <c r="AG11" s="2953">
        <v>6600</v>
      </c>
      <c r="AH11" s="2953">
        <v>540.80999999999995</v>
      </c>
      <c r="AI11" s="2953">
        <v>540.80999999999995</v>
      </c>
      <c r="AJ11" s="2953">
        <v>3244.83</v>
      </c>
      <c r="AK11" s="2953">
        <v>3244.84</v>
      </c>
      <c r="AL11" s="2953" t="s">
        <v>1327</v>
      </c>
      <c r="AM11" s="2953" t="s">
        <v>1327</v>
      </c>
      <c r="AN11" s="2953">
        <v>0</v>
      </c>
      <c r="AO11" s="2953">
        <v>70</v>
      </c>
      <c r="AP11" s="2953">
        <v>100</v>
      </c>
      <c r="AQ11" s="2953">
        <v>100</v>
      </c>
      <c r="AR11" s="2953" t="s">
        <v>1327</v>
      </c>
      <c r="AS11" s="2953" t="s">
        <v>3306</v>
      </c>
    </row>
    <row r="12" spans="1:45" s="2953" customFormat="1">
      <c r="A12" s="2953" t="s">
        <v>3380</v>
      </c>
      <c r="B12" s="2953" t="s">
        <v>3271</v>
      </c>
      <c r="C12" s="2953" t="s">
        <v>3272</v>
      </c>
      <c r="D12" s="2953" t="s">
        <v>3273</v>
      </c>
      <c r="E12" s="2953" t="s">
        <v>1327</v>
      </c>
      <c r="F12" s="2953" t="s">
        <v>3381</v>
      </c>
      <c r="G12" s="2953" t="s">
        <v>3274</v>
      </c>
      <c r="H12" s="2953" t="s">
        <v>3380</v>
      </c>
      <c r="I12" s="2953" t="s">
        <v>3291</v>
      </c>
      <c r="J12" s="2953">
        <v>10865</v>
      </c>
      <c r="K12" s="2953">
        <v>30422</v>
      </c>
      <c r="L12" s="2953" t="s">
        <v>3343</v>
      </c>
      <c r="M12" s="2953" t="s">
        <v>1327</v>
      </c>
      <c r="N12" s="2953" t="s">
        <v>3293</v>
      </c>
      <c r="O12" s="2953" t="s">
        <v>1327</v>
      </c>
      <c r="P12" s="2953" t="s">
        <v>1327</v>
      </c>
      <c r="Q12" s="2953" t="s">
        <v>1327</v>
      </c>
      <c r="R12" s="2953" t="s">
        <v>1327</v>
      </c>
      <c r="S12" s="2953" t="s">
        <v>1327</v>
      </c>
      <c r="T12" s="2953" t="s">
        <v>3294</v>
      </c>
      <c r="U12" s="2953" t="s">
        <v>3311</v>
      </c>
      <c r="V12" s="2953" t="s">
        <v>1327</v>
      </c>
      <c r="W12" s="2953" t="s">
        <v>3374</v>
      </c>
      <c r="X12" s="2953" t="s">
        <v>3382</v>
      </c>
      <c r="Y12" s="2953" t="s">
        <v>3383</v>
      </c>
      <c r="Z12" s="2953" t="s">
        <v>3384</v>
      </c>
      <c r="AA12" s="2953" t="s">
        <v>3384</v>
      </c>
      <c r="AB12" s="2953" t="s">
        <v>3385</v>
      </c>
      <c r="AC12" s="2953" t="s">
        <v>3285</v>
      </c>
      <c r="AD12" s="2953" t="s">
        <v>3386</v>
      </c>
      <c r="AE12" s="2953">
        <v>35000</v>
      </c>
      <c r="AF12" s="2953">
        <v>69971</v>
      </c>
      <c r="AG12" s="2953">
        <v>73971</v>
      </c>
      <c r="AH12" s="2953">
        <v>4293.3599999999997</v>
      </c>
      <c r="AI12" s="2953">
        <v>4538.79</v>
      </c>
      <c r="AJ12" s="2953">
        <v>23000.13</v>
      </c>
      <c r="AK12" s="2953">
        <v>24314.97</v>
      </c>
      <c r="AL12" s="2953" t="s">
        <v>1327</v>
      </c>
      <c r="AM12" s="2953" t="s">
        <v>1327</v>
      </c>
      <c r="AN12" s="2953">
        <v>5.72</v>
      </c>
      <c r="AO12" s="2953">
        <v>70</v>
      </c>
      <c r="AP12" s="2953" t="s">
        <v>1327</v>
      </c>
      <c r="AQ12" s="2953" t="s">
        <v>1327</v>
      </c>
      <c r="AR12" s="2953" t="s">
        <v>1327</v>
      </c>
      <c r="AS12" s="2953" t="s">
        <v>3317</v>
      </c>
    </row>
    <row r="13" spans="1:45" s="2953" customFormat="1">
      <c r="A13" s="2953" t="s">
        <v>3387</v>
      </c>
      <c r="B13" s="2953" t="s">
        <v>3271</v>
      </c>
      <c r="C13" s="2953" t="s">
        <v>3272</v>
      </c>
      <c r="D13" s="2953" t="s">
        <v>3273</v>
      </c>
      <c r="E13" s="2953" t="s">
        <v>1327</v>
      </c>
      <c r="F13" s="2953" t="s">
        <v>3387</v>
      </c>
      <c r="G13" s="2953" t="s">
        <v>3274</v>
      </c>
      <c r="H13" s="2953" t="s">
        <v>3387</v>
      </c>
      <c r="I13" s="2953" t="s">
        <v>3291</v>
      </c>
      <c r="J13" s="2953">
        <v>36690</v>
      </c>
      <c r="K13" s="2953">
        <v>134286</v>
      </c>
      <c r="L13" s="2953" t="s">
        <v>3388</v>
      </c>
      <c r="M13" s="2953" t="s">
        <v>1327</v>
      </c>
      <c r="N13" s="2953" t="s">
        <v>3389</v>
      </c>
      <c r="O13" s="2953" t="s">
        <v>3323</v>
      </c>
      <c r="P13" s="2953" t="s">
        <v>1327</v>
      </c>
      <c r="Q13" s="2953" t="s">
        <v>1327</v>
      </c>
      <c r="R13" s="2953" t="s">
        <v>1327</v>
      </c>
      <c r="S13" s="2953" t="s">
        <v>1327</v>
      </c>
      <c r="T13" s="2953" t="s">
        <v>3294</v>
      </c>
      <c r="U13" s="2953" t="s">
        <v>1327</v>
      </c>
      <c r="V13" s="2953" t="s">
        <v>1327</v>
      </c>
      <c r="W13" s="2953" t="s">
        <v>3374</v>
      </c>
      <c r="X13" s="2953" t="s">
        <v>3390</v>
      </c>
      <c r="Y13" s="2953" t="s">
        <v>3391</v>
      </c>
      <c r="Z13" s="2953" t="s">
        <v>3392</v>
      </c>
      <c r="AA13" s="2953" t="s">
        <v>3392</v>
      </c>
      <c r="AB13" s="2953" t="s">
        <v>3393</v>
      </c>
      <c r="AC13" s="2953" t="s">
        <v>3285</v>
      </c>
      <c r="AD13" s="2953" t="s">
        <v>3394</v>
      </c>
      <c r="AE13" s="2953">
        <v>146000</v>
      </c>
      <c r="AF13" s="2953">
        <v>292872</v>
      </c>
      <c r="AG13" s="2953">
        <v>402210</v>
      </c>
      <c r="AH13" s="2953">
        <v>5321.56</v>
      </c>
      <c r="AI13" s="2953">
        <v>7308.26</v>
      </c>
      <c r="AJ13" s="2953">
        <v>21809.56</v>
      </c>
      <c r="AK13" s="2953">
        <v>29951.74</v>
      </c>
      <c r="AL13" s="2953" t="s">
        <v>1327</v>
      </c>
      <c r="AM13" s="2953" t="s">
        <v>1327</v>
      </c>
      <c r="AN13" s="2953">
        <v>37.33</v>
      </c>
      <c r="AO13" s="2953">
        <v>70</v>
      </c>
      <c r="AP13" s="2953" t="s">
        <v>1327</v>
      </c>
      <c r="AQ13" s="2953" t="s">
        <v>1327</v>
      </c>
      <c r="AR13" s="2953" t="s">
        <v>1327</v>
      </c>
      <c r="AS13" s="2953" t="s">
        <v>3317</v>
      </c>
    </row>
    <row r="14" spans="1:45" s="2953" customFormat="1">
      <c r="A14" s="2953" t="s">
        <v>3395</v>
      </c>
      <c r="B14" s="2953" t="s">
        <v>3271</v>
      </c>
      <c r="C14" s="2953" t="s">
        <v>3272</v>
      </c>
      <c r="D14" s="2953" t="s">
        <v>3273</v>
      </c>
      <c r="E14" s="2953" t="s">
        <v>1327</v>
      </c>
      <c r="F14" s="2953" t="s">
        <v>3396</v>
      </c>
      <c r="G14" s="2953" t="s">
        <v>3274</v>
      </c>
      <c r="H14" s="2953" t="s">
        <v>3395</v>
      </c>
      <c r="I14" s="2953" t="s">
        <v>3291</v>
      </c>
      <c r="J14" s="2953">
        <v>28570</v>
      </c>
      <c r="K14" s="2953">
        <v>85710</v>
      </c>
      <c r="L14" s="2953" t="s">
        <v>3397</v>
      </c>
      <c r="M14" s="2953" t="s">
        <v>1327</v>
      </c>
      <c r="N14" s="2953" t="s">
        <v>3309</v>
      </c>
      <c r="O14" s="2953" t="s">
        <v>3323</v>
      </c>
      <c r="P14" s="2953" t="s">
        <v>1327</v>
      </c>
      <c r="Q14" s="2953" t="s">
        <v>1327</v>
      </c>
      <c r="R14" s="2953" t="s">
        <v>1327</v>
      </c>
      <c r="S14" s="2953" t="s">
        <v>1327</v>
      </c>
      <c r="T14" s="2953" t="s">
        <v>3294</v>
      </c>
      <c r="U14" s="2953" t="s">
        <v>1327</v>
      </c>
      <c r="V14" s="2953" t="s">
        <v>1327</v>
      </c>
      <c r="W14" s="2953" t="s">
        <v>3374</v>
      </c>
      <c r="X14" s="2953" t="s">
        <v>3398</v>
      </c>
      <c r="Y14" s="2953" t="s">
        <v>3399</v>
      </c>
      <c r="Z14" s="2953" t="s">
        <v>3400</v>
      </c>
      <c r="AA14" s="2953" t="s">
        <v>3400</v>
      </c>
      <c r="AB14" s="2953" t="s">
        <v>3401</v>
      </c>
      <c r="AC14" s="2953" t="s">
        <v>3285</v>
      </c>
      <c r="AD14" s="2953" t="s">
        <v>3402</v>
      </c>
      <c r="AE14" s="2953">
        <v>96000</v>
      </c>
      <c r="AF14" s="2953">
        <v>193790</v>
      </c>
      <c r="AG14" s="2953">
        <v>194790</v>
      </c>
      <c r="AH14" s="2953">
        <v>4521.99</v>
      </c>
      <c r="AI14" s="2953">
        <v>4545.33</v>
      </c>
      <c r="AJ14" s="2953">
        <v>22609.96</v>
      </c>
      <c r="AK14" s="2953">
        <v>22726.63</v>
      </c>
      <c r="AL14" s="2953" t="s">
        <v>1327</v>
      </c>
      <c r="AM14" s="2953" t="s">
        <v>1327</v>
      </c>
      <c r="AN14" s="2953">
        <v>0.52</v>
      </c>
      <c r="AO14" s="2953">
        <v>70</v>
      </c>
      <c r="AP14" s="2953" t="s">
        <v>1327</v>
      </c>
      <c r="AQ14" s="2953" t="s">
        <v>1327</v>
      </c>
      <c r="AR14" s="2953" t="s">
        <v>1327</v>
      </c>
      <c r="AS14" s="2953" t="s">
        <v>3317</v>
      </c>
    </row>
    <row r="15" spans="1:45" s="2953" customFormat="1">
      <c r="A15" s="2953" t="s">
        <v>3403</v>
      </c>
      <c r="B15" s="2953" t="s">
        <v>3271</v>
      </c>
      <c r="C15" s="2953" t="s">
        <v>3330</v>
      </c>
      <c r="D15" s="2953" t="s">
        <v>3404</v>
      </c>
      <c r="E15" s="2953" t="s">
        <v>1327</v>
      </c>
      <c r="F15" s="2953" t="s">
        <v>3403</v>
      </c>
      <c r="G15" s="2953" t="s">
        <v>3274</v>
      </c>
      <c r="H15" s="2953" t="s">
        <v>3403</v>
      </c>
      <c r="I15" s="2953" t="s">
        <v>3405</v>
      </c>
      <c r="J15" s="2953">
        <v>11737</v>
      </c>
      <c r="K15" s="2953">
        <v>98280</v>
      </c>
      <c r="L15" s="2953" t="s">
        <v>3406</v>
      </c>
      <c r="M15" s="2953" t="s">
        <v>1327</v>
      </c>
      <c r="N15" s="2953" t="s">
        <v>3407</v>
      </c>
      <c r="O15" s="2953" t="s">
        <v>1327</v>
      </c>
      <c r="P15" s="2953" t="s">
        <v>1327</v>
      </c>
      <c r="Q15" s="2953" t="s">
        <v>1327</v>
      </c>
      <c r="R15" s="2953" t="s">
        <v>1327</v>
      </c>
      <c r="S15" s="2953" t="s">
        <v>1327</v>
      </c>
      <c r="T15" s="2953" t="s">
        <v>3278</v>
      </c>
      <c r="U15" s="2953" t="s">
        <v>1327</v>
      </c>
      <c r="V15" s="2953" t="s">
        <v>1327</v>
      </c>
      <c r="W15" s="2953" t="s">
        <v>3374</v>
      </c>
      <c r="X15" s="2953" t="s">
        <v>3408</v>
      </c>
      <c r="Y15" s="2953" t="s">
        <v>3409</v>
      </c>
      <c r="Z15" s="2953" t="s">
        <v>3410</v>
      </c>
      <c r="AA15" s="2953" t="s">
        <v>3410</v>
      </c>
      <c r="AB15" s="2953" t="s">
        <v>3411</v>
      </c>
      <c r="AC15" s="2953" t="s">
        <v>3285</v>
      </c>
      <c r="AD15" s="2953" t="s">
        <v>3412</v>
      </c>
      <c r="AE15" s="2953">
        <v>25520</v>
      </c>
      <c r="AF15" s="2953">
        <v>127600</v>
      </c>
      <c r="AG15" s="2953">
        <v>127600</v>
      </c>
      <c r="AH15" s="2953">
        <v>7247.74</v>
      </c>
      <c r="AI15" s="2953">
        <v>7247.74</v>
      </c>
      <c r="AJ15" s="2953">
        <v>12983.31</v>
      </c>
      <c r="AK15" s="2953">
        <v>12983.3</v>
      </c>
      <c r="AL15" s="2953" t="s">
        <v>1327</v>
      </c>
      <c r="AM15" s="2953" t="s">
        <v>1327</v>
      </c>
      <c r="AN15" s="2953">
        <v>0</v>
      </c>
      <c r="AO15" s="2953" t="s">
        <v>3413</v>
      </c>
      <c r="AP15" s="2953" t="s">
        <v>1327</v>
      </c>
      <c r="AQ15" s="2953" t="s">
        <v>1327</v>
      </c>
      <c r="AR15" s="2953" t="s">
        <v>1327</v>
      </c>
      <c r="AS15" s="2953" t="s">
        <v>3317</v>
      </c>
    </row>
    <row r="16" spans="1:45" s="2953" customFormat="1">
      <c r="A16" s="2953" t="s">
        <v>3414</v>
      </c>
      <c r="B16" s="2953" t="s">
        <v>3271</v>
      </c>
      <c r="C16" s="2953" t="s">
        <v>3272</v>
      </c>
      <c r="D16" s="2953" t="s">
        <v>3273</v>
      </c>
      <c r="E16" s="2953" t="s">
        <v>1327</v>
      </c>
      <c r="F16" s="2953" t="s">
        <v>3414</v>
      </c>
      <c r="G16" s="2953" t="s">
        <v>3274</v>
      </c>
      <c r="H16" s="2953" t="s">
        <v>3415</v>
      </c>
      <c r="I16" s="2953" t="s">
        <v>3291</v>
      </c>
      <c r="J16" s="2953">
        <v>63928</v>
      </c>
      <c r="K16" s="2953">
        <v>81387</v>
      </c>
      <c r="L16" s="2953">
        <v>3</v>
      </c>
      <c r="M16" s="2953" t="s">
        <v>1327</v>
      </c>
      <c r="N16" s="2953" t="s">
        <v>1327</v>
      </c>
      <c r="O16" s="2953" t="s">
        <v>1327</v>
      </c>
      <c r="P16" s="2953" t="s">
        <v>1327</v>
      </c>
      <c r="Q16" s="2953" t="s">
        <v>1327</v>
      </c>
      <c r="R16" s="2953">
        <v>1350</v>
      </c>
      <c r="S16" s="2953" t="s">
        <v>1327</v>
      </c>
      <c r="T16" s="2953" t="s">
        <v>3278</v>
      </c>
      <c r="U16" s="2953" t="s">
        <v>3416</v>
      </c>
      <c r="V16" s="2953" t="s">
        <v>1327</v>
      </c>
      <c r="W16" s="2953" t="s">
        <v>3374</v>
      </c>
      <c r="X16" s="2953" t="s">
        <v>3417</v>
      </c>
      <c r="Y16" s="2953" t="s">
        <v>3418</v>
      </c>
      <c r="Z16" s="2953" t="s">
        <v>3419</v>
      </c>
      <c r="AA16" s="2953" t="s">
        <v>3419</v>
      </c>
      <c r="AB16" s="2953" t="s">
        <v>3420</v>
      </c>
      <c r="AC16" s="2953" t="s">
        <v>3285</v>
      </c>
      <c r="AD16" s="2953" t="s">
        <v>3421</v>
      </c>
      <c r="AE16" s="2953">
        <v>85273</v>
      </c>
      <c r="AF16" s="2953">
        <v>170546</v>
      </c>
      <c r="AG16" s="2953">
        <v>238765</v>
      </c>
      <c r="AH16" s="2953">
        <v>1778.52</v>
      </c>
      <c r="AI16" s="2953">
        <v>2489.94</v>
      </c>
      <c r="AJ16" s="2953">
        <v>20954.939999999999</v>
      </c>
      <c r="AK16" s="2953">
        <v>29336.99</v>
      </c>
      <c r="AL16" s="2953" t="s">
        <v>1327</v>
      </c>
      <c r="AM16" s="2953">
        <v>29832</v>
      </c>
      <c r="AN16" s="2953">
        <v>40</v>
      </c>
      <c r="AO16" s="2953" t="s">
        <v>3422</v>
      </c>
      <c r="AP16" s="2953" t="s">
        <v>1327</v>
      </c>
      <c r="AQ16" s="2953">
        <v>50</v>
      </c>
      <c r="AR16" s="2953" t="s">
        <v>1327</v>
      </c>
      <c r="AS16" s="2953" t="s">
        <v>3317</v>
      </c>
    </row>
    <row r="17" spans="1:45" s="2982" customFormat="1">
      <c r="A17" s="2982" t="s">
        <v>3423</v>
      </c>
      <c r="B17" s="2982" t="s">
        <v>3271</v>
      </c>
      <c r="C17" s="2982" t="s">
        <v>3272</v>
      </c>
      <c r="D17" s="2982" t="s">
        <v>3404</v>
      </c>
      <c r="E17" s="2982" t="s">
        <v>1327</v>
      </c>
      <c r="F17" s="2982" t="s">
        <v>3423</v>
      </c>
      <c r="G17" s="2982" t="s">
        <v>3274</v>
      </c>
      <c r="H17" s="2982">
        <v>1</v>
      </c>
      <c r="I17" s="2982" t="s">
        <v>3291</v>
      </c>
      <c r="J17" s="2982">
        <v>20211</v>
      </c>
      <c r="K17" s="2982">
        <v>80844</v>
      </c>
      <c r="L17" s="2982" t="s">
        <v>3424</v>
      </c>
      <c r="M17" s="2982" t="s">
        <v>1327</v>
      </c>
      <c r="N17" s="2982" t="s">
        <v>3277</v>
      </c>
      <c r="O17" s="2982" t="s">
        <v>3425</v>
      </c>
      <c r="P17" s="2982" t="s">
        <v>1327</v>
      </c>
      <c r="Q17" s="2982" t="s">
        <v>1327</v>
      </c>
      <c r="R17" s="2982">
        <v>44100</v>
      </c>
      <c r="S17" s="2982" t="s">
        <v>1327</v>
      </c>
      <c r="T17" s="2982" t="s">
        <v>3426</v>
      </c>
      <c r="U17" s="2982" t="s">
        <v>3426</v>
      </c>
      <c r="V17" s="2982" t="s">
        <v>1327</v>
      </c>
      <c r="W17" s="2982" t="s">
        <v>3374</v>
      </c>
      <c r="X17" s="2982" t="s">
        <v>3427</v>
      </c>
      <c r="Y17" s="2982" t="s">
        <v>3428</v>
      </c>
      <c r="Z17" s="2982" t="s">
        <v>3429</v>
      </c>
      <c r="AA17" s="2982" t="s">
        <v>3429</v>
      </c>
      <c r="AB17" s="2982" t="s">
        <v>3430</v>
      </c>
      <c r="AC17" s="2982" t="s">
        <v>3285</v>
      </c>
      <c r="AD17" s="2982" t="s">
        <v>3431</v>
      </c>
      <c r="AE17" s="2982">
        <v>70241</v>
      </c>
      <c r="AF17" s="2982">
        <v>140482</v>
      </c>
      <c r="AG17" s="2982">
        <v>203699</v>
      </c>
      <c r="AH17" s="2982">
        <v>4633.8500000000004</v>
      </c>
      <c r="AI17" s="2982">
        <v>6719.08</v>
      </c>
      <c r="AJ17" s="2982">
        <v>17376.919999999998</v>
      </c>
      <c r="AK17" s="2982">
        <v>25196.54</v>
      </c>
      <c r="AL17" s="2982" t="s">
        <v>1327</v>
      </c>
      <c r="AM17" s="2982">
        <v>55437</v>
      </c>
      <c r="AN17" s="2982">
        <v>45</v>
      </c>
      <c r="AO17" s="2982" t="s">
        <v>3422</v>
      </c>
      <c r="AP17" s="2982" t="s">
        <v>1327</v>
      </c>
      <c r="AQ17" s="2982" t="s">
        <v>1327</v>
      </c>
      <c r="AR17" s="2982" t="s">
        <v>1327</v>
      </c>
      <c r="AS17" s="2982" t="s">
        <v>3317</v>
      </c>
    </row>
    <row r="18" spans="1:45" s="2953" customFormat="1">
      <c r="A18" s="2953" t="s">
        <v>3432</v>
      </c>
      <c r="B18" s="2953" t="s">
        <v>3271</v>
      </c>
      <c r="C18" s="2953" t="s">
        <v>3272</v>
      </c>
      <c r="D18" s="2953" t="s">
        <v>3273</v>
      </c>
      <c r="E18" s="2953" t="s">
        <v>1327</v>
      </c>
      <c r="F18" s="2953" t="s">
        <v>3432</v>
      </c>
      <c r="G18" s="2953" t="s">
        <v>3274</v>
      </c>
      <c r="H18" s="2953" t="s">
        <v>3432</v>
      </c>
      <c r="I18" s="2953" t="s">
        <v>3291</v>
      </c>
      <c r="J18" s="2953">
        <v>12644</v>
      </c>
      <c r="K18" s="2953">
        <v>44254</v>
      </c>
      <c r="L18" s="2953" t="s">
        <v>3433</v>
      </c>
      <c r="M18" s="2953" t="s">
        <v>1327</v>
      </c>
      <c r="N18" s="2953" t="s">
        <v>3293</v>
      </c>
      <c r="O18" s="2953" t="s">
        <v>3434</v>
      </c>
      <c r="P18" s="2953" t="s">
        <v>1327</v>
      </c>
      <c r="Q18" s="2953" t="s">
        <v>1327</v>
      </c>
      <c r="R18" s="2953">
        <v>18900</v>
      </c>
      <c r="S18" s="2953" t="s">
        <v>1327</v>
      </c>
      <c r="T18" s="2953" t="s">
        <v>3426</v>
      </c>
      <c r="U18" s="2953" t="s">
        <v>3426</v>
      </c>
      <c r="V18" s="2953" t="s">
        <v>1327</v>
      </c>
      <c r="W18" s="2953" t="s">
        <v>3374</v>
      </c>
      <c r="X18" s="2953" t="s">
        <v>3427</v>
      </c>
      <c r="Y18" s="2953" t="s">
        <v>3428</v>
      </c>
      <c r="Z18" s="2953" t="s">
        <v>3429</v>
      </c>
      <c r="AA18" s="2953" t="s">
        <v>3429</v>
      </c>
      <c r="AB18" s="2953" t="s">
        <v>3435</v>
      </c>
      <c r="AC18" s="2953" t="s">
        <v>3285</v>
      </c>
      <c r="AD18" s="2953" t="s">
        <v>3436</v>
      </c>
      <c r="AE18" s="2953">
        <v>28800</v>
      </c>
      <c r="AF18" s="2953">
        <v>57536</v>
      </c>
      <c r="AG18" s="2953">
        <v>83427</v>
      </c>
      <c r="AH18" s="2953">
        <v>3033.64</v>
      </c>
      <c r="AI18" s="2953">
        <v>4398.7700000000004</v>
      </c>
      <c r="AJ18" s="2953">
        <v>13001.31</v>
      </c>
      <c r="AK18" s="2953">
        <v>18851.86</v>
      </c>
      <c r="AL18" s="2953" t="s">
        <v>1327</v>
      </c>
      <c r="AM18" s="2953">
        <v>32905</v>
      </c>
      <c r="AN18" s="2953">
        <v>45</v>
      </c>
      <c r="AO18" s="2953" t="s">
        <v>3422</v>
      </c>
      <c r="AP18" s="2953" t="s">
        <v>1327</v>
      </c>
      <c r="AQ18" s="2953" t="s">
        <v>1327</v>
      </c>
      <c r="AR18" s="2953" t="s">
        <v>1327</v>
      </c>
      <c r="AS18" s="2953" t="s">
        <v>3317</v>
      </c>
    </row>
    <row r="19" spans="1:45" s="2953" customFormat="1">
      <c r="A19" s="2953" t="s">
        <v>3437</v>
      </c>
      <c r="B19" s="2953" t="s">
        <v>3271</v>
      </c>
      <c r="C19" s="2953" t="s">
        <v>3272</v>
      </c>
      <c r="D19" s="2953" t="s">
        <v>3319</v>
      </c>
      <c r="E19" s="2953" t="s">
        <v>1327</v>
      </c>
      <c r="F19" s="2953" t="s">
        <v>3437</v>
      </c>
      <c r="G19" s="2953" t="s">
        <v>3274</v>
      </c>
      <c r="H19" s="2953" t="s">
        <v>3437</v>
      </c>
      <c r="I19" s="2953" t="s">
        <v>3291</v>
      </c>
      <c r="J19" s="2953">
        <v>38756.9</v>
      </c>
      <c r="K19" s="2953">
        <v>186033.2</v>
      </c>
      <c r="L19" s="2953" t="s">
        <v>3438</v>
      </c>
      <c r="M19" s="2953" t="s">
        <v>1327</v>
      </c>
      <c r="N19" s="2953" t="s">
        <v>3309</v>
      </c>
      <c r="O19" s="2953" t="s">
        <v>3439</v>
      </c>
      <c r="P19" s="2953" t="s">
        <v>1327</v>
      </c>
      <c r="Q19" s="2953" t="s">
        <v>1327</v>
      </c>
      <c r="R19" s="2953" t="s">
        <v>1327</v>
      </c>
      <c r="S19" s="2953" t="s">
        <v>1327</v>
      </c>
      <c r="T19" s="2953" t="s">
        <v>1327</v>
      </c>
      <c r="U19" s="2953" t="s">
        <v>1327</v>
      </c>
      <c r="V19" s="2953" t="s">
        <v>1327</v>
      </c>
      <c r="W19" s="2953" t="s">
        <v>3374</v>
      </c>
      <c r="X19" s="2953" t="s">
        <v>3440</v>
      </c>
      <c r="Y19" s="2953" t="s">
        <v>3441</v>
      </c>
      <c r="Z19" s="2953" t="s">
        <v>3442</v>
      </c>
      <c r="AA19" s="2953" t="s">
        <v>3442</v>
      </c>
      <c r="AB19" s="2953" t="s">
        <v>3443</v>
      </c>
      <c r="AC19" s="2953" t="s">
        <v>3285</v>
      </c>
      <c r="AD19" s="2953" t="s">
        <v>3444</v>
      </c>
      <c r="AE19" s="2953">
        <v>186034</v>
      </c>
      <c r="AF19" s="2953">
        <v>372067</v>
      </c>
      <c r="AG19" s="2953">
        <v>400067</v>
      </c>
      <c r="AH19" s="2953">
        <v>6400.01</v>
      </c>
      <c r="AI19" s="2953">
        <v>6881.65</v>
      </c>
      <c r="AJ19" s="2953">
        <v>20000.03</v>
      </c>
      <c r="AK19" s="2953">
        <v>21505.13</v>
      </c>
      <c r="AL19" s="2953" t="s">
        <v>1327</v>
      </c>
      <c r="AM19" s="2953" t="s">
        <v>1327</v>
      </c>
      <c r="AN19" s="2953">
        <v>7.53</v>
      </c>
      <c r="AO19" s="2953" t="s">
        <v>3445</v>
      </c>
      <c r="AP19" s="2953" t="s">
        <v>1327</v>
      </c>
      <c r="AQ19" s="2953" t="s">
        <v>1327</v>
      </c>
      <c r="AR19" s="2953" t="s">
        <v>1327</v>
      </c>
      <c r="AS19" s="2953" t="s">
        <v>3317</v>
      </c>
    </row>
    <row r="20" spans="1:45" s="2953" customFormat="1">
      <c r="A20" s="2953" t="s">
        <v>3446</v>
      </c>
      <c r="B20" s="2953" t="s">
        <v>3271</v>
      </c>
      <c r="C20" s="2953" t="s">
        <v>3272</v>
      </c>
      <c r="D20" s="2953" t="s">
        <v>3273</v>
      </c>
      <c r="E20" s="2953" t="s">
        <v>1327</v>
      </c>
      <c r="F20" s="2953" t="s">
        <v>3446</v>
      </c>
      <c r="G20" s="2953" t="s">
        <v>3274</v>
      </c>
      <c r="H20" s="2953" t="s">
        <v>3447</v>
      </c>
      <c r="I20" s="2953" t="s">
        <v>3291</v>
      </c>
      <c r="J20" s="2953">
        <v>66905</v>
      </c>
      <c r="K20" s="2953">
        <v>200715</v>
      </c>
      <c r="L20" s="2953" t="s">
        <v>3397</v>
      </c>
      <c r="M20" s="2953" t="s">
        <v>1327</v>
      </c>
      <c r="N20" s="2953" t="s">
        <v>3448</v>
      </c>
      <c r="O20" s="2953" t="s">
        <v>1327</v>
      </c>
      <c r="P20" s="2953" t="s">
        <v>1327</v>
      </c>
      <c r="Q20" s="2953" t="s">
        <v>1327</v>
      </c>
      <c r="R20" s="2953">
        <v>95400</v>
      </c>
      <c r="S20" s="2953" t="s">
        <v>1327</v>
      </c>
      <c r="T20" s="2953" t="s">
        <v>1327</v>
      </c>
      <c r="U20" s="2953" t="s">
        <v>1327</v>
      </c>
      <c r="V20" s="2953" t="s">
        <v>1327</v>
      </c>
      <c r="W20" s="2953" t="s">
        <v>3374</v>
      </c>
      <c r="X20" s="2953" t="s">
        <v>3449</v>
      </c>
      <c r="Y20" s="2953" t="s">
        <v>3450</v>
      </c>
      <c r="Z20" s="2953" t="s">
        <v>3440</v>
      </c>
      <c r="AA20" s="2953" t="s">
        <v>3440</v>
      </c>
      <c r="AB20" s="2953" t="s">
        <v>3451</v>
      </c>
      <c r="AC20" s="2953" t="s">
        <v>3285</v>
      </c>
      <c r="AD20" s="2953" t="s">
        <v>3452</v>
      </c>
      <c r="AE20" s="2953">
        <v>52300</v>
      </c>
      <c r="AF20" s="2953">
        <v>104573</v>
      </c>
      <c r="AG20" s="2953">
        <v>151631</v>
      </c>
      <c r="AH20" s="2953">
        <v>1042</v>
      </c>
      <c r="AI20" s="2953">
        <v>1510.91</v>
      </c>
      <c r="AJ20" s="2953">
        <v>5210.0200000000004</v>
      </c>
      <c r="AK20" s="2953">
        <v>7554.53</v>
      </c>
      <c r="AL20" s="2953" t="s">
        <v>1327</v>
      </c>
      <c r="AM20" s="2953">
        <v>14398</v>
      </c>
      <c r="AN20" s="2953">
        <v>45</v>
      </c>
      <c r="AO20" s="2953" t="s">
        <v>3445</v>
      </c>
      <c r="AP20" s="2953" t="s">
        <v>1327</v>
      </c>
      <c r="AQ20" s="2953" t="s">
        <v>1327</v>
      </c>
      <c r="AR20" s="2953" t="s">
        <v>1327</v>
      </c>
      <c r="AS20" s="2953" t="s">
        <v>3306</v>
      </c>
    </row>
    <row r="21" spans="1:45" s="2953" customFormat="1">
      <c r="A21" s="2953" t="s">
        <v>3453</v>
      </c>
      <c r="B21" s="2953" t="s">
        <v>3271</v>
      </c>
      <c r="C21" s="2953" t="s">
        <v>3272</v>
      </c>
      <c r="D21" s="2953" t="s">
        <v>3319</v>
      </c>
      <c r="E21" s="2953" t="s">
        <v>1327</v>
      </c>
      <c r="F21" s="2953" t="s">
        <v>3453</v>
      </c>
      <c r="G21" s="2953" t="s">
        <v>3274</v>
      </c>
      <c r="H21" s="2953" t="s">
        <v>3454</v>
      </c>
      <c r="I21" s="2953" t="s">
        <v>3291</v>
      </c>
      <c r="J21" s="2953">
        <v>35304.800000000003</v>
      </c>
      <c r="K21" s="2953">
        <v>137688.5</v>
      </c>
      <c r="L21" s="2953" t="s">
        <v>3455</v>
      </c>
      <c r="M21" s="2953" t="s">
        <v>1327</v>
      </c>
      <c r="N21" s="2953" t="s">
        <v>3456</v>
      </c>
      <c r="O21" s="2953" t="s">
        <v>1327</v>
      </c>
      <c r="P21" s="2953" t="s">
        <v>1327</v>
      </c>
      <c r="Q21" s="2953" t="s">
        <v>1327</v>
      </c>
      <c r="R21" s="2953">
        <v>40500</v>
      </c>
      <c r="S21" s="2953" t="s">
        <v>1327</v>
      </c>
      <c r="T21" s="2953" t="s">
        <v>1327</v>
      </c>
      <c r="U21" s="2953" t="s">
        <v>1327</v>
      </c>
      <c r="V21" s="2953" t="s">
        <v>1327</v>
      </c>
      <c r="W21" s="2953" t="s">
        <v>3374</v>
      </c>
      <c r="X21" s="2953" t="s">
        <v>3449</v>
      </c>
      <c r="Y21" s="2953" t="s">
        <v>3450</v>
      </c>
      <c r="Z21" s="2953" t="s">
        <v>3440</v>
      </c>
      <c r="AA21" s="2953" t="s">
        <v>3440</v>
      </c>
      <c r="AB21" s="2953" t="s">
        <v>3457</v>
      </c>
      <c r="AC21" s="2953" t="s">
        <v>3285</v>
      </c>
      <c r="AD21" s="2953" t="s">
        <v>3458</v>
      </c>
      <c r="AE21" s="2953">
        <v>137689</v>
      </c>
      <c r="AF21" s="2953">
        <v>275377</v>
      </c>
      <c r="AG21" s="2953">
        <v>399297</v>
      </c>
      <c r="AH21" s="2953">
        <v>5199.99</v>
      </c>
      <c r="AI21" s="2953">
        <v>7539.99</v>
      </c>
      <c r="AJ21" s="2953">
        <v>20000</v>
      </c>
      <c r="AK21" s="2953">
        <v>29000.02</v>
      </c>
      <c r="AL21" s="2953" t="s">
        <v>1327</v>
      </c>
      <c r="AM21" s="2953">
        <v>41085</v>
      </c>
      <c r="AN21" s="2953">
        <v>45</v>
      </c>
      <c r="AO21" s="2953" t="s">
        <v>3445</v>
      </c>
      <c r="AP21" s="2953" t="s">
        <v>1327</v>
      </c>
      <c r="AQ21" s="2953" t="s">
        <v>1327</v>
      </c>
      <c r="AR21" s="2953" t="s">
        <v>1327</v>
      </c>
      <c r="AS21" s="2953" t="s">
        <v>3317</v>
      </c>
    </row>
    <row r="22" spans="1:45" s="2961" customFormat="1">
      <c r="A22" s="2961" t="s">
        <v>3459</v>
      </c>
      <c r="B22" s="2961" t="s">
        <v>3271</v>
      </c>
      <c r="C22" s="2961" t="s">
        <v>3330</v>
      </c>
      <c r="D22" s="2961" t="s">
        <v>3404</v>
      </c>
      <c r="E22" s="2961" t="s">
        <v>1327</v>
      </c>
      <c r="F22" s="2961" t="s">
        <v>3459</v>
      </c>
      <c r="G22" s="2961" t="s">
        <v>3274</v>
      </c>
      <c r="H22" s="2961" t="s">
        <v>3460</v>
      </c>
      <c r="I22" s="2961" t="s">
        <v>3461</v>
      </c>
      <c r="J22" s="2961">
        <v>31068</v>
      </c>
      <c r="K22" s="2961">
        <v>105860</v>
      </c>
      <c r="L22" s="2961" t="s">
        <v>3462</v>
      </c>
      <c r="M22" s="2961" t="s">
        <v>1327</v>
      </c>
      <c r="N22" s="2961" t="s">
        <v>1327</v>
      </c>
      <c r="O22" s="2961" t="s">
        <v>1327</v>
      </c>
      <c r="P22" s="2961" t="s">
        <v>1327</v>
      </c>
      <c r="Q22" s="2961" t="s">
        <v>1327</v>
      </c>
      <c r="R22" s="2961">
        <v>33750</v>
      </c>
      <c r="S22" s="2961" t="s">
        <v>1327</v>
      </c>
      <c r="T22" s="2961" t="s">
        <v>1327</v>
      </c>
      <c r="U22" s="2961" t="s">
        <v>1327</v>
      </c>
      <c r="V22" s="2961" t="s">
        <v>1327</v>
      </c>
      <c r="W22" s="2961" t="s">
        <v>3374</v>
      </c>
      <c r="X22" s="2961" t="s">
        <v>3463</v>
      </c>
      <c r="Y22" s="2961" t="s">
        <v>3464</v>
      </c>
      <c r="Z22" s="2961" t="s">
        <v>3465</v>
      </c>
      <c r="AA22" s="2961" t="s">
        <v>3465</v>
      </c>
      <c r="AB22" s="2961" t="s">
        <v>3466</v>
      </c>
      <c r="AC22" s="2961" t="s">
        <v>3285</v>
      </c>
      <c r="AD22" s="2961" t="s">
        <v>3467</v>
      </c>
      <c r="AE22" s="2961">
        <v>105860</v>
      </c>
      <c r="AF22" s="2961">
        <v>211720</v>
      </c>
      <c r="AG22" s="2961">
        <v>306994</v>
      </c>
      <c r="AH22" s="2961">
        <v>4543.1499999999996</v>
      </c>
      <c r="AI22" s="2961">
        <v>6587.57</v>
      </c>
      <c r="AJ22" s="2961">
        <v>20000</v>
      </c>
      <c r="AK22" s="2961">
        <v>29000</v>
      </c>
      <c r="AL22" s="2961" t="s">
        <v>1327</v>
      </c>
      <c r="AM22" s="2961">
        <v>42573</v>
      </c>
      <c r="AN22" s="2961">
        <v>45</v>
      </c>
      <c r="AO22" s="2961" t="s">
        <v>3468</v>
      </c>
      <c r="AP22" s="2961" t="s">
        <v>1327</v>
      </c>
      <c r="AQ22" s="2961" t="s">
        <v>1327</v>
      </c>
      <c r="AR22" s="2961" t="s">
        <v>1327</v>
      </c>
      <c r="AS22" s="2961" t="s">
        <v>3317</v>
      </c>
    </row>
    <row r="23" spans="1:45" s="2961" customFormat="1">
      <c r="A23" s="2961" t="s">
        <v>3469</v>
      </c>
      <c r="B23" s="2961" t="s">
        <v>3271</v>
      </c>
      <c r="C23" s="2961" t="s">
        <v>3272</v>
      </c>
      <c r="D23" s="2961" t="s">
        <v>3319</v>
      </c>
      <c r="E23" s="2961" t="s">
        <v>1327</v>
      </c>
      <c r="F23" s="2961" t="s">
        <v>3469</v>
      </c>
      <c r="G23" s="2961" t="s">
        <v>3274</v>
      </c>
      <c r="H23" s="2961" t="s">
        <v>3470</v>
      </c>
      <c r="I23" s="2961" t="s">
        <v>3291</v>
      </c>
      <c r="J23" s="2961">
        <v>16939.7</v>
      </c>
      <c r="K23" s="2961">
        <v>81310.399999999994</v>
      </c>
      <c r="L23" s="2961" t="s">
        <v>3438</v>
      </c>
      <c r="M23" s="2961" t="s">
        <v>1327</v>
      </c>
      <c r="N23" s="2961" t="s">
        <v>1327</v>
      </c>
      <c r="O23" s="2961" t="s">
        <v>1327</v>
      </c>
      <c r="P23" s="2961" t="s">
        <v>1327</v>
      </c>
      <c r="Q23" s="2961" t="s">
        <v>1327</v>
      </c>
      <c r="R23" s="2961">
        <v>21150</v>
      </c>
      <c r="S23" s="2961" t="s">
        <v>1327</v>
      </c>
      <c r="T23" s="2961" t="s">
        <v>1327</v>
      </c>
      <c r="U23" s="2961" t="s">
        <v>1327</v>
      </c>
      <c r="V23" s="2961" t="s">
        <v>1327</v>
      </c>
      <c r="W23" s="2961" t="s">
        <v>3374</v>
      </c>
      <c r="X23" s="2961" t="s">
        <v>3463</v>
      </c>
      <c r="Y23" s="2961" t="s">
        <v>3464</v>
      </c>
      <c r="Z23" s="2961" t="s">
        <v>3465</v>
      </c>
      <c r="AA23" s="2961" t="s">
        <v>3465</v>
      </c>
      <c r="AB23" s="2961" t="s">
        <v>3471</v>
      </c>
      <c r="AC23" s="2961" t="s">
        <v>3285</v>
      </c>
      <c r="AD23" s="2961" t="s">
        <v>3286</v>
      </c>
      <c r="AE23" s="2961">
        <v>86261</v>
      </c>
      <c r="AF23" s="2961">
        <v>172521</v>
      </c>
      <c r="AG23" s="2961">
        <v>250156</v>
      </c>
      <c r="AH23" s="2961">
        <v>6789.61</v>
      </c>
      <c r="AI23" s="2961">
        <v>9844.9599999999991</v>
      </c>
      <c r="AJ23" s="2961">
        <v>21217.58</v>
      </c>
      <c r="AK23" s="2961">
        <v>30765.56</v>
      </c>
      <c r="AL23" s="2961" t="s">
        <v>1327</v>
      </c>
      <c r="AM23" s="2961">
        <v>41582</v>
      </c>
      <c r="AN23" s="2961">
        <v>45</v>
      </c>
      <c r="AO23" s="2961" t="s">
        <v>3445</v>
      </c>
      <c r="AP23" s="2961" t="s">
        <v>1327</v>
      </c>
      <c r="AQ23" s="2961" t="s">
        <v>1327</v>
      </c>
      <c r="AR23" s="2961" t="s">
        <v>1327</v>
      </c>
      <c r="AS23" s="2961" t="s">
        <v>3317</v>
      </c>
    </row>
    <row r="24" spans="1:45" s="2953" customFormat="1">
      <c r="A24" s="2953" t="s">
        <v>3472</v>
      </c>
      <c r="B24" s="2953" t="s">
        <v>3271</v>
      </c>
      <c r="C24" s="2953" t="s">
        <v>3330</v>
      </c>
      <c r="D24" s="2953" t="s">
        <v>3319</v>
      </c>
      <c r="E24" s="2953" t="s">
        <v>1327</v>
      </c>
      <c r="F24" s="2953" t="s">
        <v>3472</v>
      </c>
      <c r="G24" s="2953" t="s">
        <v>3274</v>
      </c>
      <c r="H24" s="2953" t="s">
        <v>3473</v>
      </c>
      <c r="I24" s="2953" t="s">
        <v>3474</v>
      </c>
      <c r="J24" s="2953">
        <v>22445.599999999999</v>
      </c>
      <c r="K24" s="2953">
        <v>134673.60000000001</v>
      </c>
      <c r="L24" s="2953" t="s">
        <v>3475</v>
      </c>
      <c r="M24" s="2953" t="s">
        <v>1327</v>
      </c>
      <c r="N24" s="2953" t="s">
        <v>1327</v>
      </c>
      <c r="O24" s="2953" t="s">
        <v>1327</v>
      </c>
      <c r="P24" s="2953" t="s">
        <v>1327</v>
      </c>
      <c r="Q24" s="2953" t="s">
        <v>1327</v>
      </c>
      <c r="R24" s="2953">
        <v>20700</v>
      </c>
      <c r="S24" s="2953" t="s">
        <v>1327</v>
      </c>
      <c r="T24" s="2953" t="s">
        <v>1327</v>
      </c>
      <c r="U24" s="2953" t="s">
        <v>1327</v>
      </c>
      <c r="V24" s="2953" t="s">
        <v>1327</v>
      </c>
      <c r="W24" s="2953" t="s">
        <v>3374</v>
      </c>
      <c r="X24" s="2953" t="s">
        <v>3463</v>
      </c>
      <c r="Y24" s="2953" t="s">
        <v>3464</v>
      </c>
      <c r="Z24" s="2953" t="s">
        <v>3465</v>
      </c>
      <c r="AA24" s="2953" t="s">
        <v>3465</v>
      </c>
      <c r="AB24" s="2953" t="s">
        <v>3476</v>
      </c>
      <c r="AC24" s="2953" t="s">
        <v>3285</v>
      </c>
      <c r="AD24" s="2953" t="s">
        <v>3286</v>
      </c>
      <c r="AE24" s="2953">
        <v>134674</v>
      </c>
      <c r="AF24" s="2953">
        <v>269348</v>
      </c>
      <c r="AG24" s="2953">
        <v>390555</v>
      </c>
      <c r="AH24" s="2953">
        <v>8000.02</v>
      </c>
      <c r="AI24" s="2953">
        <v>11600.05</v>
      </c>
      <c r="AJ24" s="2953">
        <v>20000.05</v>
      </c>
      <c r="AK24" s="2953">
        <v>29000.11</v>
      </c>
      <c r="AL24" s="2953" t="s">
        <v>1327</v>
      </c>
      <c r="AM24" s="2953">
        <v>34267</v>
      </c>
      <c r="AN24" s="2953">
        <v>45</v>
      </c>
      <c r="AO24" s="2953" t="s">
        <v>3468</v>
      </c>
      <c r="AP24" s="2953" t="s">
        <v>1327</v>
      </c>
      <c r="AQ24" s="2953" t="s">
        <v>1327</v>
      </c>
      <c r="AR24" s="2953" t="s">
        <v>1327</v>
      </c>
      <c r="AS24" s="2953" t="s">
        <v>3317</v>
      </c>
    </row>
    <row r="25" spans="1:45" s="2961" customFormat="1">
      <c r="A25" s="2961" t="s">
        <v>3477</v>
      </c>
      <c r="B25" s="2961" t="s">
        <v>3271</v>
      </c>
      <c r="C25" s="2961" t="s">
        <v>3272</v>
      </c>
      <c r="D25" s="2961" t="s">
        <v>3273</v>
      </c>
      <c r="E25" s="2961" t="s">
        <v>1327</v>
      </c>
      <c r="F25" s="2961" t="s">
        <v>3477</v>
      </c>
      <c r="G25" s="2961" t="s">
        <v>3274</v>
      </c>
      <c r="H25" s="2961" t="s">
        <v>3478</v>
      </c>
      <c r="I25" s="2961" t="s">
        <v>3291</v>
      </c>
      <c r="J25" s="2961">
        <v>34980</v>
      </c>
      <c r="K25" s="2961">
        <v>101030</v>
      </c>
      <c r="L25" s="2961" t="s">
        <v>3455</v>
      </c>
      <c r="M25" s="2961" t="s">
        <v>1327</v>
      </c>
      <c r="N25" s="2961" t="s">
        <v>1327</v>
      </c>
      <c r="O25" s="2961" t="s">
        <v>1327</v>
      </c>
      <c r="P25" s="2961" t="s">
        <v>1327</v>
      </c>
      <c r="Q25" s="2961" t="s">
        <v>1327</v>
      </c>
      <c r="R25" s="2961">
        <v>30150</v>
      </c>
      <c r="S25" s="2961" t="s">
        <v>1327</v>
      </c>
      <c r="T25" s="2961" t="s">
        <v>1327</v>
      </c>
      <c r="U25" s="2961" t="s">
        <v>1327</v>
      </c>
      <c r="V25" s="2961" t="s">
        <v>1327</v>
      </c>
      <c r="W25" s="2961" t="s">
        <v>3374</v>
      </c>
      <c r="X25" s="2961" t="s">
        <v>3463</v>
      </c>
      <c r="Y25" s="2961" t="s">
        <v>3464</v>
      </c>
      <c r="Z25" s="2961" t="s">
        <v>3465</v>
      </c>
      <c r="AA25" s="2961" t="s">
        <v>3465</v>
      </c>
      <c r="AB25" s="2961" t="s">
        <v>3479</v>
      </c>
      <c r="AC25" s="2961" t="s">
        <v>3285</v>
      </c>
      <c r="AD25" s="2961" t="s">
        <v>3480</v>
      </c>
      <c r="AE25" s="2961">
        <v>111133</v>
      </c>
      <c r="AF25" s="2961">
        <v>222266</v>
      </c>
      <c r="AG25" s="2961">
        <v>322286</v>
      </c>
      <c r="AH25" s="2961">
        <v>4236.0600000000004</v>
      </c>
      <c r="AI25" s="2961">
        <v>6142.29</v>
      </c>
      <c r="AJ25" s="2961">
        <v>22000</v>
      </c>
      <c r="AK25" s="2961">
        <v>31900.02</v>
      </c>
      <c r="AL25" s="2961" t="s">
        <v>1327</v>
      </c>
      <c r="AM25" s="2961">
        <v>45469</v>
      </c>
      <c r="AN25" s="2961">
        <v>45</v>
      </c>
      <c r="AO25" s="2961" t="s">
        <v>3445</v>
      </c>
      <c r="AP25" s="2961" t="s">
        <v>1327</v>
      </c>
      <c r="AQ25" s="2961" t="s">
        <v>1327</v>
      </c>
      <c r="AR25" s="2961" t="s">
        <v>1327</v>
      </c>
      <c r="AS25" s="2961" t="s">
        <v>3317</v>
      </c>
    </row>
    <row r="26" spans="1:45" s="2953" customFormat="1">
      <c r="A26" s="2953" t="s">
        <v>3481</v>
      </c>
      <c r="B26" s="2953" t="s">
        <v>3271</v>
      </c>
      <c r="C26" s="2953" t="s">
        <v>3272</v>
      </c>
      <c r="D26" s="2953" t="s">
        <v>3319</v>
      </c>
      <c r="E26" s="2953" t="s">
        <v>1327</v>
      </c>
      <c r="F26" s="2953" t="s">
        <v>3481</v>
      </c>
      <c r="G26" s="2953" t="s">
        <v>3274</v>
      </c>
      <c r="H26" s="2953" t="s">
        <v>3482</v>
      </c>
      <c r="I26" s="2953" t="s">
        <v>3291</v>
      </c>
      <c r="J26" s="2953">
        <v>21908</v>
      </c>
      <c r="K26" s="2953">
        <v>89165.56</v>
      </c>
      <c r="L26" s="2953" t="s">
        <v>3483</v>
      </c>
      <c r="M26" s="2953" t="s">
        <v>1327</v>
      </c>
      <c r="N26" s="2953" t="s">
        <v>3456</v>
      </c>
      <c r="O26" s="2953" t="s">
        <v>3310</v>
      </c>
      <c r="P26" s="2953" t="s">
        <v>1327</v>
      </c>
      <c r="Q26" s="2953" t="s">
        <v>1327</v>
      </c>
      <c r="R26" s="2953">
        <v>27450</v>
      </c>
      <c r="S26" s="2953" t="s">
        <v>1327</v>
      </c>
      <c r="T26" s="2953" t="s">
        <v>1327</v>
      </c>
      <c r="U26" s="2953" t="s">
        <v>1327</v>
      </c>
      <c r="V26" s="2953" t="s">
        <v>1327</v>
      </c>
      <c r="W26" s="2953" t="s">
        <v>3159</v>
      </c>
      <c r="X26" s="2953" t="s">
        <v>3484</v>
      </c>
      <c r="Y26" s="2953" t="s">
        <v>3485</v>
      </c>
      <c r="Z26" s="2953" t="s">
        <v>3486</v>
      </c>
      <c r="AA26" s="2953" t="s">
        <v>3486</v>
      </c>
      <c r="AB26" s="2953" t="s">
        <v>3487</v>
      </c>
      <c r="AC26" s="2953" t="s">
        <v>3285</v>
      </c>
      <c r="AD26" s="2953" t="s">
        <v>3488</v>
      </c>
      <c r="AE26" s="2953">
        <v>29978</v>
      </c>
      <c r="AF26" s="2953">
        <v>149888</v>
      </c>
      <c r="AG26" s="2953">
        <v>217338</v>
      </c>
      <c r="AH26" s="2953">
        <v>4561.13</v>
      </c>
      <c r="AI26" s="2953">
        <v>6613.66</v>
      </c>
      <c r="AJ26" s="2953">
        <v>16810.07</v>
      </c>
      <c r="AK26" s="2953">
        <v>24374.65</v>
      </c>
      <c r="AL26" s="2953" t="s">
        <v>1327</v>
      </c>
      <c r="AM26" s="2953">
        <v>35216</v>
      </c>
      <c r="AN26" s="2953">
        <v>45</v>
      </c>
      <c r="AO26" s="2953" t="s">
        <v>3445</v>
      </c>
      <c r="AP26" s="2953" t="s">
        <v>1327</v>
      </c>
      <c r="AQ26" s="2953" t="s">
        <v>1327</v>
      </c>
      <c r="AR26" s="2953" t="s">
        <v>1327</v>
      </c>
      <c r="AS26" s="2953" t="s">
        <v>3317</v>
      </c>
    </row>
    <row r="27" spans="1:45" s="2953" customFormat="1">
      <c r="A27" s="2953" t="s">
        <v>3489</v>
      </c>
      <c r="B27" s="2953" t="s">
        <v>3271</v>
      </c>
      <c r="C27" s="2953" t="s">
        <v>3272</v>
      </c>
      <c r="D27" s="2953" t="s">
        <v>3319</v>
      </c>
      <c r="E27" s="2953" t="s">
        <v>1327</v>
      </c>
      <c r="F27" s="2953" t="s">
        <v>3489</v>
      </c>
      <c r="G27" s="2953" t="s">
        <v>3274</v>
      </c>
      <c r="H27" s="2953" t="s">
        <v>3490</v>
      </c>
      <c r="I27" s="2953" t="s">
        <v>3291</v>
      </c>
      <c r="J27" s="2953">
        <v>31921</v>
      </c>
      <c r="K27" s="2953">
        <v>143644.5</v>
      </c>
      <c r="L27" s="2953" t="s">
        <v>3491</v>
      </c>
      <c r="M27" s="2953" t="s">
        <v>1327</v>
      </c>
      <c r="N27" s="2953" t="s">
        <v>3492</v>
      </c>
      <c r="O27" s="2953" t="s">
        <v>3493</v>
      </c>
      <c r="P27" s="2953" t="s">
        <v>1327</v>
      </c>
      <c r="Q27" s="2953" t="s">
        <v>1327</v>
      </c>
      <c r="R27" s="2953" t="s">
        <v>1327</v>
      </c>
      <c r="S27" s="2953" t="s">
        <v>1327</v>
      </c>
      <c r="T27" s="2953" t="s">
        <v>1327</v>
      </c>
      <c r="U27" s="2953" t="s">
        <v>1327</v>
      </c>
      <c r="V27" s="2953" t="s">
        <v>1327</v>
      </c>
      <c r="W27" s="2953" t="s">
        <v>3159</v>
      </c>
      <c r="X27" s="2953" t="s">
        <v>3494</v>
      </c>
      <c r="Y27" s="2953" t="s">
        <v>3495</v>
      </c>
      <c r="Z27" s="2953" t="s">
        <v>3496</v>
      </c>
      <c r="AA27" s="2953" t="s">
        <v>3496</v>
      </c>
      <c r="AB27" s="2953" t="s">
        <v>3497</v>
      </c>
      <c r="AC27" s="2953" t="s">
        <v>3285</v>
      </c>
      <c r="AD27" s="2953" t="s">
        <v>3498</v>
      </c>
      <c r="AE27" s="2953">
        <v>40300</v>
      </c>
      <c r="AF27" s="2953">
        <v>201103</v>
      </c>
      <c r="AG27" s="2953">
        <v>201103</v>
      </c>
      <c r="AH27" s="2953">
        <v>4200.01</v>
      </c>
      <c r="AI27" s="2953">
        <v>4200.01</v>
      </c>
      <c r="AJ27" s="2953">
        <v>14000.04</v>
      </c>
      <c r="AK27" s="2953">
        <v>14000.04</v>
      </c>
      <c r="AL27" s="2953" t="s">
        <v>1327</v>
      </c>
      <c r="AM27" s="2953" t="s">
        <v>1327</v>
      </c>
      <c r="AN27" s="2953">
        <v>0</v>
      </c>
      <c r="AO27" s="2953" t="s">
        <v>3422</v>
      </c>
      <c r="AP27" s="2953" t="s">
        <v>1327</v>
      </c>
      <c r="AQ27" s="2953" t="s">
        <v>1327</v>
      </c>
      <c r="AR27" s="2953" t="s">
        <v>1327</v>
      </c>
      <c r="AS27" s="2953" t="s">
        <v>3317</v>
      </c>
    </row>
    <row r="28" spans="1:45" s="2953" customFormat="1">
      <c r="A28" s="2953" t="s">
        <v>3499</v>
      </c>
      <c r="B28" s="2953" t="s">
        <v>3271</v>
      </c>
      <c r="C28" s="2953" t="s">
        <v>3272</v>
      </c>
      <c r="D28" s="2953" t="s">
        <v>3319</v>
      </c>
      <c r="E28" s="2953" t="s">
        <v>1327</v>
      </c>
      <c r="F28" s="2953" t="s">
        <v>3499</v>
      </c>
      <c r="G28" s="2953" t="s">
        <v>3274</v>
      </c>
      <c r="H28" s="2953" t="s">
        <v>3500</v>
      </c>
      <c r="I28" s="2953" t="s">
        <v>3501</v>
      </c>
      <c r="J28" s="2953">
        <v>38778</v>
      </c>
      <c r="K28" s="2953">
        <v>179250.1</v>
      </c>
      <c r="L28" s="2953" t="s">
        <v>3502</v>
      </c>
      <c r="M28" s="2953" t="s">
        <v>1327</v>
      </c>
      <c r="N28" s="2953" t="s">
        <v>3503</v>
      </c>
      <c r="O28" s="2953" t="s">
        <v>3504</v>
      </c>
      <c r="P28" s="2953" t="s">
        <v>1327</v>
      </c>
      <c r="Q28" s="2953" t="s">
        <v>1327</v>
      </c>
      <c r="R28" s="2953" t="s">
        <v>1327</v>
      </c>
      <c r="S28" s="2953" t="s">
        <v>1327</v>
      </c>
      <c r="T28" s="2953" t="s">
        <v>1327</v>
      </c>
      <c r="U28" s="2953" t="s">
        <v>1327</v>
      </c>
      <c r="V28" s="2953" t="s">
        <v>1327</v>
      </c>
      <c r="W28" s="2953" t="s">
        <v>3159</v>
      </c>
      <c r="X28" s="2953" t="s">
        <v>3494</v>
      </c>
      <c r="Y28" s="2953" t="s">
        <v>3495</v>
      </c>
      <c r="Z28" s="2953" t="s">
        <v>3496</v>
      </c>
      <c r="AA28" s="2953" t="s">
        <v>3496</v>
      </c>
      <c r="AB28" s="2953" t="s">
        <v>3505</v>
      </c>
      <c r="AC28" s="2953" t="s">
        <v>3285</v>
      </c>
      <c r="AD28" s="2953" t="s">
        <v>3286</v>
      </c>
      <c r="AE28" s="2953">
        <v>53800</v>
      </c>
      <c r="AF28" s="2953">
        <v>268876</v>
      </c>
      <c r="AG28" s="2953">
        <v>343000</v>
      </c>
      <c r="AH28" s="2953">
        <v>4622.4799999999996</v>
      </c>
      <c r="AI28" s="2953">
        <v>5896.81</v>
      </c>
      <c r="AJ28" s="2953">
        <v>15000.04</v>
      </c>
      <c r="AK28" s="2953">
        <v>19135.27</v>
      </c>
      <c r="AL28" s="2953" t="s">
        <v>1327</v>
      </c>
      <c r="AM28" s="2953" t="s">
        <v>1327</v>
      </c>
      <c r="AN28" s="2953">
        <v>27.57</v>
      </c>
      <c r="AO28" s="2953" t="s">
        <v>3422</v>
      </c>
      <c r="AP28" s="2953" t="s">
        <v>1327</v>
      </c>
      <c r="AQ28" s="2953" t="s">
        <v>1327</v>
      </c>
      <c r="AR28" s="2953" t="s">
        <v>1327</v>
      </c>
      <c r="AS28" s="2953" t="s">
        <v>3317</v>
      </c>
    </row>
    <row r="29" spans="1:45" s="2953" customFormat="1">
      <c r="A29" s="2953" t="s">
        <v>3506</v>
      </c>
      <c r="B29" s="2953" t="s">
        <v>3271</v>
      </c>
      <c r="C29" s="2953" t="s">
        <v>3272</v>
      </c>
      <c r="D29" s="2953" t="s">
        <v>3319</v>
      </c>
      <c r="E29" s="2953" t="s">
        <v>1327</v>
      </c>
      <c r="F29" s="2953" t="s">
        <v>3506</v>
      </c>
      <c r="G29" s="2953" t="s">
        <v>3274</v>
      </c>
      <c r="H29" s="2953" t="s">
        <v>3507</v>
      </c>
      <c r="I29" s="2953" t="s">
        <v>3291</v>
      </c>
      <c r="J29" s="2953">
        <v>35272</v>
      </c>
      <c r="K29" s="2953">
        <v>137560.5</v>
      </c>
      <c r="L29" s="2953" t="s">
        <v>3508</v>
      </c>
      <c r="M29" s="2953" t="s">
        <v>1327</v>
      </c>
      <c r="N29" s="2953" t="s">
        <v>3509</v>
      </c>
      <c r="O29" s="2953" t="s">
        <v>3510</v>
      </c>
      <c r="P29" s="2953" t="s">
        <v>1327</v>
      </c>
      <c r="Q29" s="2953" t="s">
        <v>1327</v>
      </c>
      <c r="R29" s="2953" t="s">
        <v>1327</v>
      </c>
      <c r="S29" s="2953" t="s">
        <v>1327</v>
      </c>
      <c r="T29" s="2953" t="s">
        <v>1327</v>
      </c>
      <c r="U29" s="2953" t="s">
        <v>1327</v>
      </c>
      <c r="V29" s="2953" t="s">
        <v>1327</v>
      </c>
      <c r="W29" s="2953" t="s">
        <v>3159</v>
      </c>
      <c r="X29" s="2953" t="s">
        <v>3494</v>
      </c>
      <c r="Y29" s="2953" t="s">
        <v>3495</v>
      </c>
      <c r="Z29" s="2953" t="s">
        <v>3496</v>
      </c>
      <c r="AA29" s="2953" t="s">
        <v>3496</v>
      </c>
      <c r="AB29" s="2953" t="s">
        <v>3511</v>
      </c>
      <c r="AC29" s="2953" t="s">
        <v>3285</v>
      </c>
      <c r="AD29" s="2953" t="s">
        <v>3512</v>
      </c>
      <c r="AE29" s="2953">
        <v>41300</v>
      </c>
      <c r="AF29" s="2953">
        <v>206341</v>
      </c>
      <c r="AG29" s="2953">
        <v>267000</v>
      </c>
      <c r="AH29" s="2953">
        <v>3900</v>
      </c>
      <c r="AI29" s="2953">
        <v>5046.5</v>
      </c>
      <c r="AJ29" s="2953">
        <v>15000.01</v>
      </c>
      <c r="AK29" s="2953">
        <v>19409.63</v>
      </c>
      <c r="AL29" s="2953" t="s">
        <v>1327</v>
      </c>
      <c r="AM29" s="2953" t="s">
        <v>1327</v>
      </c>
      <c r="AN29" s="2953">
        <v>29.4</v>
      </c>
      <c r="AO29" s="2953" t="s">
        <v>3422</v>
      </c>
      <c r="AP29" s="2953" t="s">
        <v>1327</v>
      </c>
      <c r="AQ29" s="2953" t="s">
        <v>1327</v>
      </c>
      <c r="AR29" s="2953" t="s">
        <v>1327</v>
      </c>
      <c r="AS29" s="2953" t="s">
        <v>3317</v>
      </c>
    </row>
    <row r="30" spans="1:45" s="2953" customFormat="1">
      <c r="A30" s="2953" t="s">
        <v>3513</v>
      </c>
      <c r="B30" s="2953" t="s">
        <v>3271</v>
      </c>
      <c r="C30" s="2953" t="s">
        <v>3272</v>
      </c>
      <c r="D30" s="2953" t="s">
        <v>3273</v>
      </c>
      <c r="E30" s="2953" t="s">
        <v>1327</v>
      </c>
      <c r="F30" s="2953" t="s">
        <v>3513</v>
      </c>
      <c r="G30" s="2953" t="s">
        <v>3274</v>
      </c>
      <c r="H30" s="2953" t="s">
        <v>3514</v>
      </c>
      <c r="I30" s="2953" t="s">
        <v>3291</v>
      </c>
      <c r="J30" s="2953">
        <v>15951</v>
      </c>
      <c r="K30" s="2953">
        <v>65398</v>
      </c>
      <c r="L30" s="2953" t="s">
        <v>3515</v>
      </c>
      <c r="M30" s="2953" t="s">
        <v>1327</v>
      </c>
      <c r="N30" s="2953" t="s">
        <v>3516</v>
      </c>
      <c r="O30" s="2953" t="s">
        <v>3517</v>
      </c>
      <c r="P30" s="2953" t="s">
        <v>3367</v>
      </c>
      <c r="Q30" s="2953" t="s">
        <v>1327</v>
      </c>
      <c r="R30" s="2953" t="s">
        <v>1327</v>
      </c>
      <c r="S30" s="2953" t="s">
        <v>1327</v>
      </c>
      <c r="T30" s="2953" t="s">
        <v>1327</v>
      </c>
      <c r="U30" s="2953" t="s">
        <v>1327</v>
      </c>
      <c r="V30" s="2953" t="s">
        <v>1327</v>
      </c>
      <c r="W30" s="2953" t="s">
        <v>3159</v>
      </c>
      <c r="X30" s="2953" t="s">
        <v>3518</v>
      </c>
      <c r="Y30" s="2953" t="s">
        <v>3519</v>
      </c>
      <c r="Z30" s="2953" t="s">
        <v>3520</v>
      </c>
      <c r="AA30" s="2953" t="s">
        <v>3520</v>
      </c>
      <c r="AB30" s="2953" t="s">
        <v>3521</v>
      </c>
      <c r="AC30" s="2953" t="s">
        <v>3285</v>
      </c>
      <c r="AD30" s="2953" t="s">
        <v>3522</v>
      </c>
      <c r="AE30" s="2953">
        <v>15000</v>
      </c>
      <c r="AF30" s="2953">
        <v>71938</v>
      </c>
      <c r="AG30" s="2953">
        <v>84000</v>
      </c>
      <c r="AH30" s="2953">
        <v>3006.62</v>
      </c>
      <c r="AI30" s="2953">
        <v>3510.75</v>
      </c>
      <c r="AJ30" s="2953">
        <v>11000.03</v>
      </c>
      <c r="AK30" s="2953">
        <v>12844.43</v>
      </c>
      <c r="AL30" s="2953" t="s">
        <v>1327</v>
      </c>
      <c r="AM30" s="2953" t="s">
        <v>1327</v>
      </c>
      <c r="AN30" s="2953">
        <v>16.77</v>
      </c>
      <c r="AO30" s="2953" t="s">
        <v>3422</v>
      </c>
      <c r="AP30" s="2953" t="s">
        <v>1327</v>
      </c>
      <c r="AQ30" s="2953" t="s">
        <v>1327</v>
      </c>
      <c r="AR30" s="2953" t="s">
        <v>1327</v>
      </c>
      <c r="AS30" s="2953" t="s">
        <v>3317</v>
      </c>
    </row>
    <row r="31" spans="1:45" s="2953" customFormat="1">
      <c r="A31" s="2953" t="s">
        <v>3523</v>
      </c>
      <c r="B31" s="2953" t="s">
        <v>3271</v>
      </c>
      <c r="C31" s="2953" t="s">
        <v>3272</v>
      </c>
      <c r="D31" s="2953" t="s">
        <v>3273</v>
      </c>
      <c r="E31" s="2953" t="s">
        <v>1327</v>
      </c>
      <c r="F31" s="2953" t="s">
        <v>3523</v>
      </c>
      <c r="G31" s="2953" t="s">
        <v>3274</v>
      </c>
      <c r="H31" s="2953" t="s">
        <v>3524</v>
      </c>
      <c r="I31" s="2953" t="s">
        <v>3291</v>
      </c>
      <c r="J31" s="2953">
        <v>24032</v>
      </c>
      <c r="K31" s="2953">
        <v>98531</v>
      </c>
      <c r="L31" s="2953" t="s">
        <v>3515</v>
      </c>
      <c r="M31" s="2953" t="s">
        <v>1327</v>
      </c>
      <c r="N31" s="2953" t="s">
        <v>3516</v>
      </c>
      <c r="O31" s="2953" t="s">
        <v>3517</v>
      </c>
      <c r="P31" s="2953" t="s">
        <v>3367</v>
      </c>
      <c r="Q31" s="2953" t="s">
        <v>1327</v>
      </c>
      <c r="R31" s="2953" t="s">
        <v>1327</v>
      </c>
      <c r="S31" s="2953" t="s">
        <v>1327</v>
      </c>
      <c r="T31" s="2953" t="s">
        <v>1327</v>
      </c>
      <c r="U31" s="2953" t="s">
        <v>1327</v>
      </c>
      <c r="V31" s="2953" t="s">
        <v>1327</v>
      </c>
      <c r="W31" s="2953" t="s">
        <v>3159</v>
      </c>
      <c r="X31" s="2953" t="s">
        <v>3518</v>
      </c>
      <c r="Y31" s="2953" t="s">
        <v>3519</v>
      </c>
      <c r="Z31" s="2953" t="s">
        <v>3520</v>
      </c>
      <c r="AA31" s="2953" t="s">
        <v>3520</v>
      </c>
      <c r="AB31" s="2953" t="s">
        <v>3525</v>
      </c>
      <c r="AC31" s="2953" t="s">
        <v>3285</v>
      </c>
      <c r="AD31" s="2953" t="s">
        <v>3526</v>
      </c>
      <c r="AE31" s="2953">
        <v>22000</v>
      </c>
      <c r="AF31" s="2953">
        <v>108746</v>
      </c>
      <c r="AG31" s="2953">
        <v>125000</v>
      </c>
      <c r="AH31" s="2953">
        <v>3016.7</v>
      </c>
      <c r="AI31" s="2953">
        <v>3467.6</v>
      </c>
      <c r="AJ31" s="2953">
        <v>11036.72</v>
      </c>
      <c r="AK31" s="2953">
        <v>12686.36</v>
      </c>
      <c r="AL31" s="2953" t="s">
        <v>1327</v>
      </c>
      <c r="AM31" s="2953" t="s">
        <v>1327</v>
      </c>
      <c r="AN31" s="2953">
        <v>14.95</v>
      </c>
      <c r="AO31" s="2953" t="s">
        <v>3422</v>
      </c>
      <c r="AP31" s="2953" t="s">
        <v>1327</v>
      </c>
      <c r="AQ31" s="2953" t="s">
        <v>1327</v>
      </c>
      <c r="AR31" s="2953" t="s">
        <v>1327</v>
      </c>
      <c r="AS31" s="2953" t="s">
        <v>3317</v>
      </c>
    </row>
    <row r="32" spans="1:45" s="2953" customFormat="1">
      <c r="A32" s="2953" t="s">
        <v>3527</v>
      </c>
      <c r="B32" s="2953" t="s">
        <v>3271</v>
      </c>
      <c r="C32" s="2953" t="s">
        <v>3272</v>
      </c>
      <c r="D32" s="2953" t="s">
        <v>3273</v>
      </c>
      <c r="E32" s="2953" t="s">
        <v>1327</v>
      </c>
      <c r="F32" s="2953" t="s">
        <v>3527</v>
      </c>
      <c r="G32" s="2953" t="s">
        <v>3274</v>
      </c>
      <c r="H32" s="2953" t="s">
        <v>3528</v>
      </c>
      <c r="I32" s="2953" t="s">
        <v>3291</v>
      </c>
      <c r="J32" s="2953">
        <v>9058</v>
      </c>
      <c r="K32" s="2953">
        <v>37137</v>
      </c>
      <c r="L32" s="2953" t="s">
        <v>3515</v>
      </c>
      <c r="M32" s="2953" t="s">
        <v>1327</v>
      </c>
      <c r="N32" s="2953" t="s">
        <v>3516</v>
      </c>
      <c r="O32" s="2953" t="s">
        <v>3517</v>
      </c>
      <c r="P32" s="2953" t="s">
        <v>3367</v>
      </c>
      <c r="Q32" s="2953" t="s">
        <v>1327</v>
      </c>
      <c r="R32" s="2953" t="s">
        <v>1327</v>
      </c>
      <c r="S32" s="2953" t="s">
        <v>1327</v>
      </c>
      <c r="T32" s="2953" t="s">
        <v>1327</v>
      </c>
      <c r="U32" s="2953" t="s">
        <v>1327</v>
      </c>
      <c r="V32" s="2953" t="s">
        <v>1327</v>
      </c>
      <c r="W32" s="2953" t="s">
        <v>3159</v>
      </c>
      <c r="X32" s="2953" t="s">
        <v>3518</v>
      </c>
      <c r="Y32" s="2953" t="s">
        <v>3519</v>
      </c>
      <c r="Z32" s="2953" t="s">
        <v>3520</v>
      </c>
      <c r="AA32" s="2953" t="s">
        <v>3520</v>
      </c>
      <c r="AB32" s="2953" t="s">
        <v>3529</v>
      </c>
      <c r="AC32" s="2953" t="s">
        <v>3285</v>
      </c>
      <c r="AD32" s="2953" t="s">
        <v>3530</v>
      </c>
      <c r="AE32" s="2953">
        <v>8200</v>
      </c>
      <c r="AF32" s="2953">
        <v>40851</v>
      </c>
      <c r="AG32" s="2953">
        <v>46851</v>
      </c>
      <c r="AH32" s="2953">
        <v>3006.62</v>
      </c>
      <c r="AI32" s="2953">
        <v>3448.22</v>
      </c>
      <c r="AJ32" s="2953">
        <v>11000.08</v>
      </c>
      <c r="AK32" s="2953">
        <v>12615.71</v>
      </c>
      <c r="AL32" s="2953" t="s">
        <v>1327</v>
      </c>
      <c r="AM32" s="2953" t="s">
        <v>1327</v>
      </c>
      <c r="AN32" s="2953">
        <v>14.69</v>
      </c>
      <c r="AO32" s="2953" t="s">
        <v>3422</v>
      </c>
      <c r="AP32" s="2953" t="s">
        <v>1327</v>
      </c>
      <c r="AQ32" s="2953" t="s">
        <v>1327</v>
      </c>
      <c r="AR32" s="2953" t="s">
        <v>1327</v>
      </c>
      <c r="AS32" s="2953" t="s">
        <v>3317</v>
      </c>
    </row>
    <row r="33" spans="1:45" s="2953" customFormat="1">
      <c r="A33" s="2953" t="s">
        <v>3531</v>
      </c>
      <c r="B33" s="2953" t="s">
        <v>3271</v>
      </c>
      <c r="C33" s="2953" t="s">
        <v>3272</v>
      </c>
      <c r="D33" s="2953" t="s">
        <v>3404</v>
      </c>
      <c r="E33" s="2953" t="s">
        <v>1327</v>
      </c>
      <c r="F33" s="2953" t="s">
        <v>3531</v>
      </c>
      <c r="G33" s="2953" t="s">
        <v>3274</v>
      </c>
      <c r="H33" s="2953" t="s">
        <v>3532</v>
      </c>
      <c r="I33" s="2953" t="s">
        <v>3291</v>
      </c>
      <c r="J33" s="2953">
        <v>19550</v>
      </c>
      <c r="K33" s="2953">
        <v>107525</v>
      </c>
      <c r="L33" s="2953" t="s">
        <v>3533</v>
      </c>
      <c r="M33" s="2953" t="s">
        <v>1327</v>
      </c>
      <c r="N33" s="2953" t="s">
        <v>3516</v>
      </c>
      <c r="O33" s="2953" t="s">
        <v>3517</v>
      </c>
      <c r="P33" s="2953" t="s">
        <v>3367</v>
      </c>
      <c r="Q33" s="2953" t="s">
        <v>1327</v>
      </c>
      <c r="R33" s="2953">
        <v>20700</v>
      </c>
      <c r="S33" s="2953" t="s">
        <v>1327</v>
      </c>
      <c r="T33" s="2953" t="s">
        <v>1327</v>
      </c>
      <c r="U33" s="2953" t="s">
        <v>1327</v>
      </c>
      <c r="V33" s="2953" t="s">
        <v>1327</v>
      </c>
      <c r="W33" s="2953" t="s">
        <v>3159</v>
      </c>
      <c r="X33" s="2953" t="s">
        <v>3534</v>
      </c>
      <c r="Y33" s="2953" t="s">
        <v>3535</v>
      </c>
      <c r="Z33" s="2953" t="s">
        <v>3519</v>
      </c>
      <c r="AA33" s="2953" t="s">
        <v>3519</v>
      </c>
      <c r="AB33" s="2953" t="s">
        <v>3536</v>
      </c>
      <c r="AC33" s="2953" t="s">
        <v>3285</v>
      </c>
      <c r="AD33" s="2953" t="s">
        <v>3537</v>
      </c>
      <c r="AE33" s="2953">
        <v>31400</v>
      </c>
      <c r="AF33" s="2953">
        <v>156987</v>
      </c>
      <c r="AG33" s="2953">
        <v>227632</v>
      </c>
      <c r="AH33" s="2953">
        <v>5353.35</v>
      </c>
      <c r="AI33" s="2953">
        <v>7762.39</v>
      </c>
      <c r="AJ33" s="2953">
        <v>14600.04</v>
      </c>
      <c r="AK33" s="2953">
        <v>21170.15</v>
      </c>
      <c r="AL33" s="2953" t="s">
        <v>1327</v>
      </c>
      <c r="AM33" s="2953">
        <v>26217</v>
      </c>
      <c r="AN33" s="2953">
        <v>45</v>
      </c>
      <c r="AO33" s="2953" t="s">
        <v>3422</v>
      </c>
      <c r="AP33" s="2953" t="s">
        <v>1327</v>
      </c>
      <c r="AQ33" s="2953" t="s">
        <v>1327</v>
      </c>
      <c r="AR33" s="2953" t="s">
        <v>1327</v>
      </c>
      <c r="AS33" s="2953" t="s">
        <v>3317</v>
      </c>
    </row>
    <row r="34" spans="1:45" s="2953" customFormat="1">
      <c r="A34" s="2953" t="s">
        <v>3538</v>
      </c>
      <c r="B34" s="2953" t="s">
        <v>3271</v>
      </c>
      <c r="C34" s="2953" t="s">
        <v>3330</v>
      </c>
      <c r="D34" s="2953" t="s">
        <v>3404</v>
      </c>
      <c r="E34" s="2953" t="s">
        <v>1327</v>
      </c>
      <c r="F34" s="2953" t="s">
        <v>3538</v>
      </c>
      <c r="G34" s="2953" t="s">
        <v>3274</v>
      </c>
      <c r="H34" s="2953" t="s">
        <v>3539</v>
      </c>
      <c r="I34" s="2953" t="s">
        <v>3540</v>
      </c>
      <c r="J34" s="2953">
        <v>13660</v>
      </c>
      <c r="K34" s="2953">
        <v>75130</v>
      </c>
      <c r="L34" s="2953" t="s">
        <v>3533</v>
      </c>
      <c r="M34" s="2953" t="s">
        <v>1327</v>
      </c>
      <c r="N34" s="2953" t="s">
        <v>3516</v>
      </c>
      <c r="O34" s="2953" t="s">
        <v>3517</v>
      </c>
      <c r="P34" s="2953" t="s">
        <v>3367</v>
      </c>
      <c r="Q34" s="2953" t="s">
        <v>1327</v>
      </c>
      <c r="R34" s="2953">
        <v>11700</v>
      </c>
      <c r="S34" s="2953" t="s">
        <v>1327</v>
      </c>
      <c r="T34" s="2953" t="s">
        <v>1327</v>
      </c>
      <c r="U34" s="2953" t="s">
        <v>1327</v>
      </c>
      <c r="V34" s="2953" t="s">
        <v>1327</v>
      </c>
      <c r="W34" s="2953" t="s">
        <v>3159</v>
      </c>
      <c r="X34" s="2953" t="s">
        <v>3534</v>
      </c>
      <c r="Y34" s="2953" t="s">
        <v>3535</v>
      </c>
      <c r="Z34" s="2953" t="s">
        <v>3519</v>
      </c>
      <c r="AA34" s="2953" t="s">
        <v>3519</v>
      </c>
      <c r="AB34" s="2953" t="s">
        <v>3541</v>
      </c>
      <c r="AC34" s="2953" t="s">
        <v>3285</v>
      </c>
      <c r="AD34" s="2953" t="s">
        <v>3488</v>
      </c>
      <c r="AE34" s="2953">
        <v>20290</v>
      </c>
      <c r="AF34" s="2953">
        <v>101426</v>
      </c>
      <c r="AG34" s="2953">
        <v>147068</v>
      </c>
      <c r="AH34" s="2953">
        <v>4950.0200000000004</v>
      </c>
      <c r="AI34" s="2953">
        <v>7177.55</v>
      </c>
      <c r="AJ34" s="2953">
        <v>13500.06</v>
      </c>
      <c r="AK34" s="2953">
        <v>19575.13</v>
      </c>
      <c r="AL34" s="2953" t="s">
        <v>1327</v>
      </c>
      <c r="AM34" s="2953">
        <v>23186</v>
      </c>
      <c r="AN34" s="2953">
        <v>45</v>
      </c>
      <c r="AO34" s="2953" t="s">
        <v>3422</v>
      </c>
      <c r="AP34" s="2953" t="s">
        <v>1327</v>
      </c>
      <c r="AQ34" s="2953" t="s">
        <v>1327</v>
      </c>
      <c r="AR34" s="2953" t="s">
        <v>1327</v>
      </c>
      <c r="AS34" s="2953" t="s">
        <v>3317</v>
      </c>
    </row>
    <row r="35" spans="1:45" s="2953" customFormat="1">
      <c r="A35" s="2953" t="s">
        <v>3542</v>
      </c>
      <c r="B35" s="2953" t="s">
        <v>3271</v>
      </c>
      <c r="C35" s="2953" t="s">
        <v>3330</v>
      </c>
      <c r="D35" s="2953" t="s">
        <v>3404</v>
      </c>
      <c r="E35" s="2953" t="s">
        <v>1327</v>
      </c>
      <c r="F35" s="2953" t="s">
        <v>3542</v>
      </c>
      <c r="G35" s="2953" t="s">
        <v>3274</v>
      </c>
      <c r="H35" s="2953" t="s">
        <v>3543</v>
      </c>
      <c r="I35" s="2953" t="s">
        <v>3544</v>
      </c>
      <c r="J35" s="2953">
        <v>22246</v>
      </c>
      <c r="K35" s="2953">
        <v>164620.4</v>
      </c>
      <c r="L35" s="2953" t="s">
        <v>3545</v>
      </c>
      <c r="M35" s="2953" t="s">
        <v>1327</v>
      </c>
      <c r="N35" s="2953" t="s">
        <v>1327</v>
      </c>
      <c r="O35" s="2953" t="s">
        <v>1327</v>
      </c>
      <c r="P35" s="2953" t="s">
        <v>1327</v>
      </c>
      <c r="Q35" s="2953" t="s">
        <v>1327</v>
      </c>
      <c r="R35" s="2953" t="s">
        <v>1327</v>
      </c>
      <c r="S35" s="2953" t="s">
        <v>1327</v>
      </c>
      <c r="T35" s="2953" t="s">
        <v>1327</v>
      </c>
      <c r="U35" s="2953" t="s">
        <v>1327</v>
      </c>
      <c r="V35" s="2953" t="s">
        <v>1327</v>
      </c>
      <c r="W35" s="2953" t="s">
        <v>3159</v>
      </c>
      <c r="X35" s="2953" t="s">
        <v>3546</v>
      </c>
      <c r="Y35" s="2953" t="s">
        <v>3547</v>
      </c>
      <c r="Z35" s="2953" t="s">
        <v>3548</v>
      </c>
      <c r="AA35" s="2953" t="s">
        <v>3548</v>
      </c>
      <c r="AB35" s="2953" t="s">
        <v>3549</v>
      </c>
      <c r="AC35" s="2953" t="s">
        <v>3285</v>
      </c>
      <c r="AD35" s="2953" t="s">
        <v>3550</v>
      </c>
      <c r="AE35" s="2953">
        <v>52680</v>
      </c>
      <c r="AF35" s="2953">
        <v>263393</v>
      </c>
      <c r="AG35" s="2953">
        <v>263393</v>
      </c>
      <c r="AH35" s="2953">
        <v>7893.34</v>
      </c>
      <c r="AI35" s="2953">
        <v>7893.34</v>
      </c>
      <c r="AJ35" s="2953">
        <v>16000.02</v>
      </c>
      <c r="AK35" s="2953">
        <v>16000.02</v>
      </c>
      <c r="AL35" s="2953" t="s">
        <v>1327</v>
      </c>
      <c r="AM35" s="2953" t="s">
        <v>1327</v>
      </c>
      <c r="AN35" s="2953">
        <v>0</v>
      </c>
      <c r="AO35" s="2953" t="s">
        <v>3551</v>
      </c>
      <c r="AP35" s="2953" t="s">
        <v>1327</v>
      </c>
      <c r="AQ35" s="2953" t="s">
        <v>1327</v>
      </c>
      <c r="AR35" s="2953" t="s">
        <v>1327</v>
      </c>
      <c r="AS35" s="2953" t="s">
        <v>3317</v>
      </c>
    </row>
    <row r="36" spans="1:45" s="2953" customFormat="1">
      <c r="A36" s="2953" t="s">
        <v>3552</v>
      </c>
      <c r="B36" s="2953" t="s">
        <v>3271</v>
      </c>
      <c r="C36" s="2953" t="s">
        <v>3330</v>
      </c>
      <c r="D36" s="2953" t="s">
        <v>3404</v>
      </c>
      <c r="E36" s="2953" t="s">
        <v>1327</v>
      </c>
      <c r="F36" s="2953" t="s">
        <v>3552</v>
      </c>
      <c r="G36" s="2953" t="s">
        <v>3274</v>
      </c>
      <c r="H36" s="2953">
        <v>1</v>
      </c>
      <c r="I36" s="2953" t="s">
        <v>3553</v>
      </c>
      <c r="J36" s="2953">
        <v>257692</v>
      </c>
      <c r="K36" s="2953">
        <v>556107.30000000005</v>
      </c>
      <c r="L36" s="2953" t="s">
        <v>3554</v>
      </c>
      <c r="M36" s="2953" t="s">
        <v>1327</v>
      </c>
      <c r="N36" s="2953" t="s">
        <v>1327</v>
      </c>
      <c r="O36" s="2953" t="s">
        <v>1327</v>
      </c>
      <c r="P36" s="2953" t="s">
        <v>1327</v>
      </c>
      <c r="Q36" s="2953" t="s">
        <v>1327</v>
      </c>
      <c r="R36" s="2953" t="s">
        <v>1327</v>
      </c>
      <c r="S36" s="2953" t="s">
        <v>1327</v>
      </c>
      <c r="T36" s="2953" t="s">
        <v>1327</v>
      </c>
      <c r="U36" s="2953" t="s">
        <v>1327</v>
      </c>
      <c r="V36" s="2953" t="s">
        <v>1327</v>
      </c>
      <c r="W36" s="2953" t="s">
        <v>3159</v>
      </c>
      <c r="X36" s="2953" t="s">
        <v>3546</v>
      </c>
      <c r="Y36" s="2953" t="s">
        <v>3547</v>
      </c>
      <c r="Z36" s="2953" t="s">
        <v>3548</v>
      </c>
      <c r="AA36" s="2953" t="s">
        <v>3548</v>
      </c>
      <c r="AB36" s="2953" t="s">
        <v>3555</v>
      </c>
      <c r="AC36" s="2953" t="s">
        <v>3285</v>
      </c>
      <c r="AD36" s="2953" t="s">
        <v>3556</v>
      </c>
      <c r="AE36" s="2953">
        <v>177960</v>
      </c>
      <c r="AF36" s="2953">
        <v>889772</v>
      </c>
      <c r="AG36" s="2953">
        <v>889772</v>
      </c>
      <c r="AH36" s="2953">
        <v>2301.9</v>
      </c>
      <c r="AI36" s="2953">
        <v>2301.9</v>
      </c>
      <c r="AJ36" s="2953">
        <v>16000</v>
      </c>
      <c r="AK36" s="2953">
        <v>16000.01</v>
      </c>
      <c r="AL36" s="2953" t="s">
        <v>1327</v>
      </c>
      <c r="AM36" s="2953" t="s">
        <v>1327</v>
      </c>
      <c r="AN36" s="2953">
        <v>0</v>
      </c>
      <c r="AO36" s="2953" t="s">
        <v>3557</v>
      </c>
      <c r="AP36" s="2953" t="s">
        <v>1327</v>
      </c>
      <c r="AQ36" s="2953" t="s">
        <v>1327</v>
      </c>
      <c r="AR36" s="2953" t="s">
        <v>1327</v>
      </c>
      <c r="AS36" s="2953" t="s">
        <v>3317</v>
      </c>
    </row>
    <row r="37" spans="1:45" s="2953" customFormat="1">
      <c r="A37" s="2953" t="s">
        <v>3558</v>
      </c>
      <c r="B37" s="2953" t="s">
        <v>3271</v>
      </c>
      <c r="C37" s="2953" t="s">
        <v>3330</v>
      </c>
      <c r="D37" s="2953" t="s">
        <v>3273</v>
      </c>
      <c r="E37" s="2953" t="s">
        <v>1327</v>
      </c>
      <c r="F37" s="2953" t="s">
        <v>3558</v>
      </c>
      <c r="G37" s="2953" t="s">
        <v>3274</v>
      </c>
      <c r="H37" s="2953">
        <v>1</v>
      </c>
      <c r="I37" s="2953" t="s">
        <v>3559</v>
      </c>
      <c r="J37" s="2953">
        <v>147736</v>
      </c>
      <c r="K37" s="2953">
        <v>460765</v>
      </c>
      <c r="L37" s="2953" t="s">
        <v>3560</v>
      </c>
      <c r="M37" s="2953" t="s">
        <v>1327</v>
      </c>
      <c r="N37" s="2953" t="s">
        <v>1327</v>
      </c>
      <c r="O37" s="2953" t="s">
        <v>1327</v>
      </c>
      <c r="P37" s="2953" t="s">
        <v>1327</v>
      </c>
      <c r="Q37" s="2953" t="s">
        <v>1327</v>
      </c>
      <c r="R37" s="2953" t="s">
        <v>1327</v>
      </c>
      <c r="S37" s="2953" t="s">
        <v>1327</v>
      </c>
      <c r="T37" s="2953" t="s">
        <v>1327</v>
      </c>
      <c r="U37" s="2953" t="s">
        <v>1327</v>
      </c>
      <c r="V37" s="2953" t="s">
        <v>1327</v>
      </c>
      <c r="W37" s="2953" t="s">
        <v>3159</v>
      </c>
      <c r="X37" s="2953" t="s">
        <v>3561</v>
      </c>
      <c r="Y37" s="2953" t="s">
        <v>3562</v>
      </c>
      <c r="Z37" s="2953" t="s">
        <v>3563</v>
      </c>
      <c r="AA37" s="2953" t="s">
        <v>3563</v>
      </c>
      <c r="AB37" s="2953" t="s">
        <v>3564</v>
      </c>
      <c r="AC37" s="2953" t="s">
        <v>3285</v>
      </c>
      <c r="AD37" s="2953" t="s">
        <v>3565</v>
      </c>
      <c r="AE37" s="2953">
        <v>130000</v>
      </c>
      <c r="AF37" s="2953">
        <v>645071</v>
      </c>
      <c r="AG37" s="2953">
        <v>645071</v>
      </c>
      <c r="AH37" s="2953">
        <v>2910.92</v>
      </c>
      <c r="AI37" s="2953">
        <v>2910.92</v>
      </c>
      <c r="AJ37" s="2953">
        <v>14000</v>
      </c>
      <c r="AK37" s="2953">
        <v>14000</v>
      </c>
      <c r="AL37" s="2953" t="s">
        <v>1327</v>
      </c>
      <c r="AM37" s="2953" t="s">
        <v>1327</v>
      </c>
      <c r="AN37" s="2953">
        <v>0</v>
      </c>
      <c r="AO37" s="2953" t="s">
        <v>3422</v>
      </c>
      <c r="AP37" s="2953" t="s">
        <v>1327</v>
      </c>
      <c r="AQ37" s="2953" t="s">
        <v>1327</v>
      </c>
      <c r="AR37" s="2953" t="s">
        <v>1327</v>
      </c>
      <c r="AS37" s="2953" t="s">
        <v>3287</v>
      </c>
    </row>
    <row r="38" spans="1:45" s="2953" customFormat="1">
      <c r="A38" s="2953" t="s">
        <v>3566</v>
      </c>
      <c r="B38" s="2953" t="s">
        <v>3271</v>
      </c>
      <c r="C38" s="2953" t="s">
        <v>3330</v>
      </c>
      <c r="D38" s="2953" t="s">
        <v>3319</v>
      </c>
      <c r="E38" s="2953" t="s">
        <v>1327</v>
      </c>
      <c r="F38" s="2953" t="s">
        <v>3566</v>
      </c>
      <c r="G38" s="2953" t="s">
        <v>3274</v>
      </c>
      <c r="H38" s="2953">
        <v>5</v>
      </c>
      <c r="I38" s="2953" t="s">
        <v>3501</v>
      </c>
      <c r="J38" s="2953">
        <v>36366.199999999997</v>
      </c>
      <c r="K38" s="2953">
        <v>136508.4</v>
      </c>
      <c r="L38" s="2953" t="s">
        <v>3567</v>
      </c>
      <c r="M38" s="2953" t="s">
        <v>1327</v>
      </c>
      <c r="N38" s="2953" t="s">
        <v>1327</v>
      </c>
      <c r="O38" s="2953" t="s">
        <v>1327</v>
      </c>
      <c r="P38" s="2953" t="s">
        <v>1327</v>
      </c>
      <c r="Q38" s="2953" t="s">
        <v>1327</v>
      </c>
      <c r="R38" s="2953" t="s">
        <v>1327</v>
      </c>
      <c r="S38" s="2953" t="s">
        <v>1327</v>
      </c>
      <c r="T38" s="2953" t="s">
        <v>1327</v>
      </c>
      <c r="U38" s="2953" t="s">
        <v>1327</v>
      </c>
      <c r="V38" s="2953" t="s">
        <v>1327</v>
      </c>
      <c r="W38" s="2953" t="s">
        <v>3159</v>
      </c>
      <c r="X38" s="2953" t="s">
        <v>3568</v>
      </c>
      <c r="Y38" s="2953" t="s">
        <v>3569</v>
      </c>
      <c r="Z38" s="2953" t="s">
        <v>3570</v>
      </c>
      <c r="AA38" s="2953" t="s">
        <v>3570</v>
      </c>
      <c r="AB38" s="2953" t="s">
        <v>3571</v>
      </c>
      <c r="AC38" s="2953" t="s">
        <v>3285</v>
      </c>
      <c r="AD38" s="2953" t="s">
        <v>3572</v>
      </c>
      <c r="AE38" s="2953">
        <v>39000</v>
      </c>
      <c r="AF38" s="2953">
        <v>191112</v>
      </c>
      <c r="AG38" s="2953">
        <v>191112</v>
      </c>
      <c r="AH38" s="2953">
        <v>3503.47</v>
      </c>
      <c r="AI38" s="2953">
        <v>3503.47</v>
      </c>
      <c r="AJ38" s="2953">
        <v>14000.01</v>
      </c>
      <c r="AK38" s="2953">
        <v>14000.02</v>
      </c>
      <c r="AL38" s="2953" t="s">
        <v>1327</v>
      </c>
      <c r="AM38" s="2953" t="s">
        <v>1327</v>
      </c>
      <c r="AN38" s="2953">
        <v>0</v>
      </c>
      <c r="AO38" s="2953" t="s">
        <v>3573</v>
      </c>
      <c r="AP38" s="2953" t="s">
        <v>1327</v>
      </c>
      <c r="AQ38" s="2953" t="s">
        <v>1327</v>
      </c>
      <c r="AR38" s="2953" t="s">
        <v>1327</v>
      </c>
      <c r="AS38" s="2953" t="s">
        <v>3317</v>
      </c>
    </row>
    <row r="39" spans="1:45" s="2953" customFormat="1">
      <c r="A39" s="2953" t="s">
        <v>3574</v>
      </c>
      <c r="B39" s="2953" t="s">
        <v>3271</v>
      </c>
      <c r="C39" s="2953" t="s">
        <v>3272</v>
      </c>
      <c r="D39" s="2953" t="s">
        <v>3319</v>
      </c>
      <c r="E39" s="2953" t="s">
        <v>1327</v>
      </c>
      <c r="F39" s="2953" t="s">
        <v>3574</v>
      </c>
      <c r="G39" s="2953" t="s">
        <v>3274</v>
      </c>
      <c r="H39" s="2953">
        <v>4</v>
      </c>
      <c r="I39" s="2953" t="s">
        <v>3291</v>
      </c>
      <c r="J39" s="2953">
        <v>28513.9</v>
      </c>
      <c r="K39" s="2953">
        <v>111204.3</v>
      </c>
      <c r="L39" s="2953" t="s">
        <v>3575</v>
      </c>
      <c r="M39" s="2953" t="s">
        <v>1327</v>
      </c>
      <c r="N39" s="2953" t="s">
        <v>1327</v>
      </c>
      <c r="O39" s="2953" t="s">
        <v>1327</v>
      </c>
      <c r="P39" s="2953" t="s">
        <v>1327</v>
      </c>
      <c r="Q39" s="2953" t="s">
        <v>1327</v>
      </c>
      <c r="R39" s="2953" t="s">
        <v>1327</v>
      </c>
      <c r="S39" s="2953" t="s">
        <v>1327</v>
      </c>
      <c r="T39" s="2953" t="s">
        <v>1327</v>
      </c>
      <c r="U39" s="2953" t="s">
        <v>1327</v>
      </c>
      <c r="V39" s="2953" t="s">
        <v>1327</v>
      </c>
      <c r="W39" s="2953" t="s">
        <v>3159</v>
      </c>
      <c r="X39" s="2953" t="s">
        <v>3568</v>
      </c>
      <c r="Y39" s="2953" t="s">
        <v>3569</v>
      </c>
      <c r="Z39" s="2953" t="s">
        <v>3570</v>
      </c>
      <c r="AA39" s="2953" t="s">
        <v>3570</v>
      </c>
      <c r="AB39" s="2953" t="s">
        <v>3576</v>
      </c>
      <c r="AC39" s="2953" t="s">
        <v>3285</v>
      </c>
      <c r="AD39" s="2953" t="s">
        <v>3577</v>
      </c>
      <c r="AE39" s="2953">
        <v>32000</v>
      </c>
      <c r="AF39" s="2953">
        <v>155686</v>
      </c>
      <c r="AG39" s="2953">
        <v>203000</v>
      </c>
      <c r="AH39" s="2953">
        <v>3640</v>
      </c>
      <c r="AI39" s="2953">
        <v>4746.22</v>
      </c>
      <c r="AJ39" s="2953">
        <v>13999.99</v>
      </c>
      <c r="AK39" s="2953">
        <v>18254.68</v>
      </c>
      <c r="AL39" s="2953" t="s">
        <v>1327</v>
      </c>
      <c r="AM39" s="2953" t="s">
        <v>1327</v>
      </c>
      <c r="AN39" s="2953">
        <v>30.39</v>
      </c>
      <c r="AO39" s="2953" t="s">
        <v>3422</v>
      </c>
      <c r="AP39" s="2953" t="s">
        <v>1327</v>
      </c>
      <c r="AQ39" s="2953" t="s">
        <v>1327</v>
      </c>
      <c r="AR39" s="2953" t="s">
        <v>1327</v>
      </c>
      <c r="AS39" s="2953" t="s">
        <v>3317</v>
      </c>
    </row>
    <row r="40" spans="1:45" s="2953" customFormat="1">
      <c r="A40" s="2953" t="s">
        <v>3578</v>
      </c>
      <c r="B40" s="2953" t="s">
        <v>3271</v>
      </c>
      <c r="C40" s="2953" t="s">
        <v>3272</v>
      </c>
      <c r="D40" s="2953" t="s">
        <v>3319</v>
      </c>
      <c r="E40" s="2953" t="s">
        <v>1327</v>
      </c>
      <c r="F40" s="2953" t="s">
        <v>3578</v>
      </c>
      <c r="G40" s="2953" t="s">
        <v>3274</v>
      </c>
      <c r="H40" s="2953">
        <v>2</v>
      </c>
      <c r="I40" s="2953" t="s">
        <v>3291</v>
      </c>
      <c r="J40" s="2953">
        <v>47366.9</v>
      </c>
      <c r="K40" s="2953">
        <v>227361.2</v>
      </c>
      <c r="L40" s="2953" t="s">
        <v>3579</v>
      </c>
      <c r="M40" s="2953" t="s">
        <v>1327</v>
      </c>
      <c r="N40" s="2953" t="s">
        <v>1327</v>
      </c>
      <c r="O40" s="2953" t="s">
        <v>1327</v>
      </c>
      <c r="P40" s="2953" t="s">
        <v>1327</v>
      </c>
      <c r="Q40" s="2953" t="s">
        <v>1327</v>
      </c>
      <c r="R40" s="2953" t="s">
        <v>1327</v>
      </c>
      <c r="S40" s="2953" t="s">
        <v>1327</v>
      </c>
      <c r="T40" s="2953" t="s">
        <v>1327</v>
      </c>
      <c r="U40" s="2953" t="s">
        <v>1327</v>
      </c>
      <c r="V40" s="2953" t="s">
        <v>1327</v>
      </c>
      <c r="W40" s="2953" t="s">
        <v>3159</v>
      </c>
      <c r="X40" s="2953" t="s">
        <v>3568</v>
      </c>
      <c r="Y40" s="2953" t="s">
        <v>3569</v>
      </c>
      <c r="Z40" s="2953" t="s">
        <v>3570</v>
      </c>
      <c r="AA40" s="2953" t="s">
        <v>3570</v>
      </c>
      <c r="AB40" s="2953" t="s">
        <v>3580</v>
      </c>
      <c r="AC40" s="2953" t="s">
        <v>3285</v>
      </c>
      <c r="AD40" s="2953" t="s">
        <v>3581</v>
      </c>
      <c r="AE40" s="2953">
        <v>64000</v>
      </c>
      <c r="AF40" s="2953">
        <v>318306</v>
      </c>
      <c r="AG40" s="2953">
        <v>324306</v>
      </c>
      <c r="AH40" s="2953">
        <v>4480.01</v>
      </c>
      <c r="AI40" s="2953">
        <v>4564.45</v>
      </c>
      <c r="AJ40" s="2953">
        <v>14000.01</v>
      </c>
      <c r="AK40" s="2953">
        <v>14263.9</v>
      </c>
      <c r="AL40" s="2953" t="s">
        <v>1327</v>
      </c>
      <c r="AM40" s="2953" t="s">
        <v>1327</v>
      </c>
      <c r="AN40" s="2953">
        <v>1.88</v>
      </c>
      <c r="AO40" s="2953" t="s">
        <v>3422</v>
      </c>
      <c r="AP40" s="2953" t="s">
        <v>1327</v>
      </c>
      <c r="AQ40" s="2953" t="s">
        <v>1327</v>
      </c>
      <c r="AR40" s="2953" t="s">
        <v>1327</v>
      </c>
      <c r="AS40" s="2953" t="s">
        <v>3317</v>
      </c>
    </row>
    <row r="41" spans="1:45" s="2953" customFormat="1">
      <c r="A41" s="2953" t="s">
        <v>3582</v>
      </c>
      <c r="B41" s="2953" t="s">
        <v>3271</v>
      </c>
      <c r="C41" s="2953" t="s">
        <v>3330</v>
      </c>
      <c r="D41" s="2953" t="s">
        <v>3319</v>
      </c>
      <c r="E41" s="2953" t="s">
        <v>1327</v>
      </c>
      <c r="F41" s="2953" t="s">
        <v>3582</v>
      </c>
      <c r="G41" s="2953" t="s">
        <v>3274</v>
      </c>
      <c r="H41" s="2953">
        <v>3</v>
      </c>
      <c r="I41" s="2953" t="s">
        <v>3583</v>
      </c>
      <c r="J41" s="2953">
        <v>36072</v>
      </c>
      <c r="K41" s="2953">
        <v>93694.2</v>
      </c>
      <c r="L41" s="2953" t="s">
        <v>3584</v>
      </c>
      <c r="M41" s="2953" t="s">
        <v>1327</v>
      </c>
      <c r="N41" s="2953" t="s">
        <v>1327</v>
      </c>
      <c r="O41" s="2953" t="s">
        <v>1327</v>
      </c>
      <c r="P41" s="2953" t="s">
        <v>1327</v>
      </c>
      <c r="Q41" s="2953" t="s">
        <v>1327</v>
      </c>
      <c r="R41" s="2953" t="s">
        <v>1327</v>
      </c>
      <c r="S41" s="2953" t="s">
        <v>1327</v>
      </c>
      <c r="T41" s="2953" t="s">
        <v>1327</v>
      </c>
      <c r="U41" s="2953" t="s">
        <v>1327</v>
      </c>
      <c r="V41" s="2953" t="s">
        <v>1327</v>
      </c>
      <c r="W41" s="2953" t="s">
        <v>3159</v>
      </c>
      <c r="X41" s="2953" t="s">
        <v>3568</v>
      </c>
      <c r="Y41" s="2953" t="s">
        <v>3569</v>
      </c>
      <c r="Z41" s="2953" t="s">
        <v>3570</v>
      </c>
      <c r="AA41" s="2953" t="s">
        <v>3570</v>
      </c>
      <c r="AB41" s="2953" t="s">
        <v>3585</v>
      </c>
      <c r="AC41" s="2953" t="s">
        <v>3285</v>
      </c>
      <c r="AD41" s="2953" t="s">
        <v>3586</v>
      </c>
      <c r="AE41" s="2953">
        <v>23000</v>
      </c>
      <c r="AF41" s="2953">
        <v>114196</v>
      </c>
      <c r="AG41" s="2953">
        <v>137000</v>
      </c>
      <c r="AH41" s="2953">
        <v>2110.52</v>
      </c>
      <c r="AI41" s="2953">
        <v>2531.9699999999998</v>
      </c>
      <c r="AJ41" s="2953">
        <v>12188.16</v>
      </c>
      <c r="AK41" s="2953">
        <v>14622.04</v>
      </c>
      <c r="AL41" s="2953" t="s">
        <v>1327</v>
      </c>
      <c r="AM41" s="2953" t="s">
        <v>1327</v>
      </c>
      <c r="AN41" s="2953">
        <v>19.97</v>
      </c>
      <c r="AO41" s="2953" t="s">
        <v>3587</v>
      </c>
      <c r="AP41" s="2953" t="s">
        <v>1327</v>
      </c>
      <c r="AQ41" s="2953" t="s">
        <v>1327</v>
      </c>
      <c r="AR41" s="2953" t="s">
        <v>1327</v>
      </c>
      <c r="AS41" s="2953" t="s">
        <v>3317</v>
      </c>
    </row>
    <row r="42" spans="1:45" s="2953" customFormat="1">
      <c r="A42" s="2953" t="s">
        <v>3588</v>
      </c>
      <c r="B42" s="2953" t="s">
        <v>3271</v>
      </c>
      <c r="C42" s="2953" t="s">
        <v>3272</v>
      </c>
      <c r="D42" s="2953" t="s">
        <v>3319</v>
      </c>
      <c r="E42" s="2953" t="s">
        <v>1327</v>
      </c>
      <c r="F42" s="2953" t="s">
        <v>3588</v>
      </c>
      <c r="G42" s="2953" t="s">
        <v>3274</v>
      </c>
      <c r="H42" s="2953">
        <v>6</v>
      </c>
      <c r="I42" s="2953" t="s">
        <v>3291</v>
      </c>
      <c r="J42" s="2953">
        <v>32690.799999999999</v>
      </c>
      <c r="K42" s="2953">
        <v>127494.2</v>
      </c>
      <c r="L42" s="2953" t="s">
        <v>3575</v>
      </c>
      <c r="M42" s="2953" t="s">
        <v>1327</v>
      </c>
      <c r="N42" s="2953" t="s">
        <v>1327</v>
      </c>
      <c r="O42" s="2953" t="s">
        <v>1327</v>
      </c>
      <c r="P42" s="2953" t="s">
        <v>1327</v>
      </c>
      <c r="Q42" s="2953" t="s">
        <v>1327</v>
      </c>
      <c r="R42" s="2953" t="s">
        <v>1327</v>
      </c>
      <c r="S42" s="2953" t="s">
        <v>1327</v>
      </c>
      <c r="T42" s="2953" t="s">
        <v>1327</v>
      </c>
      <c r="U42" s="2953" t="s">
        <v>1327</v>
      </c>
      <c r="V42" s="2953" t="s">
        <v>1327</v>
      </c>
      <c r="W42" s="2953" t="s">
        <v>3159</v>
      </c>
      <c r="X42" s="2953" t="s">
        <v>3568</v>
      </c>
      <c r="Y42" s="2953" t="s">
        <v>3569</v>
      </c>
      <c r="Z42" s="2953" t="s">
        <v>3570</v>
      </c>
      <c r="AA42" s="2953" t="s">
        <v>3570</v>
      </c>
      <c r="AB42" s="2953" t="s">
        <v>3589</v>
      </c>
      <c r="AC42" s="2953" t="s">
        <v>3285</v>
      </c>
      <c r="AD42" s="2953" t="s">
        <v>3590</v>
      </c>
      <c r="AE42" s="2953">
        <v>36000</v>
      </c>
      <c r="AF42" s="2953">
        <v>178492</v>
      </c>
      <c r="AG42" s="2953">
        <v>210000</v>
      </c>
      <c r="AH42" s="2953">
        <v>3640</v>
      </c>
      <c r="AI42" s="2953">
        <v>4282.55</v>
      </c>
      <c r="AJ42" s="2953">
        <v>14000.01</v>
      </c>
      <c r="AK42" s="2953">
        <v>16471.34</v>
      </c>
      <c r="AL42" s="2953" t="s">
        <v>1327</v>
      </c>
      <c r="AM42" s="2953" t="s">
        <v>1327</v>
      </c>
      <c r="AN42" s="2953">
        <v>17.649999999999999</v>
      </c>
      <c r="AO42" s="2953" t="s">
        <v>3422</v>
      </c>
      <c r="AP42" s="2953" t="s">
        <v>1327</v>
      </c>
      <c r="AQ42" s="2953" t="s">
        <v>1327</v>
      </c>
      <c r="AR42" s="2953" t="s">
        <v>1327</v>
      </c>
      <c r="AS42" s="2953" t="s">
        <v>3317</v>
      </c>
    </row>
    <row r="43" spans="1:45" s="2953" customFormat="1">
      <c r="A43" s="2953" t="s">
        <v>3591</v>
      </c>
      <c r="B43" s="2953" t="s">
        <v>3271</v>
      </c>
      <c r="C43" s="2953" t="s">
        <v>3272</v>
      </c>
      <c r="D43" s="2953" t="s">
        <v>3319</v>
      </c>
      <c r="E43" s="2953" t="s">
        <v>1327</v>
      </c>
      <c r="F43" s="2953" t="s">
        <v>3591</v>
      </c>
      <c r="G43" s="2953" t="s">
        <v>3274</v>
      </c>
      <c r="H43" s="2953">
        <v>1</v>
      </c>
      <c r="I43" s="2953" t="s">
        <v>3291</v>
      </c>
      <c r="J43" s="2953">
        <v>22969.1</v>
      </c>
      <c r="K43" s="2953">
        <v>110251.7</v>
      </c>
      <c r="L43" s="2953" t="s">
        <v>3579</v>
      </c>
      <c r="M43" s="2953" t="s">
        <v>1327</v>
      </c>
      <c r="N43" s="2953" t="s">
        <v>1327</v>
      </c>
      <c r="O43" s="2953" t="s">
        <v>1327</v>
      </c>
      <c r="P43" s="2953" t="s">
        <v>1327</v>
      </c>
      <c r="Q43" s="2953" t="s">
        <v>1327</v>
      </c>
      <c r="R43" s="2953" t="s">
        <v>1327</v>
      </c>
      <c r="S43" s="2953" t="s">
        <v>1327</v>
      </c>
      <c r="T43" s="2953" t="s">
        <v>1327</v>
      </c>
      <c r="U43" s="2953" t="s">
        <v>1327</v>
      </c>
      <c r="V43" s="2953" t="s">
        <v>1327</v>
      </c>
      <c r="W43" s="2953" t="s">
        <v>3159</v>
      </c>
      <c r="X43" s="2953" t="s">
        <v>3568</v>
      </c>
      <c r="Y43" s="2953" t="s">
        <v>3569</v>
      </c>
      <c r="Z43" s="2953" t="s">
        <v>3570</v>
      </c>
      <c r="AA43" s="2953" t="s">
        <v>3570</v>
      </c>
      <c r="AB43" s="2953" t="s">
        <v>3592</v>
      </c>
      <c r="AC43" s="2953" t="s">
        <v>3285</v>
      </c>
      <c r="AD43" s="2953" t="s">
        <v>3590</v>
      </c>
      <c r="AE43" s="2953">
        <v>31000</v>
      </c>
      <c r="AF43" s="2953">
        <v>154353</v>
      </c>
      <c r="AG43" s="2953">
        <v>155353</v>
      </c>
      <c r="AH43" s="2953">
        <v>4480.0200000000004</v>
      </c>
      <c r="AI43" s="2953">
        <v>4509.04</v>
      </c>
      <c r="AJ43" s="2953">
        <v>14000.05</v>
      </c>
      <c r="AK43" s="2953">
        <v>14090.76</v>
      </c>
      <c r="AL43" s="2953" t="s">
        <v>1327</v>
      </c>
      <c r="AM43" s="2953" t="s">
        <v>1327</v>
      </c>
      <c r="AN43" s="2953">
        <v>0.65</v>
      </c>
      <c r="AO43" s="2953" t="s">
        <v>3422</v>
      </c>
      <c r="AP43" s="2953" t="s">
        <v>1327</v>
      </c>
      <c r="AQ43" s="2953" t="s">
        <v>1327</v>
      </c>
      <c r="AR43" s="2953" t="s">
        <v>1327</v>
      </c>
      <c r="AS43" s="2953" t="s">
        <v>3317</v>
      </c>
    </row>
    <row r="44" spans="1:45" s="2953" customFormat="1">
      <c r="A44" s="2953" t="s">
        <v>3593</v>
      </c>
      <c r="B44" s="2953" t="s">
        <v>3271</v>
      </c>
      <c r="C44" s="2953" t="s">
        <v>3272</v>
      </c>
      <c r="D44" s="2953" t="s">
        <v>3319</v>
      </c>
      <c r="E44" s="2953" t="s">
        <v>1327</v>
      </c>
      <c r="F44" s="2953" t="s">
        <v>3593</v>
      </c>
      <c r="G44" s="2953" t="s">
        <v>3594</v>
      </c>
      <c r="H44" s="2953">
        <v>1</v>
      </c>
      <c r="I44" s="2953" t="s">
        <v>3595</v>
      </c>
      <c r="J44" s="2953">
        <v>47986.1</v>
      </c>
      <c r="K44" s="2953">
        <v>230333.2</v>
      </c>
      <c r="L44" s="2953" t="s">
        <v>3438</v>
      </c>
      <c r="M44" s="2953" t="s">
        <v>1327</v>
      </c>
      <c r="N44" s="2953" t="s">
        <v>3309</v>
      </c>
      <c r="O44" s="2953" t="s">
        <v>3439</v>
      </c>
      <c r="P44" s="2953" t="s">
        <v>3367</v>
      </c>
      <c r="Q44" s="2953" t="s">
        <v>1327</v>
      </c>
      <c r="R44" s="2953">
        <v>83100</v>
      </c>
      <c r="S44" s="2953" t="s">
        <v>1327</v>
      </c>
      <c r="T44" s="2953" t="s">
        <v>1327</v>
      </c>
      <c r="U44" s="2953" t="s">
        <v>1327</v>
      </c>
      <c r="V44" s="2953" t="s">
        <v>1327</v>
      </c>
      <c r="W44" s="2953" t="s">
        <v>3159</v>
      </c>
      <c r="X44" s="2953" t="s">
        <v>3596</v>
      </c>
      <c r="Y44" s="2953" t="s">
        <v>3597</v>
      </c>
      <c r="Z44" s="2953" t="s">
        <v>3598</v>
      </c>
      <c r="AA44" s="2953" t="s">
        <v>3598</v>
      </c>
      <c r="AB44" s="2953" t="s">
        <v>3599</v>
      </c>
      <c r="AC44" s="2953" t="s">
        <v>3285</v>
      </c>
      <c r="AD44" s="2953" t="s">
        <v>3600</v>
      </c>
      <c r="AE44" s="2953">
        <v>59887</v>
      </c>
      <c r="AF44" s="2953">
        <v>299434</v>
      </c>
      <c r="AG44" s="2953">
        <v>299434</v>
      </c>
      <c r="AH44" s="2953">
        <v>4160.01</v>
      </c>
      <c r="AI44" s="2953">
        <v>4160.01</v>
      </c>
      <c r="AJ44" s="2953">
        <v>13000.03</v>
      </c>
      <c r="AK44" s="2953">
        <v>13000.04</v>
      </c>
      <c r="AL44" s="2953" t="s">
        <v>1327</v>
      </c>
      <c r="AM44" s="2953">
        <v>20337</v>
      </c>
      <c r="AN44" s="2953">
        <v>0</v>
      </c>
      <c r="AO44" s="2953">
        <v>70</v>
      </c>
      <c r="AP44" s="2953" t="s">
        <v>1327</v>
      </c>
      <c r="AQ44" s="2953" t="s">
        <v>1327</v>
      </c>
      <c r="AR44" s="2953" t="s">
        <v>1327</v>
      </c>
      <c r="AS44" s="2953" t="s">
        <v>3317</v>
      </c>
    </row>
    <row r="45" spans="1:45" s="2953" customFormat="1">
      <c r="A45" s="2953" t="s">
        <v>3601</v>
      </c>
      <c r="B45" s="2953" t="s">
        <v>3271</v>
      </c>
      <c r="C45" s="2953" t="s">
        <v>3330</v>
      </c>
      <c r="D45" s="2953" t="s">
        <v>3319</v>
      </c>
      <c r="E45" s="2953" t="s">
        <v>1327</v>
      </c>
      <c r="F45" s="2953" t="s">
        <v>3601</v>
      </c>
      <c r="G45" s="2953" t="s">
        <v>3594</v>
      </c>
      <c r="H45" s="2953">
        <v>1</v>
      </c>
      <c r="I45" s="2953" t="s">
        <v>3602</v>
      </c>
      <c r="J45" s="2953">
        <v>40394</v>
      </c>
      <c r="K45" s="2953">
        <v>302955.3</v>
      </c>
      <c r="L45" s="2953" t="s">
        <v>3603</v>
      </c>
      <c r="M45" s="2953" t="s">
        <v>1327</v>
      </c>
      <c r="N45" s="2953" t="s">
        <v>3389</v>
      </c>
      <c r="O45" s="2953" t="s">
        <v>3604</v>
      </c>
      <c r="P45" s="2953" t="s">
        <v>3367</v>
      </c>
      <c r="Q45" s="2953" t="s">
        <v>1327</v>
      </c>
      <c r="R45" s="2953">
        <v>87900</v>
      </c>
      <c r="S45" s="2953" t="s">
        <v>1327</v>
      </c>
      <c r="T45" s="2953" t="s">
        <v>1327</v>
      </c>
      <c r="U45" s="2953" t="s">
        <v>1327</v>
      </c>
      <c r="V45" s="2953" t="s">
        <v>1327</v>
      </c>
      <c r="W45" s="2953" t="s">
        <v>3159</v>
      </c>
      <c r="X45" s="2953" t="s">
        <v>3596</v>
      </c>
      <c r="Y45" s="2953" t="s">
        <v>3597</v>
      </c>
      <c r="Z45" s="2953" t="s">
        <v>3598</v>
      </c>
      <c r="AA45" s="2953" t="s">
        <v>3598</v>
      </c>
      <c r="AB45" s="2953" t="s">
        <v>3605</v>
      </c>
      <c r="AC45" s="2953" t="s">
        <v>3285</v>
      </c>
      <c r="AD45" s="2953" t="s">
        <v>3572</v>
      </c>
      <c r="AE45" s="2953">
        <v>78769</v>
      </c>
      <c r="AF45" s="2953">
        <v>393842</v>
      </c>
      <c r="AG45" s="2953">
        <v>393842</v>
      </c>
      <c r="AH45" s="2953">
        <v>6500.01</v>
      </c>
      <c r="AI45" s="2953">
        <v>6500.01</v>
      </c>
      <c r="AJ45" s="2953">
        <v>13000</v>
      </c>
      <c r="AK45" s="2953">
        <v>13000</v>
      </c>
      <c r="AL45" s="2953" t="s">
        <v>1327</v>
      </c>
      <c r="AM45" s="2953">
        <v>18314</v>
      </c>
      <c r="AN45" s="2953">
        <v>0</v>
      </c>
      <c r="AO45" s="2953" t="s">
        <v>3606</v>
      </c>
      <c r="AP45" s="2953" t="s">
        <v>1327</v>
      </c>
      <c r="AQ45" s="2953" t="s">
        <v>1327</v>
      </c>
      <c r="AR45" s="2953" t="s">
        <v>1327</v>
      </c>
      <c r="AS45" s="2953" t="s">
        <v>3317</v>
      </c>
    </row>
    <row r="46" spans="1:45" s="2953" customFormat="1">
      <c r="A46" s="2953" t="s">
        <v>3607</v>
      </c>
      <c r="B46" s="2953" t="s">
        <v>3271</v>
      </c>
      <c r="C46" s="2953" t="s">
        <v>3330</v>
      </c>
      <c r="D46" s="2953" t="s">
        <v>3319</v>
      </c>
      <c r="E46" s="2953" t="s">
        <v>1327</v>
      </c>
      <c r="F46" s="2953" t="s">
        <v>3607</v>
      </c>
      <c r="G46" s="2953" t="s">
        <v>3594</v>
      </c>
      <c r="H46" s="2953">
        <v>1</v>
      </c>
      <c r="I46" s="2953" t="s">
        <v>3608</v>
      </c>
      <c r="J46" s="2953">
        <v>46725.8</v>
      </c>
      <c r="K46" s="2953">
        <v>224284.1</v>
      </c>
      <c r="L46" s="2953" t="s">
        <v>3609</v>
      </c>
      <c r="M46" s="2953" t="s">
        <v>1327</v>
      </c>
      <c r="N46" s="2953" t="s">
        <v>3309</v>
      </c>
      <c r="O46" s="2953" t="s">
        <v>3439</v>
      </c>
      <c r="P46" s="2953" t="s">
        <v>3367</v>
      </c>
      <c r="Q46" s="2953" t="s">
        <v>1327</v>
      </c>
      <c r="R46" s="2953">
        <v>89100</v>
      </c>
      <c r="S46" s="2953" t="s">
        <v>1327</v>
      </c>
      <c r="T46" s="2953" t="s">
        <v>1327</v>
      </c>
      <c r="U46" s="2953" t="s">
        <v>1327</v>
      </c>
      <c r="V46" s="2953" t="s">
        <v>1327</v>
      </c>
      <c r="W46" s="2953" t="s">
        <v>3159</v>
      </c>
      <c r="X46" s="2953" t="s">
        <v>3596</v>
      </c>
      <c r="Y46" s="2953" t="s">
        <v>3597</v>
      </c>
      <c r="Z46" s="2953" t="s">
        <v>3598</v>
      </c>
      <c r="AA46" s="2953" t="s">
        <v>3598</v>
      </c>
      <c r="AB46" s="2953" t="s">
        <v>3610</v>
      </c>
      <c r="AC46" s="2953" t="s">
        <v>3285</v>
      </c>
      <c r="AD46" s="2953" t="s">
        <v>3611</v>
      </c>
      <c r="AE46" s="2953">
        <v>58314</v>
      </c>
      <c r="AF46" s="2953">
        <v>291570</v>
      </c>
      <c r="AG46" s="2953">
        <v>291570</v>
      </c>
      <c r="AH46" s="2953">
        <v>4160.01</v>
      </c>
      <c r="AI46" s="2953">
        <v>4160.01</v>
      </c>
      <c r="AJ46" s="2953">
        <v>13000.03</v>
      </c>
      <c r="AK46" s="2953">
        <v>13000.03</v>
      </c>
      <c r="AL46" s="2953" t="s">
        <v>1327</v>
      </c>
      <c r="AM46" s="2953">
        <v>21568</v>
      </c>
      <c r="AN46" s="2953">
        <v>0</v>
      </c>
      <c r="AO46" s="2953" t="s">
        <v>3606</v>
      </c>
      <c r="AP46" s="2953" t="s">
        <v>1327</v>
      </c>
      <c r="AQ46" s="2953" t="s">
        <v>1327</v>
      </c>
      <c r="AR46" s="2953" t="s">
        <v>1327</v>
      </c>
      <c r="AS46" s="2953" t="s">
        <v>3317</v>
      </c>
    </row>
    <row r="47" spans="1:45" s="2953" customFormat="1">
      <c r="A47" s="2953" t="s">
        <v>3612</v>
      </c>
      <c r="B47" s="2953" t="s">
        <v>3271</v>
      </c>
      <c r="C47" s="2953" t="s">
        <v>3330</v>
      </c>
      <c r="D47" s="2953" t="s">
        <v>3319</v>
      </c>
      <c r="E47" s="2953" t="s">
        <v>1327</v>
      </c>
      <c r="F47" s="2953" t="s">
        <v>3612</v>
      </c>
      <c r="G47" s="2953" t="s">
        <v>3594</v>
      </c>
      <c r="H47" s="2953">
        <v>1</v>
      </c>
      <c r="I47" s="2953" t="s">
        <v>3613</v>
      </c>
      <c r="J47" s="2953">
        <v>43403.9</v>
      </c>
      <c r="K47" s="2953">
        <v>303827.40000000002</v>
      </c>
      <c r="L47" s="2953" t="s">
        <v>3614</v>
      </c>
      <c r="M47" s="2953" t="s">
        <v>1327</v>
      </c>
      <c r="N47" s="2953" t="s">
        <v>3389</v>
      </c>
      <c r="O47" s="2953" t="s">
        <v>3615</v>
      </c>
      <c r="P47" s="2953" t="s">
        <v>3367</v>
      </c>
      <c r="Q47" s="2953" t="s">
        <v>1327</v>
      </c>
      <c r="R47" s="2953">
        <v>90000</v>
      </c>
      <c r="S47" s="2953" t="s">
        <v>1327</v>
      </c>
      <c r="T47" s="2953" t="s">
        <v>1327</v>
      </c>
      <c r="U47" s="2953" t="s">
        <v>1327</v>
      </c>
      <c r="V47" s="2953" t="s">
        <v>1327</v>
      </c>
      <c r="W47" s="2953" t="s">
        <v>3159</v>
      </c>
      <c r="X47" s="2953" t="s">
        <v>3596</v>
      </c>
      <c r="Y47" s="2953" t="s">
        <v>3597</v>
      </c>
      <c r="Z47" s="2953" t="s">
        <v>3598</v>
      </c>
      <c r="AA47" s="2953" t="s">
        <v>3598</v>
      </c>
      <c r="AB47" s="2953" t="s">
        <v>3616</v>
      </c>
      <c r="AC47" s="2953" t="s">
        <v>3285</v>
      </c>
      <c r="AD47" s="2953" t="s">
        <v>3572</v>
      </c>
      <c r="AE47" s="2953">
        <v>78996</v>
      </c>
      <c r="AF47" s="2953">
        <v>394976</v>
      </c>
      <c r="AG47" s="2953">
        <v>394976</v>
      </c>
      <c r="AH47" s="2953">
        <v>6066.67</v>
      </c>
      <c r="AI47" s="2953">
        <v>6066.67</v>
      </c>
      <c r="AJ47" s="2953">
        <v>13000.01</v>
      </c>
      <c r="AK47" s="2953">
        <v>13000.01</v>
      </c>
      <c r="AL47" s="2953" t="s">
        <v>1327</v>
      </c>
      <c r="AM47" s="2953">
        <v>18472</v>
      </c>
      <c r="AN47" s="2953">
        <v>0</v>
      </c>
      <c r="AO47" s="2953" t="s">
        <v>3606</v>
      </c>
      <c r="AP47" s="2953" t="s">
        <v>1327</v>
      </c>
      <c r="AQ47" s="2953" t="s">
        <v>1327</v>
      </c>
      <c r="AR47" s="2953" t="s">
        <v>1327</v>
      </c>
      <c r="AS47" s="2953" t="s">
        <v>3317</v>
      </c>
    </row>
    <row r="48" spans="1:45" s="2953" customFormat="1">
      <c r="A48" s="2953" t="s">
        <v>3617</v>
      </c>
      <c r="B48" s="2953" t="s">
        <v>3271</v>
      </c>
      <c r="C48" s="2953" t="s">
        <v>3330</v>
      </c>
      <c r="D48" s="2953" t="s">
        <v>3319</v>
      </c>
      <c r="E48" s="2953" t="s">
        <v>1327</v>
      </c>
      <c r="F48" s="2953" t="s">
        <v>3617</v>
      </c>
      <c r="G48" s="2953" t="s">
        <v>3594</v>
      </c>
      <c r="H48" s="2953">
        <v>1</v>
      </c>
      <c r="I48" s="2953" t="s">
        <v>3602</v>
      </c>
      <c r="J48" s="2953">
        <v>17550.400000000001</v>
      </c>
      <c r="K48" s="2953">
        <v>131628</v>
      </c>
      <c r="L48" s="2953" t="s">
        <v>3603</v>
      </c>
      <c r="M48" s="2953" t="s">
        <v>1327</v>
      </c>
      <c r="N48" s="2953" t="s">
        <v>3389</v>
      </c>
      <c r="O48" s="2953" t="s">
        <v>3618</v>
      </c>
      <c r="P48" s="2953" t="s">
        <v>3367</v>
      </c>
      <c r="Q48" s="2953" t="s">
        <v>1327</v>
      </c>
      <c r="R48" s="2953">
        <v>36300</v>
      </c>
      <c r="S48" s="2953" t="s">
        <v>1327</v>
      </c>
      <c r="T48" s="2953" t="s">
        <v>1327</v>
      </c>
      <c r="U48" s="2953" t="s">
        <v>1327</v>
      </c>
      <c r="V48" s="2953" t="s">
        <v>1327</v>
      </c>
      <c r="W48" s="2953" t="s">
        <v>3159</v>
      </c>
      <c r="X48" s="2953" t="s">
        <v>3596</v>
      </c>
      <c r="Y48" s="2953" t="s">
        <v>3597</v>
      </c>
      <c r="Z48" s="2953" t="s">
        <v>3598</v>
      </c>
      <c r="AA48" s="2953" t="s">
        <v>3598</v>
      </c>
      <c r="AB48" s="2953" t="s">
        <v>3619</v>
      </c>
      <c r="AC48" s="2953" t="s">
        <v>3285</v>
      </c>
      <c r="AD48" s="2953" t="s">
        <v>3572</v>
      </c>
      <c r="AE48" s="2953">
        <v>34224</v>
      </c>
      <c r="AF48" s="2953">
        <v>171117</v>
      </c>
      <c r="AG48" s="2953">
        <v>171117</v>
      </c>
      <c r="AH48" s="2953">
        <v>6500.02</v>
      </c>
      <c r="AI48" s="2953">
        <v>6500.02</v>
      </c>
      <c r="AJ48" s="2953">
        <v>13000.04</v>
      </c>
      <c r="AK48" s="2953">
        <v>13000.04</v>
      </c>
      <c r="AL48" s="2953" t="s">
        <v>1327</v>
      </c>
      <c r="AM48" s="2953">
        <v>17950</v>
      </c>
      <c r="AN48" s="2953">
        <v>0</v>
      </c>
      <c r="AO48" s="2953" t="s">
        <v>3606</v>
      </c>
      <c r="AP48" s="2953" t="s">
        <v>1327</v>
      </c>
      <c r="AQ48" s="2953" t="s">
        <v>1327</v>
      </c>
      <c r="AR48" s="2953" t="s">
        <v>1327</v>
      </c>
      <c r="AS48" s="2953" t="s">
        <v>3317</v>
      </c>
    </row>
    <row r="49" spans="1:45" s="2953" customFormat="1">
      <c r="A49" s="2953" t="s">
        <v>3620</v>
      </c>
      <c r="B49" s="2953" t="s">
        <v>3271</v>
      </c>
      <c r="C49" s="2953" t="s">
        <v>3330</v>
      </c>
      <c r="D49" s="2953" t="s">
        <v>3319</v>
      </c>
      <c r="E49" s="2953" t="s">
        <v>1327</v>
      </c>
      <c r="F49" s="2953" t="s">
        <v>3620</v>
      </c>
      <c r="G49" s="2953" t="s">
        <v>3274</v>
      </c>
      <c r="H49" s="2953">
        <v>2</v>
      </c>
      <c r="I49" s="2953" t="s">
        <v>3621</v>
      </c>
      <c r="J49" s="2953">
        <v>33105</v>
      </c>
      <c r="K49" s="2953">
        <v>91218</v>
      </c>
      <c r="L49" s="2953" t="s">
        <v>3622</v>
      </c>
      <c r="M49" s="2953" t="s">
        <v>1327</v>
      </c>
      <c r="N49" s="2953" t="s">
        <v>3623</v>
      </c>
      <c r="O49" s="2953" t="s">
        <v>1327</v>
      </c>
      <c r="P49" s="2953" t="s">
        <v>1327</v>
      </c>
      <c r="Q49" s="2953" t="s">
        <v>1327</v>
      </c>
      <c r="R49" s="2953">
        <v>1800</v>
      </c>
      <c r="S49" s="2953" t="s">
        <v>1327</v>
      </c>
      <c r="T49" s="2953" t="s">
        <v>1327</v>
      </c>
      <c r="U49" s="2953" t="s">
        <v>1327</v>
      </c>
      <c r="V49" s="2953" t="s">
        <v>1327</v>
      </c>
      <c r="W49" s="2953" t="s">
        <v>3159</v>
      </c>
      <c r="X49" s="2953" t="s">
        <v>3624</v>
      </c>
      <c r="Y49" s="2953" t="s">
        <v>3625</v>
      </c>
      <c r="Z49" s="2953" t="s">
        <v>3626</v>
      </c>
      <c r="AA49" s="2953" t="s">
        <v>3626</v>
      </c>
      <c r="AB49" s="2953" t="s">
        <v>3627</v>
      </c>
      <c r="AC49" s="2953" t="s">
        <v>3285</v>
      </c>
      <c r="AD49" s="2953" t="s">
        <v>3628</v>
      </c>
      <c r="AE49" s="2953">
        <v>23800</v>
      </c>
      <c r="AF49" s="2953">
        <v>118584</v>
      </c>
      <c r="AG49" s="2953">
        <v>142301</v>
      </c>
      <c r="AH49" s="2953">
        <v>2388.04</v>
      </c>
      <c r="AI49" s="2953">
        <v>2865.65</v>
      </c>
      <c r="AJ49" s="2953">
        <v>13000.06</v>
      </c>
      <c r="AK49" s="2953">
        <v>15600.1</v>
      </c>
      <c r="AL49" s="2953" t="s">
        <v>1327</v>
      </c>
      <c r="AM49" s="2953">
        <v>15914</v>
      </c>
      <c r="AN49" s="2953">
        <v>20</v>
      </c>
      <c r="AO49" s="2953" t="s">
        <v>3606</v>
      </c>
      <c r="AP49" s="2953" t="s">
        <v>1327</v>
      </c>
      <c r="AQ49" s="2953" t="s">
        <v>1327</v>
      </c>
      <c r="AR49" s="2953" t="s">
        <v>1327</v>
      </c>
      <c r="AS49" s="2953" t="s">
        <v>3317</v>
      </c>
    </row>
    <row r="50" spans="1:45" s="2953" customFormat="1">
      <c r="A50" s="2953" t="s">
        <v>3629</v>
      </c>
      <c r="B50" s="2953" t="s">
        <v>3271</v>
      </c>
      <c r="C50" s="2953" t="s">
        <v>3272</v>
      </c>
      <c r="D50" s="2953" t="s">
        <v>3404</v>
      </c>
      <c r="E50" s="2953" t="s">
        <v>1327</v>
      </c>
      <c r="F50" s="2953" t="s">
        <v>3629</v>
      </c>
      <c r="G50" s="2953" t="s">
        <v>3274</v>
      </c>
      <c r="H50" s="2953">
        <v>1</v>
      </c>
      <c r="I50" s="2953" t="s">
        <v>3595</v>
      </c>
      <c r="J50" s="2953">
        <v>7602</v>
      </c>
      <c r="K50" s="2953">
        <v>24326</v>
      </c>
      <c r="L50" s="2953" t="s">
        <v>3630</v>
      </c>
      <c r="M50" s="2953" t="s">
        <v>1327</v>
      </c>
      <c r="N50" s="2953" t="s">
        <v>3293</v>
      </c>
      <c r="O50" s="2953" t="s">
        <v>1327</v>
      </c>
      <c r="P50" s="2953" t="s">
        <v>1327</v>
      </c>
      <c r="Q50" s="2953" t="s">
        <v>1327</v>
      </c>
      <c r="R50" s="2953">
        <v>10350</v>
      </c>
      <c r="S50" s="2953" t="s">
        <v>1327</v>
      </c>
      <c r="T50" s="2953" t="s">
        <v>1327</v>
      </c>
      <c r="U50" s="2953" t="s">
        <v>1327</v>
      </c>
      <c r="V50" s="2953" t="s">
        <v>1327</v>
      </c>
      <c r="W50" s="2953" t="s">
        <v>3159</v>
      </c>
      <c r="X50" s="2953" t="s">
        <v>3624</v>
      </c>
      <c r="Y50" s="2953" t="s">
        <v>3625</v>
      </c>
      <c r="Z50" s="2953" t="s">
        <v>3626</v>
      </c>
      <c r="AA50" s="2953" t="s">
        <v>3626</v>
      </c>
      <c r="AB50" s="2953" t="s">
        <v>3631</v>
      </c>
      <c r="AC50" s="2953" t="s">
        <v>3285</v>
      </c>
      <c r="AD50" s="2953" t="s">
        <v>3632</v>
      </c>
      <c r="AE50" s="2953">
        <v>5840</v>
      </c>
      <c r="AF50" s="2953">
        <v>29191</v>
      </c>
      <c r="AG50" s="2953">
        <v>29191</v>
      </c>
      <c r="AH50" s="2953">
        <v>2559.94</v>
      </c>
      <c r="AI50" s="2953">
        <v>2559.94</v>
      </c>
      <c r="AJ50" s="2953">
        <v>11999.91</v>
      </c>
      <c r="AK50" s="2953">
        <v>11999.92</v>
      </c>
      <c r="AL50" s="2953" t="s">
        <v>1327</v>
      </c>
      <c r="AM50" s="2953">
        <v>20887</v>
      </c>
      <c r="AN50" s="2953">
        <v>0</v>
      </c>
      <c r="AO50" s="2953" t="s">
        <v>3422</v>
      </c>
      <c r="AP50" s="2953" t="s">
        <v>1327</v>
      </c>
      <c r="AQ50" s="2953" t="s">
        <v>1327</v>
      </c>
      <c r="AR50" s="2953" t="s">
        <v>1327</v>
      </c>
      <c r="AS50" s="2953" t="s">
        <v>3317</v>
      </c>
    </row>
    <row r="51" spans="1:45" s="2953" customFormat="1">
      <c r="A51" s="2953" t="s">
        <v>3633</v>
      </c>
      <c r="B51" s="2953" t="s">
        <v>3271</v>
      </c>
      <c r="C51" s="2953" t="s">
        <v>3272</v>
      </c>
      <c r="D51" s="2953" t="s">
        <v>3404</v>
      </c>
      <c r="E51" s="2953" t="s">
        <v>1327</v>
      </c>
      <c r="F51" s="2953" t="s">
        <v>3633</v>
      </c>
      <c r="G51" s="2953" t="s">
        <v>3274</v>
      </c>
      <c r="H51" s="2953">
        <v>1</v>
      </c>
      <c r="I51" s="2953" t="s">
        <v>3634</v>
      </c>
      <c r="J51" s="2953">
        <v>2964</v>
      </c>
      <c r="K51" s="2953">
        <v>8892</v>
      </c>
      <c r="L51" s="2953" t="s">
        <v>3635</v>
      </c>
      <c r="M51" s="2953" t="s">
        <v>1327</v>
      </c>
      <c r="N51" s="2953" t="s">
        <v>1327</v>
      </c>
      <c r="O51" s="2953" t="s">
        <v>1327</v>
      </c>
      <c r="P51" s="2953" t="s">
        <v>1327</v>
      </c>
      <c r="Q51" s="2953" t="s">
        <v>1327</v>
      </c>
      <c r="R51" s="2953" t="s">
        <v>1327</v>
      </c>
      <c r="S51" s="2953" t="s">
        <v>1327</v>
      </c>
      <c r="T51" s="2953" t="s">
        <v>1327</v>
      </c>
      <c r="U51" s="2953" t="s">
        <v>1327</v>
      </c>
      <c r="V51" s="2953" t="s">
        <v>1327</v>
      </c>
      <c r="W51" s="2953" t="s">
        <v>3159</v>
      </c>
      <c r="X51" s="2953" t="s">
        <v>3636</v>
      </c>
      <c r="Y51" s="2953" t="s">
        <v>3637</v>
      </c>
      <c r="Z51" s="2953" t="s">
        <v>3638</v>
      </c>
      <c r="AA51" s="2953" t="s">
        <v>3638</v>
      </c>
      <c r="AB51" s="2953" t="s">
        <v>3639</v>
      </c>
      <c r="AC51" s="2953" t="s">
        <v>3285</v>
      </c>
      <c r="AD51" s="2953" t="s">
        <v>3640</v>
      </c>
      <c r="AE51" s="2953">
        <v>6175</v>
      </c>
      <c r="AF51" s="2953">
        <v>12348</v>
      </c>
      <c r="AG51" s="2953">
        <v>12348</v>
      </c>
      <c r="AH51" s="2953">
        <v>2777.33</v>
      </c>
      <c r="AI51" s="2953">
        <v>2777.33</v>
      </c>
      <c r="AJ51" s="2953">
        <v>13886.63</v>
      </c>
      <c r="AK51" s="2953">
        <v>13886.63</v>
      </c>
      <c r="AL51" s="2953" t="s">
        <v>1327</v>
      </c>
      <c r="AM51" s="2953" t="s">
        <v>1327</v>
      </c>
      <c r="AN51" s="2953">
        <v>0</v>
      </c>
      <c r="AO51" s="2953" t="s">
        <v>3422</v>
      </c>
      <c r="AP51" s="2953" t="s">
        <v>1327</v>
      </c>
      <c r="AQ51" s="2953" t="s">
        <v>1327</v>
      </c>
      <c r="AR51" s="2953" t="s">
        <v>1327</v>
      </c>
      <c r="AS51" s="2953" t="s">
        <v>3317</v>
      </c>
    </row>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v>
      </c>
    </row>
    <row r="4" spans="1:1" ht="52.2">
      <c r="A4" s="1946" t="str">
        <f>"受贵公司委托，我公司对"&amp;项目基本情况!S1&amp;"进行了预评估。"</f>
        <v>受贵公司委托，我公司对广东省广州市海珠区工业大道南北侧石溪村地段第三金碧花园自编68-70栋住宅楼项目出让国有建设用地使用权及在建建筑物房地产抵押价值进行了预评估。</v>
      </c>
    </row>
    <row r="5" spans="1:1" ht="17.399999999999999">
      <c r="A5" s="1947" t="s">
        <v>1607</v>
      </c>
    </row>
    <row r="6" spans="1:1" ht="17.399999999999999">
      <c r="A6" s="1948" t="s">
        <v>1608</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海珠区工业大道南北侧石溪村地段第三金碧花园自编68-70栋住宅楼项目出让国有建设用地使用权及在建建筑物房地产，为所有。根据《国有土地使用证》[]，估价对象（分摊）出让国有建设用地使用权面积为19349.7平方米，建筑面积为41667.3539平方米。</v>
      </c>
    </row>
    <row r="8" spans="1:1" ht="54.6">
      <c r="A8" s="1949" t="s">
        <v>1609</v>
      </c>
    </row>
    <row r="9" spans="1:1" ht="17.399999999999999">
      <c r="A9" s="1948" t="s">
        <v>1610</v>
      </c>
    </row>
    <row r="10" spans="1:1" ht="87">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海珠区工业大道南北侧石溪村地段第三金碧花园自编68-70栋住宅楼项目出让国有建设用地使用权及在建建筑物房地产,属开发建设的居住项目，该项目尚在开发建设中。根据《国有土地使用证》[]，估价对象（分摊）出让国有建设用地使用权面积为19349.7平方米，规划建筑面积为41667.3539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拟使用广东省广州市海珠区工业大道南北侧石溪村地段第三金碧花园自编68-70栋住宅楼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1613</v>
      </c>
    </row>
    <row r="15" spans="1:1" ht="17.399999999999999">
      <c r="A15" s="1952" t="str">
        <f>TEXT(项目基本情况!D3,"yyyy年m月d日;;")&amp;IF(项目基本情况!D3=项目基本情况!B3,"（评估专业人员实地查勘之日）","")</f>
        <v>2019年9月4日（评估专业人员实地查勘之日）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1604</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582" t="s">
        <v>2633</v>
      </c>
      <c r="C1" s="1633" t="s">
        <v>2521</v>
      </c>
      <c r="D1" s="1620"/>
      <c r="E1" s="2656"/>
      <c r="F1" s="2584"/>
      <c r="G1" s="1630" t="s">
        <v>2634</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2321</v>
      </c>
      <c r="B2" s="1418" t="e">
        <f ca="1">IF(C2="——",ROUND(C49*D3/10000,0),ROUND(C49*D3/10000,0)-D2)</f>
        <v>#DIV/0!</v>
      </c>
      <c r="C2" s="2586"/>
      <c r="D2" s="1365" t="e">
        <f ca="1">SUMIF(INDIRECT("'"&amp;F2&amp;"'"&amp;"!A:A"),"承租人权益价值",INDIRECT("'"&amp;F2&amp;"'"&amp;"!c:c"))</f>
        <v>#REF!</v>
      </c>
      <c r="E2" s="2587" t="s">
        <v>2322</v>
      </c>
      <c r="F2" s="2588"/>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2323</v>
      </c>
      <c r="B3" s="609" t="e">
        <f ca="1">IF(C2="——",C49,ROUND(B2*10000/D3,0))</f>
        <v>#DIV/0!</v>
      </c>
      <c r="C3" s="400" t="s">
        <v>2635</v>
      </c>
      <c r="D3" s="399">
        <f>IF(D1="",'数据-汇总表'!E3,SUMIF('数据-汇总表'!$C19:$C33,D1,'数据-汇总表'!$E19:$E33))</f>
        <v>41667.353900000002</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4.4">
      <c r="A4" s="401" t="s">
        <v>2636</v>
      </c>
      <c r="B4" s="402"/>
      <c r="C4" s="3218" t="s">
        <v>2637</v>
      </c>
      <c r="D4" s="3219"/>
      <c r="E4" s="3220" t="s">
        <v>2638</v>
      </c>
      <c r="F4" s="3221"/>
      <c r="G4" s="3218" t="s">
        <v>2639</v>
      </c>
      <c r="H4" s="3219"/>
      <c r="I4" s="3218" t="s">
        <v>2640</v>
      </c>
      <c r="J4" s="3219"/>
      <c r="K4" s="610" t="s">
        <v>2641</v>
      </c>
      <c r="L4" s="1130"/>
      <c r="M4" s="1131"/>
      <c r="N4" s="1131"/>
      <c r="O4" s="1131"/>
      <c r="P4" s="3222" t="s">
        <v>2642</v>
      </c>
      <c r="Q4" s="3223"/>
      <c r="R4" s="3207" t="s">
        <v>2638</v>
      </c>
      <c r="S4" s="3208"/>
      <c r="T4" s="3207" t="s">
        <v>2639</v>
      </c>
      <c r="U4" s="3208"/>
      <c r="V4" s="3230" t="s">
        <v>2640</v>
      </c>
      <c r="W4" s="3230"/>
      <c r="X4" s="1812"/>
      <c r="Y4" s="3207" t="s">
        <v>2642</v>
      </c>
      <c r="Z4" s="3208"/>
      <c r="AA4" s="3202" t="s">
        <v>2638</v>
      </c>
      <c r="AB4" s="3230" t="s">
        <v>2639</v>
      </c>
      <c r="AC4" s="3202" t="s">
        <v>2640</v>
      </c>
    </row>
    <row r="5" spans="1:29">
      <c r="A5" s="404"/>
      <c r="B5" s="405"/>
      <c r="C5" s="3248" t="s">
        <v>2533</v>
      </c>
      <c r="D5" s="3249"/>
      <c r="E5" s="3246" t="s">
        <v>2534</v>
      </c>
      <c r="F5" s="3247"/>
      <c r="G5" s="3248" t="s">
        <v>2535</v>
      </c>
      <c r="H5" s="3249"/>
      <c r="I5" s="3248" t="s">
        <v>2536</v>
      </c>
      <c r="J5" s="3249"/>
      <c r="K5" s="610"/>
      <c r="L5" s="1130"/>
      <c r="M5" s="1131"/>
      <c r="N5" s="1131"/>
      <c r="O5" s="1131"/>
      <c r="P5" s="3224"/>
      <c r="Q5" s="3225"/>
      <c r="R5" s="3209"/>
      <c r="S5" s="3210"/>
      <c r="T5" s="3209"/>
      <c r="U5" s="3210"/>
      <c r="V5" s="3230"/>
      <c r="W5" s="3230"/>
      <c r="X5" s="1812"/>
      <c r="Y5" s="3209"/>
      <c r="Z5" s="3210"/>
      <c r="AA5" s="3203"/>
      <c r="AB5" s="3230"/>
      <c r="AC5" s="3203"/>
    </row>
    <row r="6" spans="1:29" ht="15" thickBot="1">
      <c r="A6" s="406"/>
      <c r="B6" s="407"/>
      <c r="C6" s="3250" t="s">
        <v>2537</v>
      </c>
      <c r="D6" s="3251"/>
      <c r="E6" s="3252" t="s">
        <v>2537</v>
      </c>
      <c r="F6" s="3253"/>
      <c r="G6" s="3250" t="s">
        <v>2537</v>
      </c>
      <c r="H6" s="3251"/>
      <c r="I6" s="3250" t="s">
        <v>2537</v>
      </c>
      <c r="J6" s="3251"/>
      <c r="K6" s="610" t="s">
        <v>2538</v>
      </c>
      <c r="L6" s="1130"/>
      <c r="M6" s="1131"/>
      <c r="N6" s="1131"/>
      <c r="O6" s="1131"/>
      <c r="P6" s="3226"/>
      <c r="Q6" s="3227"/>
      <c r="R6" s="3209"/>
      <c r="S6" s="3210"/>
      <c r="T6" s="3228"/>
      <c r="U6" s="3229"/>
      <c r="V6" s="3230"/>
      <c r="W6" s="3230"/>
      <c r="X6" s="1812"/>
      <c r="Y6" s="3228"/>
      <c r="Z6" s="3229"/>
      <c r="AA6" s="3204"/>
      <c r="AB6" s="3230"/>
      <c r="AC6" s="3204"/>
    </row>
    <row r="7" spans="1:29" s="117" customFormat="1" ht="15" thickBot="1">
      <c r="A7" s="408" t="s">
        <v>2539</v>
      </c>
      <c r="B7" s="409"/>
      <c r="C7" s="410">
        <f>'数据-取费表'!B2</f>
        <v>43712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5" t="s">
        <v>2540</v>
      </c>
      <c r="Q7" s="3231"/>
      <c r="R7" s="770" t="s">
        <v>17</v>
      </c>
      <c r="S7" s="771">
        <f t="shared" ref="S7:S15" si="0">F7</f>
        <v>0</v>
      </c>
      <c r="T7" s="770" t="s">
        <v>17</v>
      </c>
      <c r="U7" s="771">
        <f t="shared" ref="U7:U15" si="1">H7</f>
        <v>0</v>
      </c>
      <c r="V7" s="770" t="s">
        <v>17</v>
      </c>
      <c r="W7" s="771">
        <f t="shared" ref="W7:W15" si="2">J7</f>
        <v>0</v>
      </c>
      <c r="X7" s="772"/>
      <c r="Y7" s="3205" t="s">
        <v>2540</v>
      </c>
      <c r="Z7" s="3206"/>
      <c r="AA7" s="773" t="e">
        <f>D7/F7</f>
        <v>#DIV/0!</v>
      </c>
      <c r="AB7" s="773" t="e">
        <f>D7/H7</f>
        <v>#DIV/0!</v>
      </c>
      <c r="AC7" s="773" t="e">
        <f>D7/J7</f>
        <v>#DIV/0!</v>
      </c>
    </row>
    <row r="8" spans="1:29" s="117" customFormat="1" ht="1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5" t="s">
        <v>2543</v>
      </c>
      <c r="Q8" s="3206"/>
      <c r="R8" s="770" t="s">
        <v>17</v>
      </c>
      <c r="S8" s="771">
        <f t="shared" si="0"/>
        <v>0</v>
      </c>
      <c r="T8" s="770" t="s">
        <v>17</v>
      </c>
      <c r="U8" s="771">
        <f t="shared" si="1"/>
        <v>0</v>
      </c>
      <c r="V8" s="770" t="s">
        <v>17</v>
      </c>
      <c r="W8" s="771">
        <f t="shared" si="2"/>
        <v>0</v>
      </c>
      <c r="X8" s="772"/>
      <c r="Y8" s="3205" t="s">
        <v>2543</v>
      </c>
      <c r="Z8" s="3206"/>
      <c r="AA8" s="773" t="e">
        <f t="shared" ref="AA8:AA46" si="3">D8/F8</f>
        <v>#DIV/0!</v>
      </c>
      <c r="AB8" s="773" t="e">
        <f t="shared" ref="AB8:AB46" si="4">D8/H8</f>
        <v>#DIV/0!</v>
      </c>
      <c r="AC8" s="773" t="e">
        <f t="shared" ref="AC8:AC46" si="5">D8/J8</f>
        <v>#DIV/0!</v>
      </c>
    </row>
    <row r="9" spans="1:29" s="117" customFormat="1" ht="14.4">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7" t="s">
        <v>2546</v>
      </c>
      <c r="Q9" s="1794" t="str">
        <f t="shared" ref="Q9:Q15" si="6">B9</f>
        <v>用途</v>
      </c>
      <c r="R9" s="770" t="s">
        <v>17</v>
      </c>
      <c r="S9" s="771">
        <f t="shared" si="0"/>
        <v>100</v>
      </c>
      <c r="T9" s="770" t="s">
        <v>17</v>
      </c>
      <c r="U9" s="771">
        <f t="shared" si="1"/>
        <v>100</v>
      </c>
      <c r="V9" s="770" t="s">
        <v>17</v>
      </c>
      <c r="W9" s="771">
        <f t="shared" si="2"/>
        <v>100</v>
      </c>
      <c r="X9" s="772"/>
      <c r="Y9" s="3052"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7"/>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7"/>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7"/>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69">
      <c r="A15" s="440" t="s">
        <v>2550</v>
      </c>
      <c r="B15" s="69" t="s">
        <v>2644</v>
      </c>
      <c r="C15" s="2603" t="str">
        <f>估价对象房地状况!C4</f>
        <v>估价对象位于XX商圈，周边商业氛围成熟，人流量大，商业繁华度较好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4" t="s">
        <v>2551</v>
      </c>
      <c r="Q15" s="1809" t="str">
        <f t="shared" si="6"/>
        <v>商业繁华度</v>
      </c>
      <c r="R15" s="774" t="s">
        <v>17</v>
      </c>
      <c r="S15" s="775">
        <f t="shared" si="0"/>
        <v>100</v>
      </c>
      <c r="T15" s="774" t="s">
        <v>17</v>
      </c>
      <c r="U15" s="775">
        <f t="shared" si="1"/>
        <v>100</v>
      </c>
      <c r="V15" s="774" t="s">
        <v>17</v>
      </c>
      <c r="W15" s="775">
        <f t="shared" si="2"/>
        <v>100</v>
      </c>
      <c r="X15" s="1812"/>
      <c r="Y15" s="3237" t="s">
        <v>2551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5"/>
      <c r="Q16" s="1809"/>
      <c r="R16" s="774"/>
      <c r="S16" s="775"/>
      <c r="T16" s="774"/>
      <c r="U16" s="775"/>
      <c r="V16" s="774"/>
      <c r="W16" s="775"/>
      <c r="X16" s="1812"/>
      <c r="Y16" s="3238"/>
      <c r="Z16" s="1813"/>
      <c r="AA16" s="1810">
        <v>1</v>
      </c>
      <c r="AB16" s="1810">
        <v>1</v>
      </c>
      <c r="AC16" s="1810">
        <v>1</v>
      </c>
    </row>
    <row r="17" spans="1:29" ht="82.8">
      <c r="A17" s="428"/>
      <c r="B17" s="451" t="s">
        <v>2092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5"/>
      <c r="Q17" s="1809" t="str">
        <f>B17</f>
        <v>交通便捷度</v>
      </c>
      <c r="R17" s="774" t="s">
        <v>17</v>
      </c>
      <c r="S17" s="775">
        <f>F17</f>
        <v>100</v>
      </c>
      <c r="T17" s="774" t="s">
        <v>17</v>
      </c>
      <c r="U17" s="775">
        <f>H17</f>
        <v>100</v>
      </c>
      <c r="V17" s="774" t="s">
        <v>17</v>
      </c>
      <c r="W17" s="775">
        <f>J17</f>
        <v>100</v>
      </c>
      <c r="X17" s="1812"/>
      <c r="Y17" s="323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45"/>
      <c r="Q18" s="1809"/>
      <c r="R18" s="774"/>
      <c r="S18" s="775"/>
      <c r="T18" s="774"/>
      <c r="U18" s="775"/>
      <c r="V18" s="774"/>
      <c r="W18" s="775"/>
      <c r="X18" s="1812"/>
      <c r="Y18" s="3238"/>
      <c r="Z18" s="1813"/>
      <c r="AA18" s="1810">
        <v>1</v>
      </c>
      <c r="AB18" s="1810">
        <v>1</v>
      </c>
      <c r="AC18" s="1810">
        <v>1</v>
      </c>
    </row>
    <row r="19" spans="1:29" ht="41.4">
      <c r="A19" s="428"/>
      <c r="B19" s="451" t="s">
        <v>2645</v>
      </c>
      <c r="C19" s="2607"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5"/>
      <c r="Q19" s="1809" t="str">
        <f>B19</f>
        <v>公共配套设施</v>
      </c>
      <c r="R19" s="774" t="s">
        <v>17</v>
      </c>
      <c r="S19" s="775">
        <f>F19</f>
        <v>100</v>
      </c>
      <c r="T19" s="774" t="s">
        <v>17</v>
      </c>
      <c r="U19" s="775">
        <f>H19</f>
        <v>100</v>
      </c>
      <c r="V19" s="774" t="s">
        <v>17</v>
      </c>
      <c r="W19" s="775">
        <f>J19</f>
        <v>100</v>
      </c>
      <c r="X19" s="1812"/>
      <c r="Y19" s="323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45"/>
      <c r="Q20" s="1809"/>
      <c r="R20" s="774"/>
      <c r="S20" s="775"/>
      <c r="T20" s="774"/>
      <c r="U20" s="775"/>
      <c r="V20" s="774"/>
      <c r="W20" s="775"/>
      <c r="X20" s="1812"/>
      <c r="Y20" s="3238"/>
      <c r="Z20" s="1813"/>
      <c r="AA20" s="1810">
        <v>1</v>
      </c>
      <c r="AB20" s="1810">
        <v>1</v>
      </c>
      <c r="AC20" s="1810">
        <v>1</v>
      </c>
    </row>
    <row r="21" spans="1:29" ht="15">
      <c r="A21" s="428"/>
      <c r="B21" s="1384" t="s">
        <v>2646</v>
      </c>
      <c r="C21" s="2607"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5"/>
      <c r="Q21" s="1809" t="str">
        <f>B21</f>
        <v>基础设施水平</v>
      </c>
      <c r="R21" s="774" t="s">
        <v>17</v>
      </c>
      <c r="S21" s="775">
        <f>F21</f>
        <v>100</v>
      </c>
      <c r="T21" s="774" t="s">
        <v>17</v>
      </c>
      <c r="U21" s="775">
        <f>H21</f>
        <v>100</v>
      </c>
      <c r="V21" s="774" t="s">
        <v>17</v>
      </c>
      <c r="W21" s="775">
        <f>J21</f>
        <v>100</v>
      </c>
      <c r="X21" s="1812"/>
      <c r="Y21" s="323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45"/>
      <c r="Q22" s="1809"/>
      <c r="R22" s="774"/>
      <c r="S22" s="775"/>
      <c r="T22" s="774"/>
      <c r="U22" s="775"/>
      <c r="V22" s="774"/>
      <c r="W22" s="775"/>
      <c r="X22" s="1812"/>
      <c r="Y22" s="3238"/>
      <c r="Z22" s="1813"/>
      <c r="AA22" s="1810">
        <v>1</v>
      </c>
      <c r="AB22" s="1810">
        <v>1</v>
      </c>
      <c r="AC22" s="1810">
        <v>1</v>
      </c>
    </row>
    <row r="23" spans="1:29" ht="15">
      <c r="A23" s="428"/>
      <c r="B23" s="451" t="s">
        <v>2097</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5"/>
      <c r="Q23" s="1809" t="str">
        <f>B23</f>
        <v>自然及人文环境</v>
      </c>
      <c r="R23" s="774" t="s">
        <v>17</v>
      </c>
      <c r="S23" s="775">
        <f>F23</f>
        <v>100</v>
      </c>
      <c r="T23" s="774" t="s">
        <v>17</v>
      </c>
      <c r="U23" s="775">
        <f>H23</f>
        <v>100</v>
      </c>
      <c r="V23" s="774" t="s">
        <v>17</v>
      </c>
      <c r="W23" s="775">
        <f>J23</f>
        <v>100</v>
      </c>
      <c r="X23" s="1812"/>
      <c r="Y23" s="3238"/>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45"/>
      <c r="Q24" s="1809"/>
      <c r="R24" s="774"/>
      <c r="S24" s="775"/>
      <c r="T24" s="774"/>
      <c r="U24" s="775"/>
      <c r="V24" s="774"/>
      <c r="W24" s="775"/>
      <c r="X24" s="1812"/>
      <c r="Y24" s="3238"/>
      <c r="Z24" s="1813"/>
      <c r="AA24" s="1810">
        <v>1</v>
      </c>
      <c r="AB24" s="1810">
        <v>1</v>
      </c>
      <c r="AC24" s="1810">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5"/>
      <c r="Q25" s="1809" t="str">
        <f t="shared" ref="Q25:Q46" si="11">B25</f>
        <v>临街状况</v>
      </c>
      <c r="R25" s="774" t="s">
        <v>17</v>
      </c>
      <c r="S25" s="775">
        <f>F25</f>
        <v>100</v>
      </c>
      <c r="T25" s="774" t="s">
        <v>17</v>
      </c>
      <c r="U25" s="775">
        <f>H25</f>
        <v>100</v>
      </c>
      <c r="V25" s="774" t="s">
        <v>17</v>
      </c>
      <c r="W25" s="775">
        <f>J25</f>
        <v>100</v>
      </c>
      <c r="X25" s="1812"/>
      <c r="Y25" s="3238"/>
      <c r="Z25" s="1813" t="str">
        <f>Q25</f>
        <v>临街状况</v>
      </c>
      <c r="AA25" s="1810">
        <f t="shared" si="3"/>
        <v>1</v>
      </c>
      <c r="AB25" s="1810">
        <f t="shared" si="4"/>
        <v>1</v>
      </c>
      <c r="AC25" s="1810">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5"/>
      <c r="Q26" s="1809" t="str">
        <f t="shared" si="11"/>
        <v>平面位置/可视性</v>
      </c>
      <c r="R26" s="774" t="s">
        <v>17</v>
      </c>
      <c r="S26" s="775">
        <f>F26</f>
        <v>100</v>
      </c>
      <c r="T26" s="774" t="s">
        <v>17</v>
      </c>
      <c r="U26" s="775">
        <f>H26</f>
        <v>100</v>
      </c>
      <c r="V26" s="774" t="s">
        <v>17</v>
      </c>
      <c r="W26" s="775">
        <f>J26</f>
        <v>100</v>
      </c>
      <c r="X26" s="1812"/>
      <c r="Y26" s="3238"/>
      <c r="Z26" s="1813" t="str">
        <f>Q26</f>
        <v>平面位置/可视性</v>
      </c>
      <c r="AA26" s="1810">
        <f t="shared" si="3"/>
        <v>1</v>
      </c>
      <c r="AB26" s="1810">
        <f t="shared" si="4"/>
        <v>1</v>
      </c>
      <c r="AC26" s="1810">
        <f t="shared" si="5"/>
        <v>1</v>
      </c>
    </row>
    <row r="27" spans="1:29" s="117" customFormat="1" ht="15">
      <c r="A27" s="431"/>
      <c r="B27" s="451" t="s">
        <v>2649</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45"/>
      <c r="Q27" s="1794" t="str">
        <f t="shared" si="11"/>
        <v>人流量</v>
      </c>
      <c r="R27" s="770" t="s">
        <v>17</v>
      </c>
      <c r="S27" s="771">
        <f>F27</f>
        <v>100</v>
      </c>
      <c r="T27" s="770" t="s">
        <v>17</v>
      </c>
      <c r="U27" s="771">
        <f>H27</f>
        <v>100</v>
      </c>
      <c r="V27" s="770" t="s">
        <v>17</v>
      </c>
      <c r="W27" s="771">
        <f>J27</f>
        <v>100</v>
      </c>
      <c r="X27" s="772"/>
      <c r="Y27" s="3238"/>
      <c r="Z27" s="55" t="str">
        <f>Q27</f>
        <v>人流量</v>
      </c>
      <c r="AA27" s="1810">
        <f>D27/F27</f>
        <v>1</v>
      </c>
      <c r="AB27" s="1810">
        <f>D27/H27</f>
        <v>1</v>
      </c>
      <c r="AC27" s="1810">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38"/>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5"/>
      <c r="Q29" s="1809">
        <f t="shared" si="11"/>
        <v>111</v>
      </c>
      <c r="R29" s="774" t="s">
        <v>17</v>
      </c>
      <c r="S29" s="775">
        <f t="shared" si="12"/>
        <v>100</v>
      </c>
      <c r="T29" s="774" t="s">
        <v>17</v>
      </c>
      <c r="U29" s="775">
        <f t="shared" si="13"/>
        <v>100</v>
      </c>
      <c r="V29" s="774" t="s">
        <v>17</v>
      </c>
      <c r="W29" s="775">
        <f t="shared" si="14"/>
        <v>100</v>
      </c>
      <c r="X29" s="1812"/>
      <c r="Y29" s="3238"/>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5"/>
      <c r="Q30" s="1809">
        <f t="shared" si="11"/>
        <v>111</v>
      </c>
      <c r="R30" s="774" t="s">
        <v>17</v>
      </c>
      <c r="S30" s="775">
        <f t="shared" si="12"/>
        <v>100</v>
      </c>
      <c r="T30" s="774" t="s">
        <v>17</v>
      </c>
      <c r="U30" s="775">
        <f t="shared" si="13"/>
        <v>100</v>
      </c>
      <c r="V30" s="774" t="s">
        <v>17</v>
      </c>
      <c r="W30" s="775">
        <f t="shared" si="14"/>
        <v>100</v>
      </c>
      <c r="X30" s="1812"/>
      <c r="Y30" s="3238"/>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5"/>
      <c r="Q31" s="1809">
        <f t="shared" si="11"/>
        <v>111</v>
      </c>
      <c r="R31" s="774" t="s">
        <v>17</v>
      </c>
      <c r="S31" s="775">
        <f t="shared" si="12"/>
        <v>100</v>
      </c>
      <c r="T31" s="774" t="s">
        <v>17</v>
      </c>
      <c r="U31" s="775">
        <f t="shared" si="13"/>
        <v>100</v>
      </c>
      <c r="V31" s="774" t="s">
        <v>17</v>
      </c>
      <c r="W31" s="775">
        <f t="shared" si="14"/>
        <v>100</v>
      </c>
      <c r="X31" s="1812"/>
      <c r="Y31" s="3238"/>
      <c r="Z31" s="1813">
        <f t="shared" si="15"/>
        <v>111</v>
      </c>
      <c r="AA31" s="1810">
        <f t="shared" si="3"/>
        <v>1</v>
      </c>
      <c r="AB31" s="1810">
        <f t="shared" si="4"/>
        <v>1</v>
      </c>
      <c r="AC31" s="1810">
        <f t="shared" si="5"/>
        <v>1</v>
      </c>
    </row>
    <row r="32" spans="1:29" ht="15">
      <c r="A32" s="440" t="s">
        <v>2554</v>
      </c>
      <c r="B32" s="71" t="s">
        <v>2651</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39" t="s">
        <v>2556</v>
      </c>
      <c r="Q32" s="1809" t="str">
        <f t="shared" si="11"/>
        <v>商业类型</v>
      </c>
      <c r="R32" s="774" t="s">
        <v>17</v>
      </c>
      <c r="S32" s="775">
        <f t="shared" si="12"/>
        <v>100</v>
      </c>
      <c r="T32" s="774" t="s">
        <v>17</v>
      </c>
      <c r="U32" s="775">
        <f t="shared" si="13"/>
        <v>100</v>
      </c>
      <c r="V32" s="774" t="s">
        <v>17</v>
      </c>
      <c r="W32" s="775">
        <f t="shared" si="14"/>
        <v>100</v>
      </c>
      <c r="X32" s="1812"/>
      <c r="Y32" s="3242" t="s">
        <v>2556</v>
      </c>
      <c r="Z32" s="1813" t="str">
        <f t="shared" si="15"/>
        <v>商业类型</v>
      </c>
      <c r="AA32" s="1810">
        <f t="shared" si="3"/>
        <v>1</v>
      </c>
      <c r="AB32" s="1810">
        <f t="shared" si="4"/>
        <v>1</v>
      </c>
      <c r="AC32" s="1810">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0"/>
      <c r="Q33" s="776" t="str">
        <f t="shared" si="11"/>
        <v>项目建筑规模</v>
      </c>
      <c r="R33" s="777" t="s">
        <v>17</v>
      </c>
      <c r="S33" s="778" t="e">
        <f t="shared" si="12"/>
        <v>#N/A</v>
      </c>
      <c r="T33" s="777" t="s">
        <v>17</v>
      </c>
      <c r="U33" s="778" t="e">
        <f t="shared" si="13"/>
        <v>#N/A</v>
      </c>
      <c r="V33" s="777" t="s">
        <v>17</v>
      </c>
      <c r="W33" s="778" t="e">
        <f t="shared" si="14"/>
        <v>#N/A</v>
      </c>
      <c r="X33" s="779"/>
      <c r="Y33" s="3242"/>
      <c r="Z33" s="780" t="str">
        <f t="shared" si="15"/>
        <v>项目建筑规模</v>
      </c>
      <c r="AA33" s="1810" t="e">
        <f t="shared" si="3"/>
        <v>#N/A</v>
      </c>
      <c r="AB33" s="1810" t="e">
        <f t="shared" si="4"/>
        <v>#N/A</v>
      </c>
      <c r="AC33" s="1810" t="e">
        <f t="shared" si="5"/>
        <v>#N/A</v>
      </c>
    </row>
    <row r="34" spans="1:29" ht="15">
      <c r="A34" s="472"/>
      <c r="B34" s="422" t="s">
        <v>2558</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0"/>
      <c r="Q34" s="1809" t="str">
        <f t="shared" si="11"/>
        <v>建筑结构</v>
      </c>
      <c r="R34" s="774" t="s">
        <v>17</v>
      </c>
      <c r="S34" s="775">
        <f t="shared" si="12"/>
        <v>100</v>
      </c>
      <c r="T34" s="774" t="s">
        <v>17</v>
      </c>
      <c r="U34" s="775">
        <f t="shared" si="13"/>
        <v>100</v>
      </c>
      <c r="V34" s="774" t="s">
        <v>17</v>
      </c>
      <c r="W34" s="775">
        <f t="shared" si="14"/>
        <v>100</v>
      </c>
      <c r="X34" s="1812"/>
      <c r="Y34" s="3242"/>
      <c r="Z34" s="1813" t="str">
        <f t="shared" si="15"/>
        <v>建筑结构</v>
      </c>
      <c r="AA34" s="1810">
        <f t="shared" si="3"/>
        <v>1</v>
      </c>
      <c r="AB34" s="1810">
        <f t="shared" si="4"/>
        <v>1</v>
      </c>
      <c r="AC34" s="1810">
        <f t="shared" si="5"/>
        <v>1</v>
      </c>
    </row>
    <row r="35" spans="1:29" ht="15">
      <c r="A35" s="472"/>
      <c r="B35" s="422" t="s">
        <v>2652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0"/>
      <c r="Q35" s="1809" t="str">
        <f t="shared" si="11"/>
        <v>公共部分装修</v>
      </c>
      <c r="R35" s="774" t="s">
        <v>17</v>
      </c>
      <c r="S35" s="775">
        <f t="shared" si="12"/>
        <v>100</v>
      </c>
      <c r="T35" s="774" t="s">
        <v>17</v>
      </c>
      <c r="U35" s="775">
        <f t="shared" si="13"/>
        <v>100</v>
      </c>
      <c r="V35" s="774" t="s">
        <v>17</v>
      </c>
      <c r="W35" s="775">
        <f t="shared" si="14"/>
        <v>100</v>
      </c>
      <c r="X35" s="1812"/>
      <c r="Y35" s="3242"/>
      <c r="Z35" s="1813" t="str">
        <f t="shared" si="15"/>
        <v>公共部分装修</v>
      </c>
      <c r="AA35" s="1810">
        <f t="shared" si="3"/>
        <v>1</v>
      </c>
      <c r="AB35" s="1810">
        <f t="shared" si="4"/>
        <v>1</v>
      </c>
      <c r="AC35" s="1810">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0"/>
      <c r="Q36" s="1809" t="str">
        <f t="shared" si="11"/>
        <v>成新度</v>
      </c>
      <c r="R36" s="774" t="s">
        <v>17</v>
      </c>
      <c r="S36" s="775" t="e">
        <f t="shared" si="12"/>
        <v>#N/A</v>
      </c>
      <c r="T36" s="774" t="s">
        <v>17</v>
      </c>
      <c r="U36" s="775" t="e">
        <f t="shared" si="13"/>
        <v>#N/A</v>
      </c>
      <c r="V36" s="774" t="s">
        <v>17</v>
      </c>
      <c r="W36" s="775" t="e">
        <f t="shared" si="14"/>
        <v>#N/A</v>
      </c>
      <c r="X36" s="1812"/>
      <c r="Y36" s="3242"/>
      <c r="Z36" s="1813" t="str">
        <f t="shared" si="15"/>
        <v>成新度</v>
      </c>
      <c r="AA36" s="1810" t="e">
        <f t="shared" si="3"/>
        <v>#N/A</v>
      </c>
      <c r="AB36" s="1810" t="e">
        <f t="shared" si="4"/>
        <v>#N/A</v>
      </c>
      <c r="AC36" s="1810" t="e">
        <f t="shared" si="5"/>
        <v>#N/A</v>
      </c>
    </row>
    <row r="37" spans="1:29" s="117" customFormat="1" ht="15">
      <c r="A37" s="473"/>
      <c r="B37" s="422" t="s">
        <v>2654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0"/>
      <c r="Q37" s="1794" t="str">
        <f t="shared" si="11"/>
        <v>市政基础设施</v>
      </c>
      <c r="R37" s="770" t="s">
        <v>17</v>
      </c>
      <c r="S37" s="771">
        <f t="shared" si="12"/>
        <v>100</v>
      </c>
      <c r="T37" s="770" t="s">
        <v>17</v>
      </c>
      <c r="U37" s="771">
        <f t="shared" si="13"/>
        <v>100</v>
      </c>
      <c r="V37" s="770" t="s">
        <v>17</v>
      </c>
      <c r="W37" s="771">
        <f t="shared" si="14"/>
        <v>100</v>
      </c>
      <c r="X37" s="772"/>
      <c r="Y37" s="3242"/>
      <c r="Z37" s="55" t="str">
        <f t="shared" si="15"/>
        <v>市政基础设施</v>
      </c>
      <c r="AA37" s="773">
        <f t="shared" si="3"/>
        <v>1</v>
      </c>
      <c r="AB37" s="773">
        <f t="shared" si="4"/>
        <v>1</v>
      </c>
      <c r="AC37" s="773">
        <f t="shared" si="5"/>
        <v>1</v>
      </c>
    </row>
    <row r="38" spans="1:29" ht="15">
      <c r="A38" s="472"/>
      <c r="B38" s="422" t="s">
        <v>2655</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0" t="s">
        <v>2556</v>
      </c>
      <c r="Q38" s="1809" t="str">
        <f t="shared" si="11"/>
        <v>业态</v>
      </c>
      <c r="R38" s="774" t="s">
        <v>17</v>
      </c>
      <c r="S38" s="775">
        <f t="shared" si="12"/>
        <v>100</v>
      </c>
      <c r="T38" s="774" t="s">
        <v>17</v>
      </c>
      <c r="U38" s="775">
        <f t="shared" si="13"/>
        <v>100</v>
      </c>
      <c r="V38" s="774" t="s">
        <v>17</v>
      </c>
      <c r="W38" s="775">
        <f t="shared" si="14"/>
        <v>100</v>
      </c>
      <c r="X38" s="1812"/>
      <c r="Y38" s="3242" t="s">
        <v>2556</v>
      </c>
      <c r="Z38" s="1813" t="str">
        <f t="shared" si="15"/>
        <v>业态</v>
      </c>
      <c r="AA38" s="1810">
        <f t="shared" si="3"/>
        <v>1</v>
      </c>
      <c r="AB38" s="1810">
        <f t="shared" si="4"/>
        <v>1</v>
      </c>
      <c r="AC38" s="1810">
        <f t="shared" si="5"/>
        <v>1</v>
      </c>
    </row>
    <row r="39" spans="1:29" ht="15">
      <c r="A39" s="472"/>
      <c r="B39" s="422" t="s">
        <v>2656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0"/>
      <c r="Q39" s="1809" t="str">
        <f t="shared" si="11"/>
        <v>层高</v>
      </c>
      <c r="R39" s="774" t="s">
        <v>17</v>
      </c>
      <c r="S39" s="775">
        <f t="shared" si="12"/>
        <v>100</v>
      </c>
      <c r="T39" s="774" t="s">
        <v>17</v>
      </c>
      <c r="U39" s="775">
        <f t="shared" si="13"/>
        <v>100</v>
      </c>
      <c r="V39" s="774" t="s">
        <v>17</v>
      </c>
      <c r="W39" s="775">
        <f t="shared" si="14"/>
        <v>100</v>
      </c>
      <c r="X39" s="1812"/>
      <c r="Y39" s="3242"/>
      <c r="Z39" s="1813" t="str">
        <f t="shared" si="15"/>
        <v>层高</v>
      </c>
      <c r="AA39" s="1810">
        <f t="shared" si="3"/>
        <v>1</v>
      </c>
      <c r="AB39" s="1810">
        <f t="shared" si="4"/>
        <v>1</v>
      </c>
      <c r="AC39" s="1810">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0"/>
      <c r="Q40" s="1809" t="str">
        <f t="shared" si="11"/>
        <v>单套建筑面积</v>
      </c>
      <c r="R40" s="774" t="s">
        <v>17</v>
      </c>
      <c r="S40" s="775">
        <f t="shared" si="12"/>
        <v>100</v>
      </c>
      <c r="T40" s="774" t="s">
        <v>17</v>
      </c>
      <c r="U40" s="775">
        <f t="shared" si="13"/>
        <v>100</v>
      </c>
      <c r="V40" s="774" t="s">
        <v>17</v>
      </c>
      <c r="W40" s="775">
        <f t="shared" si="14"/>
        <v>100</v>
      </c>
      <c r="X40" s="1812"/>
      <c r="Y40" s="3242"/>
      <c r="Z40" s="1813" t="str">
        <f t="shared" si="15"/>
        <v>单套建筑面积</v>
      </c>
      <c r="AA40" s="1810">
        <f t="shared" si="3"/>
        <v>1</v>
      </c>
      <c r="AB40" s="1810">
        <f t="shared" si="4"/>
        <v>1</v>
      </c>
      <c r="AC40" s="1810">
        <f t="shared" si="5"/>
        <v>1</v>
      </c>
    </row>
    <row r="41" spans="1:29" s="471" customFormat="1" ht="15">
      <c r="A41" s="468"/>
      <c r="B41" s="1811"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0"/>
      <c r="Q41" s="776" t="str">
        <f t="shared" si="11"/>
        <v>进深比</v>
      </c>
      <c r="R41" s="777" t="s">
        <v>17</v>
      </c>
      <c r="S41" s="778">
        <f t="shared" si="12"/>
        <v>100</v>
      </c>
      <c r="T41" s="777" t="s">
        <v>17</v>
      </c>
      <c r="U41" s="778">
        <f t="shared" si="13"/>
        <v>100</v>
      </c>
      <c r="V41" s="777" t="s">
        <v>17</v>
      </c>
      <c r="W41" s="778">
        <f t="shared" si="14"/>
        <v>100</v>
      </c>
      <c r="X41" s="779"/>
      <c r="Y41" s="3242"/>
      <c r="Z41" s="780" t="str">
        <f t="shared" si="15"/>
        <v>进深比</v>
      </c>
      <c r="AA41" s="1810">
        <f t="shared" si="3"/>
        <v>1</v>
      </c>
      <c r="AB41" s="1810">
        <f t="shared" si="4"/>
        <v>1</v>
      </c>
      <c r="AC41" s="1810">
        <f t="shared" si="5"/>
        <v>1</v>
      </c>
    </row>
    <row r="42" spans="1:29" ht="15">
      <c r="A42" s="472"/>
      <c r="B42" s="422" t="s">
        <v>2659</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0"/>
      <c r="Q42" s="1809" t="str">
        <f t="shared" si="11"/>
        <v>内部装修</v>
      </c>
      <c r="R42" s="774" t="s">
        <v>17</v>
      </c>
      <c r="S42" s="775">
        <f t="shared" si="12"/>
        <v>100</v>
      </c>
      <c r="T42" s="774" t="s">
        <v>17</v>
      </c>
      <c r="U42" s="775">
        <f t="shared" si="13"/>
        <v>100</v>
      </c>
      <c r="V42" s="774" t="s">
        <v>17</v>
      </c>
      <c r="W42" s="775">
        <f t="shared" si="14"/>
        <v>100</v>
      </c>
      <c r="X42" s="1812"/>
      <c r="Y42" s="3242"/>
      <c r="Z42" s="1813" t="str">
        <f t="shared" si="15"/>
        <v>内部装修</v>
      </c>
      <c r="AA42" s="1810">
        <f t="shared" si="3"/>
        <v>1</v>
      </c>
      <c r="AB42" s="1810">
        <f t="shared" si="4"/>
        <v>1</v>
      </c>
      <c r="AC42" s="1810">
        <f t="shared" si="5"/>
        <v>1</v>
      </c>
    </row>
    <row r="43" spans="1:29" ht="28.8">
      <c r="A43" s="472"/>
      <c r="B43" s="422" t="s">
        <v>2567</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0"/>
      <c r="Q43" s="1809" t="str">
        <f t="shared" si="11"/>
        <v>内部装修维护情况</v>
      </c>
      <c r="R43" s="774" t="s">
        <v>17</v>
      </c>
      <c r="S43" s="775">
        <f t="shared" si="12"/>
        <v>100</v>
      </c>
      <c r="T43" s="774" t="s">
        <v>17</v>
      </c>
      <c r="U43" s="775">
        <f t="shared" si="13"/>
        <v>100</v>
      </c>
      <c r="V43" s="774" t="s">
        <v>17</v>
      </c>
      <c r="W43" s="775">
        <f t="shared" si="14"/>
        <v>100</v>
      </c>
      <c r="X43" s="1812"/>
      <c r="Y43" s="324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0"/>
      <c r="Q44" s="1794">
        <f t="shared" si="11"/>
        <v>111</v>
      </c>
      <c r="R44" s="770" t="s">
        <v>17</v>
      </c>
      <c r="S44" s="771">
        <f t="shared" si="12"/>
        <v>100</v>
      </c>
      <c r="T44" s="770" t="s">
        <v>17</v>
      </c>
      <c r="U44" s="771">
        <f t="shared" si="13"/>
        <v>100</v>
      </c>
      <c r="V44" s="770" t="s">
        <v>17</v>
      </c>
      <c r="W44" s="771">
        <f t="shared" si="14"/>
        <v>100</v>
      </c>
      <c r="X44" s="772"/>
      <c r="Y44" s="324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0"/>
      <c r="Q45" s="1809">
        <f t="shared" si="11"/>
        <v>111</v>
      </c>
      <c r="R45" s="774" t="s">
        <v>17</v>
      </c>
      <c r="S45" s="775">
        <f t="shared" si="12"/>
        <v>100</v>
      </c>
      <c r="T45" s="774" t="s">
        <v>17</v>
      </c>
      <c r="U45" s="775">
        <f t="shared" si="13"/>
        <v>100</v>
      </c>
      <c r="V45" s="774" t="s">
        <v>17</v>
      </c>
      <c r="W45" s="775">
        <f t="shared" si="14"/>
        <v>100</v>
      </c>
      <c r="X45" s="1812"/>
      <c r="Y45" s="3242"/>
      <c r="Z45" s="1813">
        <f t="shared" si="15"/>
        <v>111</v>
      </c>
      <c r="AA45" s="1810">
        <f t="shared" si="3"/>
        <v>1</v>
      </c>
      <c r="AB45" s="1810">
        <f t="shared" si="4"/>
        <v>1</v>
      </c>
      <c r="AC45" s="1810">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1"/>
      <c r="Q46" s="1809">
        <f t="shared" si="11"/>
        <v>111</v>
      </c>
      <c r="R46" s="774" t="s">
        <v>17</v>
      </c>
      <c r="S46" s="775">
        <f t="shared" si="12"/>
        <v>100</v>
      </c>
      <c r="T46" s="774" t="s">
        <v>17</v>
      </c>
      <c r="U46" s="775">
        <f t="shared" si="13"/>
        <v>100</v>
      </c>
      <c r="V46" s="774" t="s">
        <v>17</v>
      </c>
      <c r="W46" s="775">
        <f t="shared" si="14"/>
        <v>100</v>
      </c>
      <c r="X46" s="1812"/>
      <c r="Y46" s="3243"/>
      <c r="Z46" s="1813">
        <f t="shared" si="15"/>
        <v>111</v>
      </c>
      <c r="AA46" s="1810">
        <f t="shared" si="3"/>
        <v>1</v>
      </c>
      <c r="AB46" s="1810">
        <f t="shared" si="4"/>
        <v>1</v>
      </c>
      <c r="AC46" s="1810">
        <f t="shared" si="5"/>
        <v>1</v>
      </c>
    </row>
    <row r="47" spans="1:29" ht="14.4">
      <c r="A47" s="479" t="s">
        <v>2568</v>
      </c>
      <c r="B47" s="480"/>
      <c r="C47" s="1407" t="s">
        <v>1</v>
      </c>
      <c r="D47" s="1408"/>
      <c r="E47" s="1409"/>
      <c r="F47" s="1410"/>
      <c r="G47" s="1411"/>
      <c r="H47" s="1412"/>
      <c r="I47" s="1409"/>
      <c r="J47" s="1412"/>
      <c r="K47" s="783"/>
      <c r="L47" s="1143"/>
      <c r="M47" s="1144"/>
      <c r="N47" s="1131"/>
      <c r="O47" s="1144"/>
      <c r="P47" s="3235" t="str">
        <f>A47</f>
        <v>成交单价（元/平方米）</v>
      </c>
      <c r="Q47" s="3235"/>
      <c r="R47" s="3230">
        <f>E47</f>
        <v>0</v>
      </c>
      <c r="S47" s="3230"/>
      <c r="T47" s="3230">
        <f>G47</f>
        <v>0</v>
      </c>
      <c r="U47" s="3230"/>
      <c r="V47" s="3230">
        <f>I47</f>
        <v>0</v>
      </c>
      <c r="W47" s="3230"/>
      <c r="X47" s="759"/>
      <c r="Y47" s="781"/>
      <c r="Z47" s="759"/>
      <c r="AA47" s="759"/>
      <c r="AB47" s="759"/>
      <c r="AC47" s="759"/>
    </row>
    <row r="48" spans="1:29" ht="1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 thickBot="1">
      <c r="A49" s="492" t="s">
        <v>2661</v>
      </c>
      <c r="B49" s="493"/>
      <c r="C49" s="1417" t="e">
        <f>R49</f>
        <v>#DIV/0!</v>
      </c>
      <c r="D49" s="1417"/>
      <c r="E49" s="1417"/>
      <c r="F49" s="1417"/>
      <c r="G49" s="1417"/>
      <c r="H49" s="1417"/>
      <c r="I49" s="1417"/>
      <c r="J49" s="1417"/>
      <c r="K49" s="785"/>
      <c r="L49" s="1143"/>
      <c r="M49" s="1144"/>
      <c r="N49" s="1131"/>
      <c r="O49" s="1144"/>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2665</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4.4">
      <c r="A58" s="505" t="s">
        <v>2539</v>
      </c>
      <c r="B58" s="506"/>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7" customFormat="1">
      <c r="A59" s="509"/>
      <c r="B59" s="510"/>
      <c r="C59" s="1572">
        <v>100</v>
      </c>
      <c r="D59" s="512"/>
      <c r="E59" s="512"/>
      <c r="F59" s="512"/>
      <c r="G59" s="512"/>
      <c r="H59" s="512"/>
      <c r="I59" s="512"/>
      <c r="J59" s="512"/>
      <c r="K59" s="512"/>
      <c r="L59" s="512"/>
      <c r="M59" s="513"/>
      <c r="N59" s="512"/>
      <c r="O59" s="513"/>
      <c r="P59" s="2627"/>
    </row>
    <row r="60" spans="1:29" s="117" customFormat="1" ht="15" thickBot="1">
      <c r="A60" s="515" t="s">
        <v>2576</v>
      </c>
      <c r="B60" s="516"/>
      <c r="C60" s="517"/>
      <c r="D60" s="518"/>
      <c r="E60" s="518"/>
      <c r="F60" s="518"/>
      <c r="G60" s="518"/>
      <c r="H60" s="518"/>
      <c r="I60" s="518"/>
      <c r="J60" s="518"/>
      <c r="K60" s="518"/>
      <c r="L60" s="518"/>
      <c r="M60" s="519"/>
      <c r="N60" s="518"/>
      <c r="O60" s="519"/>
      <c r="P60" s="2627"/>
      <c r="Q60" s="504"/>
    </row>
    <row r="61" spans="1:29" s="117" customFormat="1" ht="14.4">
      <c r="A61" s="521" t="s">
        <v>2541</v>
      </c>
      <c r="B61" s="510"/>
      <c r="C61" s="522" t="s">
        <v>2643</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2579</v>
      </c>
      <c r="B63" s="528" t="s">
        <v>2545</v>
      </c>
      <c r="C63" s="529">
        <f>C9</f>
        <v>0</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c r="A68" s="534"/>
      <c r="B68" s="548"/>
      <c r="C68" s="549"/>
      <c r="D68" s="549"/>
      <c r="E68" s="549"/>
      <c r="F68" s="549"/>
      <c r="G68" s="549"/>
      <c r="H68" s="549"/>
      <c r="I68" s="549"/>
      <c r="J68" s="549"/>
      <c r="K68" s="550"/>
      <c r="L68" s="551"/>
      <c r="M68" s="552"/>
      <c r="N68" s="1152"/>
      <c r="O68" s="1152"/>
      <c r="P68" s="262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36"/>
      <c r="E73" s="536"/>
      <c r="F73" s="536"/>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2646</v>
      </c>
      <c r="C82" s="660" t="s">
        <v>2666</v>
      </c>
      <c r="D82" s="660" t="s">
        <v>2667</v>
      </c>
      <c r="E82" s="660" t="s">
        <v>2668</v>
      </c>
      <c r="F82" s="660" t="s">
        <v>2669</v>
      </c>
      <c r="G82" s="660" t="s">
        <v>2670</v>
      </c>
      <c r="H82" s="539"/>
      <c r="I82" s="539"/>
      <c r="J82" s="539"/>
      <c r="K82" s="539"/>
      <c r="L82" s="539"/>
      <c r="M82" s="1382"/>
      <c r="N82" s="1153"/>
      <c r="O82" s="1153"/>
      <c r="P82" s="262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2671</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4.4"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4.4" thickBot="1">
      <c r="A89" s="579"/>
      <c r="B89" s="543"/>
      <c r="C89" s="560"/>
      <c r="D89" s="536"/>
      <c r="E89" s="536"/>
      <c r="F89" s="536"/>
      <c r="G89" s="536"/>
      <c r="H89" s="536"/>
      <c r="I89" s="536"/>
      <c r="J89" s="536"/>
      <c r="K89" s="536"/>
      <c r="L89" s="536"/>
      <c r="M89" s="536"/>
      <c r="N89" s="1153"/>
      <c r="O89" s="1153"/>
      <c r="P89" s="2629"/>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4.4" thickTop="1">
      <c r="A92" s="534"/>
      <c r="B92" s="538" t="str">
        <f>B28</f>
        <v>楼层</v>
      </c>
      <c r="C92" s="554"/>
      <c r="D92" s="554"/>
      <c r="E92" s="554"/>
      <c r="F92" s="554"/>
      <c r="G92" s="554"/>
      <c r="H92" s="554"/>
      <c r="I92" s="554"/>
      <c r="J92" s="554"/>
      <c r="K92" s="554"/>
      <c r="L92" s="580"/>
      <c r="M92" s="581"/>
      <c r="N92" s="1152"/>
      <c r="O92" s="1152"/>
      <c r="P92" s="2629"/>
      <c r="Q92" s="504"/>
    </row>
    <row r="93" spans="1:17" ht="14.4" thickBot="1">
      <c r="A93" s="534"/>
      <c r="B93" s="543"/>
      <c r="C93" s="536"/>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36"/>
      <c r="E95" s="536"/>
      <c r="F95" s="536"/>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60"/>
      <c r="D97" s="536"/>
      <c r="E97" s="536"/>
      <c r="F97" s="536"/>
      <c r="G97" s="536"/>
      <c r="H97" s="536"/>
      <c r="I97" s="536"/>
      <c r="J97" s="536"/>
      <c r="K97" s="536"/>
      <c r="L97" s="536"/>
      <c r="M97" s="537"/>
      <c r="N97" s="1153"/>
      <c r="O97" s="1153"/>
      <c r="P97" s="2629"/>
      <c r="Q97" s="504"/>
    </row>
    <row r="98" spans="1:17" ht="14.4" thickTop="1">
      <c r="A98" s="534"/>
      <c r="B98" s="546">
        <f>B31</f>
        <v>111</v>
      </c>
      <c r="C98" s="554"/>
      <c r="D98" s="554"/>
      <c r="E98" s="554"/>
      <c r="F98" s="554"/>
      <c r="G98" s="587"/>
      <c r="H98" s="587"/>
      <c r="I98" s="587"/>
      <c r="J98" s="587"/>
      <c r="K98" s="588"/>
      <c r="L98" s="589"/>
      <c r="M98" s="590"/>
      <c r="N98" s="1152"/>
      <c r="O98" s="1152"/>
      <c r="P98" s="2629"/>
      <c r="Q98" s="504"/>
    </row>
    <row r="99" spans="1:17" ht="14.4" thickBot="1">
      <c r="A99" s="2635"/>
      <c r="B99" s="569"/>
      <c r="C99" s="570"/>
      <c r="D99" s="570"/>
      <c r="E99" s="570"/>
      <c r="F99" s="570"/>
      <c r="G99" s="591"/>
      <c r="H99" s="591"/>
      <c r="I99" s="591"/>
      <c r="J99" s="591"/>
      <c r="K99" s="591"/>
      <c r="L99" s="591"/>
      <c r="M99" s="592"/>
      <c r="N99" s="1153"/>
      <c r="O99" s="1153"/>
      <c r="P99" s="2629"/>
      <c r="Q99" s="504"/>
    </row>
    <row r="100" spans="1:17" ht="14.4">
      <c r="A100" s="527" t="s">
        <v>2554</v>
      </c>
      <c r="B100" s="528" t="s">
        <v>2672</v>
      </c>
      <c r="C100" s="530"/>
      <c r="D100" s="530"/>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2605</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2607</v>
      </c>
      <c r="C107" s="554"/>
      <c r="D107" s="554"/>
      <c r="E107" s="554"/>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3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2673</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2674</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2675</v>
      </c>
      <c r="C118" s="627"/>
      <c r="D118" s="627"/>
      <c r="E118" s="627"/>
      <c r="F118" s="627"/>
      <c r="G118" s="627"/>
      <c r="H118" s="555"/>
      <c r="I118" s="555"/>
      <c r="J118" s="555"/>
      <c r="K118" s="555"/>
      <c r="L118" s="556"/>
      <c r="M118" s="557"/>
      <c r="N118" s="1152"/>
      <c r="O118" s="1152"/>
      <c r="P118" s="2629"/>
      <c r="Q118" s="504"/>
    </row>
    <row r="119" spans="1:17" ht="14.4"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3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2611</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36"/>
      <c r="E129" s="536"/>
      <c r="F129" s="536"/>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668" t="s">
        <v>2677</v>
      </c>
      <c r="C1" s="1619" t="s">
        <v>2521</v>
      </c>
      <c r="D1" s="1620"/>
      <c r="E1" s="1629"/>
      <c r="F1" s="2584"/>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8" t="e">
        <f ca="1">IF(C2="——",ROUND(C50*D3/10000,0),ROUND(C50*D3/10000,0)-D2)</f>
        <v>#DIV/0!</v>
      </c>
      <c r="C2" s="2586"/>
      <c r="D2" s="1365" t="e">
        <f ca="1">SUMIF(INDIRECT("'"&amp;F2&amp;"'"&amp;"!A:A"),"承租人权益价值",INDIRECT("'"&amp;F2&amp;"'"&amp;"!c:c"))</f>
        <v>#REF!</v>
      </c>
      <c r="E2" s="2587" t="s">
        <v>2322</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2635</v>
      </c>
      <c r="D3" s="399">
        <f>IF(D1="",'数据-汇总表'!E3,SUMIF('数据-汇总表'!$C19:$C33,D1,'数据-汇总表'!$E19:$E33))</f>
        <v>41667.353900000002</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2636</v>
      </c>
      <c r="B4" s="402"/>
      <c r="C4" s="3218" t="s">
        <v>2637</v>
      </c>
      <c r="D4" s="3219"/>
      <c r="E4" s="3220" t="s">
        <v>2638</v>
      </c>
      <c r="F4" s="3221"/>
      <c r="G4" s="3218" t="s">
        <v>2639</v>
      </c>
      <c r="H4" s="3219"/>
      <c r="I4" s="3218" t="s">
        <v>2640</v>
      </c>
      <c r="J4" s="3219"/>
      <c r="K4" s="610" t="s">
        <v>2641</v>
      </c>
      <c r="L4" s="1130"/>
      <c r="M4" s="1131"/>
      <c r="N4" s="1131"/>
      <c r="O4" s="1131"/>
      <c r="P4" s="3260" t="s">
        <v>2642</v>
      </c>
      <c r="Q4" s="3261"/>
      <c r="R4" s="3255" t="s">
        <v>2638</v>
      </c>
      <c r="S4" s="3256"/>
      <c r="T4" s="3255" t="s">
        <v>2639</v>
      </c>
      <c r="U4" s="3256"/>
      <c r="V4" s="3264" t="s">
        <v>2640</v>
      </c>
      <c r="W4" s="3264"/>
      <c r="X4" s="2669"/>
      <c r="Y4" s="3255" t="s">
        <v>2642</v>
      </c>
      <c r="Z4" s="3256"/>
      <c r="AA4" s="3254" t="s">
        <v>2638</v>
      </c>
      <c r="AB4" s="3254" t="s">
        <v>2639</v>
      </c>
      <c r="AC4" s="3257" t="s">
        <v>2640</v>
      </c>
    </row>
    <row r="5" spans="1:29">
      <c r="A5" s="404"/>
      <c r="B5" s="405"/>
      <c r="C5" s="3248" t="s">
        <v>2533</v>
      </c>
      <c r="D5" s="3249"/>
      <c r="E5" s="3246" t="s">
        <v>2534</v>
      </c>
      <c r="F5" s="3247"/>
      <c r="G5" s="3248" t="s">
        <v>2535</v>
      </c>
      <c r="H5" s="3249"/>
      <c r="I5" s="3248" t="s">
        <v>2536</v>
      </c>
      <c r="J5" s="3249"/>
      <c r="K5" s="610"/>
      <c r="L5" s="1130"/>
      <c r="M5" s="1131"/>
      <c r="N5" s="1131"/>
      <c r="O5" s="1131"/>
      <c r="P5" s="3262"/>
      <c r="Q5" s="3225"/>
      <c r="R5" s="3209"/>
      <c r="S5" s="3210"/>
      <c r="T5" s="3209"/>
      <c r="U5" s="3210"/>
      <c r="V5" s="3230"/>
      <c r="W5" s="3230"/>
      <c r="X5" s="1812"/>
      <c r="Y5" s="3209"/>
      <c r="Z5" s="3210"/>
      <c r="AA5" s="3203"/>
      <c r="AB5" s="3203"/>
      <c r="AC5" s="3258"/>
    </row>
    <row r="6" spans="1:29" ht="15" thickBot="1">
      <c r="A6" s="406"/>
      <c r="B6" s="407"/>
      <c r="C6" s="3250" t="s">
        <v>2537</v>
      </c>
      <c r="D6" s="3251"/>
      <c r="E6" s="3252" t="s">
        <v>2537</v>
      </c>
      <c r="F6" s="3253"/>
      <c r="G6" s="3250" t="s">
        <v>2537</v>
      </c>
      <c r="H6" s="3251"/>
      <c r="I6" s="3250" t="s">
        <v>2537</v>
      </c>
      <c r="J6" s="3251"/>
      <c r="K6" s="610" t="s">
        <v>2538</v>
      </c>
      <c r="L6" s="1130"/>
      <c r="M6" s="1131"/>
      <c r="N6" s="1131"/>
      <c r="O6" s="1131"/>
      <c r="P6" s="3263"/>
      <c r="Q6" s="3227"/>
      <c r="R6" s="3209"/>
      <c r="S6" s="3210"/>
      <c r="T6" s="3228"/>
      <c r="U6" s="3229"/>
      <c r="V6" s="3230"/>
      <c r="W6" s="3230"/>
      <c r="X6" s="1812"/>
      <c r="Y6" s="3228"/>
      <c r="Z6" s="3229"/>
      <c r="AA6" s="3204"/>
      <c r="AB6" s="3204"/>
      <c r="AC6" s="3259"/>
    </row>
    <row r="7" spans="1:29" s="117" customFormat="1" ht="15" thickBot="1">
      <c r="A7" s="408" t="s">
        <v>2539</v>
      </c>
      <c r="B7" s="409"/>
      <c r="C7" s="410">
        <f>'数据-取费表'!B2</f>
        <v>43712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5" t="s">
        <v>2540</v>
      </c>
      <c r="Q7" s="3231"/>
      <c r="R7" s="770" t="s">
        <v>17</v>
      </c>
      <c r="S7" s="771">
        <f t="shared" ref="S7:S15" si="0">F7</f>
        <v>0</v>
      </c>
      <c r="T7" s="770" t="s">
        <v>17</v>
      </c>
      <c r="U7" s="771">
        <f t="shared" ref="U7:U15" si="1">H7</f>
        <v>0</v>
      </c>
      <c r="V7" s="770" t="s">
        <v>17</v>
      </c>
      <c r="W7" s="771">
        <f t="shared" ref="W7:W15" si="2">J7</f>
        <v>0</v>
      </c>
      <c r="X7" s="772"/>
      <c r="Y7" s="3205" t="s">
        <v>2540</v>
      </c>
      <c r="Z7" s="3206"/>
      <c r="AA7" s="773" t="e">
        <f>D7/F7</f>
        <v>#DIV/0!</v>
      </c>
      <c r="AB7" s="773" t="e">
        <f>D7/H7</f>
        <v>#DIV/0!</v>
      </c>
      <c r="AC7" s="2670" t="e">
        <f>D7/J7</f>
        <v>#DIV/0!</v>
      </c>
    </row>
    <row r="8" spans="1:29" s="117" customFormat="1" ht="1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5" t="s">
        <v>2543</v>
      </c>
      <c r="Q8" s="3206"/>
      <c r="R8" s="770" t="s">
        <v>17</v>
      </c>
      <c r="S8" s="771">
        <f t="shared" si="0"/>
        <v>0</v>
      </c>
      <c r="T8" s="770" t="s">
        <v>17</v>
      </c>
      <c r="U8" s="771">
        <f t="shared" si="1"/>
        <v>0</v>
      </c>
      <c r="V8" s="770" t="s">
        <v>17</v>
      </c>
      <c r="W8" s="771">
        <f t="shared" si="2"/>
        <v>0</v>
      </c>
      <c r="X8" s="772"/>
      <c r="Y8" s="3205" t="s">
        <v>2543</v>
      </c>
      <c r="Z8" s="3206"/>
      <c r="AA8" s="773" t="e">
        <f t="shared" ref="AA8:AA47" si="3">D8/F8</f>
        <v>#DIV/0!</v>
      </c>
      <c r="AB8" s="773" t="e">
        <f t="shared" ref="AB8:AB47" si="4">D8/H8</f>
        <v>#DIV/0!</v>
      </c>
      <c r="AC8" s="2670" t="e">
        <f t="shared" ref="AC8:AC47" si="5">D8/J8</f>
        <v>#DIV/0!</v>
      </c>
    </row>
    <row r="9" spans="1:29" s="117" customFormat="1" ht="14.4">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7" t="s">
        <v>2546</v>
      </c>
      <c r="Q9" s="1794" t="str">
        <f t="shared" ref="Q9:Q15" si="6">B9</f>
        <v>用途</v>
      </c>
      <c r="R9" s="770" t="s">
        <v>17</v>
      </c>
      <c r="S9" s="771">
        <f t="shared" si="0"/>
        <v>100</v>
      </c>
      <c r="T9" s="770" t="s">
        <v>17</v>
      </c>
      <c r="U9" s="771">
        <f t="shared" si="1"/>
        <v>100</v>
      </c>
      <c r="V9" s="770" t="s">
        <v>17</v>
      </c>
      <c r="W9" s="771">
        <f t="shared" si="2"/>
        <v>100</v>
      </c>
      <c r="X9" s="772"/>
      <c r="Y9" s="3052" t="s">
        <v>2547</v>
      </c>
      <c r="Z9" s="55" t="str">
        <f t="shared" ref="Z9:Z15" si="7">Q9</f>
        <v>用途</v>
      </c>
      <c r="AA9" s="773">
        <f t="shared" si="3"/>
        <v>1</v>
      </c>
      <c r="AB9" s="773">
        <f t="shared" si="4"/>
        <v>1</v>
      </c>
      <c r="AC9" s="2670">
        <f t="shared" si="5"/>
        <v>1</v>
      </c>
    </row>
    <row r="10" spans="1:29" s="427" customFormat="1" ht="28.8">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7"/>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70">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7"/>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2670" t="e">
        <f t="shared" si="5"/>
        <v>#N/A</v>
      </c>
    </row>
    <row r="12" spans="1:29" s="117" customFormat="1" ht="15">
      <c r="A12" s="431"/>
      <c r="B12" s="2600">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1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70">
        <f>D12/J12</f>
        <v>1</v>
      </c>
    </row>
    <row r="13" spans="1:29" ht="15">
      <c r="A13" s="428"/>
      <c r="B13" s="2600">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1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70">
        <f t="shared" si="5"/>
        <v>1</v>
      </c>
    </row>
    <row r="14" spans="1:29" ht="15.6" thickBot="1">
      <c r="A14" s="436"/>
      <c r="B14" s="2602">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17"/>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70">
        <f t="shared" si="5"/>
        <v>1</v>
      </c>
    </row>
    <row r="15" spans="1:29" ht="15">
      <c r="A15" s="440" t="s">
        <v>2550</v>
      </c>
      <c r="B15" s="629" t="s">
        <v>2678</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4" t="s">
        <v>2551</v>
      </c>
      <c r="Q15" s="1809" t="str">
        <f t="shared" si="6"/>
        <v>办公集聚程度</v>
      </c>
      <c r="R15" s="774" t="s">
        <v>17</v>
      </c>
      <c r="S15" s="775">
        <f t="shared" si="0"/>
        <v>100</v>
      </c>
      <c r="T15" s="774" t="s">
        <v>17</v>
      </c>
      <c r="U15" s="775">
        <f t="shared" si="1"/>
        <v>100</v>
      </c>
      <c r="V15" s="774" t="s">
        <v>17</v>
      </c>
      <c r="W15" s="775">
        <f t="shared" si="2"/>
        <v>100</v>
      </c>
      <c r="X15" s="1812"/>
      <c r="Y15" s="3237" t="s">
        <v>2551</v>
      </c>
      <c r="Z15" s="1813" t="str">
        <f t="shared" si="7"/>
        <v>办公集聚程度</v>
      </c>
      <c r="AA15" s="1810">
        <f t="shared" si="3"/>
        <v>1</v>
      </c>
      <c r="AB15" s="1810">
        <f t="shared" si="4"/>
        <v>1</v>
      </c>
      <c r="AC15" s="2673">
        <f t="shared" si="5"/>
        <v>1</v>
      </c>
    </row>
    <row r="16" spans="1:29" ht="15">
      <c r="A16" s="428"/>
      <c r="B16" s="630"/>
      <c r="C16" s="2611"/>
      <c r="D16" s="448"/>
      <c r="E16" s="447"/>
      <c r="F16" s="448"/>
      <c r="G16" s="2611"/>
      <c r="H16" s="450"/>
      <c r="I16" s="447"/>
      <c r="J16" s="448"/>
      <c r="K16" s="615"/>
      <c r="L16" s="1140"/>
      <c r="M16" s="1131"/>
      <c r="N16" s="1131"/>
      <c r="O16" s="1131"/>
      <c r="P16" s="3245"/>
      <c r="Q16" s="1809"/>
      <c r="R16" s="774"/>
      <c r="S16" s="775"/>
      <c r="T16" s="774"/>
      <c r="U16" s="775"/>
      <c r="V16" s="774"/>
      <c r="W16" s="775"/>
      <c r="X16" s="1812"/>
      <c r="Y16" s="3238"/>
      <c r="Z16" s="1813"/>
      <c r="AA16" s="1810">
        <v>1</v>
      </c>
      <c r="AB16" s="1810">
        <v>1</v>
      </c>
      <c r="AC16" s="2673">
        <v>1</v>
      </c>
    </row>
    <row r="17" spans="1:29" ht="82.8">
      <c r="A17" s="428"/>
      <c r="B17" s="631" t="s">
        <v>2092</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5"/>
      <c r="Q17" s="1809" t="str">
        <f>B17</f>
        <v>交通便捷度</v>
      </c>
      <c r="R17" s="774" t="s">
        <v>17</v>
      </c>
      <c r="S17" s="775">
        <f>F17</f>
        <v>100</v>
      </c>
      <c r="T17" s="774" t="s">
        <v>17</v>
      </c>
      <c r="U17" s="775">
        <f>H17</f>
        <v>100</v>
      </c>
      <c r="V17" s="774" t="s">
        <v>17</v>
      </c>
      <c r="W17" s="775">
        <f>J17</f>
        <v>100</v>
      </c>
      <c r="X17" s="1812"/>
      <c r="Y17" s="3238"/>
      <c r="Z17" s="1813" t="str">
        <f>Q17</f>
        <v>交通便捷度</v>
      </c>
      <c r="AA17" s="1810">
        <f t="shared" si="3"/>
        <v>1</v>
      </c>
      <c r="AB17" s="1810">
        <f t="shared" si="4"/>
        <v>1</v>
      </c>
      <c r="AC17" s="2673">
        <f t="shared" si="5"/>
        <v>1</v>
      </c>
    </row>
    <row r="18" spans="1:29" ht="15">
      <c r="A18" s="428"/>
      <c r="B18" s="632"/>
      <c r="C18" s="2675"/>
      <c r="D18" s="450"/>
      <c r="E18" s="2609"/>
      <c r="F18" s="450"/>
      <c r="G18" s="2610"/>
      <c r="H18" s="448"/>
      <c r="I18" s="2610"/>
      <c r="J18" s="448"/>
      <c r="K18" s="615"/>
      <c r="L18" s="1140"/>
      <c r="M18" s="1131"/>
      <c r="N18" s="1131"/>
      <c r="O18" s="1131"/>
      <c r="P18" s="3245"/>
      <c r="Q18" s="1809"/>
      <c r="R18" s="774"/>
      <c r="S18" s="775"/>
      <c r="T18" s="774"/>
      <c r="U18" s="775"/>
      <c r="V18" s="774"/>
      <c r="W18" s="775"/>
      <c r="X18" s="1812"/>
      <c r="Y18" s="3238"/>
      <c r="Z18" s="1813"/>
      <c r="AA18" s="1810">
        <v>1</v>
      </c>
      <c r="AB18" s="1810">
        <v>1</v>
      </c>
      <c r="AC18" s="2673">
        <v>1</v>
      </c>
    </row>
    <row r="19" spans="1:29" ht="41.4">
      <c r="A19" s="428"/>
      <c r="B19" s="631" t="s">
        <v>2679</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5"/>
      <c r="Q19" s="1809" t="str">
        <f>B19</f>
        <v>公共配套设施</v>
      </c>
      <c r="R19" s="774" t="s">
        <v>17</v>
      </c>
      <c r="S19" s="775">
        <f>F19</f>
        <v>100</v>
      </c>
      <c r="T19" s="774" t="s">
        <v>17</v>
      </c>
      <c r="U19" s="775">
        <f>H19</f>
        <v>100</v>
      </c>
      <c r="V19" s="774" t="s">
        <v>17</v>
      </c>
      <c r="W19" s="775">
        <f>J19</f>
        <v>100</v>
      </c>
      <c r="X19" s="1812"/>
      <c r="Y19" s="3238"/>
      <c r="Z19" s="1813" t="str">
        <f>Q19</f>
        <v>公共配套设施</v>
      </c>
      <c r="AA19" s="1810">
        <f t="shared" si="3"/>
        <v>1</v>
      </c>
      <c r="AB19" s="1810">
        <f t="shared" si="4"/>
        <v>1</v>
      </c>
      <c r="AC19" s="2673">
        <f t="shared" si="5"/>
        <v>1</v>
      </c>
    </row>
    <row r="20" spans="1:29" ht="15">
      <c r="A20" s="428"/>
      <c r="B20" s="632"/>
      <c r="C20" s="2611"/>
      <c r="D20" s="448"/>
      <c r="E20" s="2604"/>
      <c r="F20" s="448"/>
      <c r="G20" s="2605"/>
      <c r="H20" s="448"/>
      <c r="I20" s="2605"/>
      <c r="J20" s="448"/>
      <c r="K20" s="615"/>
      <c r="L20" s="1140"/>
      <c r="M20" s="1131"/>
      <c r="N20" s="1131"/>
      <c r="O20" s="1131"/>
      <c r="P20" s="3245"/>
      <c r="Q20" s="1809"/>
      <c r="R20" s="774"/>
      <c r="S20" s="775"/>
      <c r="T20" s="774"/>
      <c r="U20" s="775"/>
      <c r="V20" s="774"/>
      <c r="W20" s="775"/>
      <c r="X20" s="1812"/>
      <c r="Y20" s="3238"/>
      <c r="Z20" s="1813"/>
      <c r="AA20" s="1810">
        <v>1</v>
      </c>
      <c r="AB20" s="1810">
        <v>1</v>
      </c>
      <c r="AC20" s="2673">
        <v>1</v>
      </c>
    </row>
    <row r="21" spans="1:29" ht="15">
      <c r="A21" s="428"/>
      <c r="B21" s="633" t="s">
        <v>2680</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5"/>
      <c r="Q21" s="1809" t="str">
        <f>B21</f>
        <v>基础设施水平</v>
      </c>
      <c r="R21" s="774" t="s">
        <v>17</v>
      </c>
      <c r="S21" s="775">
        <f>F21</f>
        <v>100</v>
      </c>
      <c r="T21" s="774" t="s">
        <v>17</v>
      </c>
      <c r="U21" s="775">
        <f>H21</f>
        <v>100</v>
      </c>
      <c r="V21" s="774" t="s">
        <v>17</v>
      </c>
      <c r="W21" s="775">
        <f>J21</f>
        <v>100</v>
      </c>
      <c r="X21" s="1812"/>
      <c r="Y21" s="3238"/>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1"/>
      <c r="H22" s="448"/>
      <c r="I22" s="2611"/>
      <c r="J22" s="448"/>
      <c r="K22" s="1383"/>
      <c r="L22" s="1140"/>
      <c r="M22" s="1131"/>
      <c r="N22" s="1131"/>
      <c r="O22" s="1131"/>
      <c r="P22" s="3245"/>
      <c r="Q22" s="1809"/>
      <c r="R22" s="774"/>
      <c r="S22" s="775"/>
      <c r="T22" s="774"/>
      <c r="U22" s="775"/>
      <c r="V22" s="774"/>
      <c r="W22" s="775"/>
      <c r="X22" s="1812"/>
      <c r="Y22" s="3238"/>
      <c r="Z22" s="1813"/>
      <c r="AA22" s="1810">
        <v>1</v>
      </c>
      <c r="AB22" s="1810">
        <v>1</v>
      </c>
      <c r="AC22" s="2673">
        <v>1</v>
      </c>
    </row>
    <row r="23" spans="1:29" ht="15">
      <c r="A23" s="428"/>
      <c r="B23" s="631" t="s">
        <v>2681</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5"/>
      <c r="Q23" s="1809" t="str">
        <f>B23</f>
        <v>环境质量</v>
      </c>
      <c r="R23" s="774" t="s">
        <v>17</v>
      </c>
      <c r="S23" s="775">
        <f>F23</f>
        <v>100</v>
      </c>
      <c r="T23" s="774" t="s">
        <v>17</v>
      </c>
      <c r="U23" s="775">
        <f>H23</f>
        <v>100</v>
      </c>
      <c r="V23" s="774" t="s">
        <v>17</v>
      </c>
      <c r="W23" s="775">
        <f>J23</f>
        <v>100</v>
      </c>
      <c r="X23" s="1812"/>
      <c r="Y23" s="3238"/>
      <c r="Z23" s="1813" t="str">
        <f>Q23</f>
        <v>环境质量</v>
      </c>
      <c r="AA23" s="1810">
        <f t="shared" si="3"/>
        <v>1</v>
      </c>
      <c r="AB23" s="1810">
        <f t="shared" si="4"/>
        <v>1</v>
      </c>
      <c r="AC23" s="2673">
        <f t="shared" si="5"/>
        <v>1</v>
      </c>
    </row>
    <row r="24" spans="1:29" ht="15">
      <c r="A24" s="428"/>
      <c r="B24" s="633"/>
      <c r="C24" s="2611"/>
      <c r="D24" s="448"/>
      <c r="E24" s="2604"/>
      <c r="F24" s="448"/>
      <c r="G24" s="2605"/>
      <c r="H24" s="448"/>
      <c r="I24" s="2605"/>
      <c r="J24" s="448"/>
      <c r="K24" s="615"/>
      <c r="L24" s="1140"/>
      <c r="M24" s="1131"/>
      <c r="N24" s="1131"/>
      <c r="O24" s="1131"/>
      <c r="P24" s="3245"/>
      <c r="Q24" s="1809"/>
      <c r="R24" s="774"/>
      <c r="S24" s="775"/>
      <c r="T24" s="774"/>
      <c r="U24" s="775"/>
      <c r="V24" s="774"/>
      <c r="W24" s="775"/>
      <c r="X24" s="1812"/>
      <c r="Y24" s="3238"/>
      <c r="Z24" s="1813"/>
      <c r="AA24" s="1810">
        <v>1</v>
      </c>
      <c r="AB24" s="1810">
        <v>1</v>
      </c>
      <c r="AC24" s="2673">
        <v>1</v>
      </c>
    </row>
    <row r="25" spans="1:29" ht="28.8">
      <c r="A25" s="404"/>
      <c r="B25" s="631" t="s">
        <v>2682</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45"/>
      <c r="Q25" s="1809" t="str">
        <f>B25</f>
        <v>毗邻道路的类型与等级</v>
      </c>
      <c r="R25" s="774" t="s">
        <v>17</v>
      </c>
      <c r="S25" s="775">
        <f>F25</f>
        <v>100</v>
      </c>
      <c r="T25" s="774" t="s">
        <v>17</v>
      </c>
      <c r="U25" s="775">
        <f>H25</f>
        <v>100</v>
      </c>
      <c r="V25" s="774" t="s">
        <v>17</v>
      </c>
      <c r="W25" s="775">
        <f>J25</f>
        <v>100</v>
      </c>
      <c r="X25" s="1812"/>
      <c r="Y25" s="3238"/>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45"/>
      <c r="Q26" s="1809"/>
      <c r="R26" s="774"/>
      <c r="S26" s="775"/>
      <c r="T26" s="774"/>
      <c r="U26" s="775"/>
      <c r="V26" s="774"/>
      <c r="W26" s="775"/>
      <c r="X26" s="1812"/>
      <c r="Y26" s="3238"/>
      <c r="Z26" s="1813"/>
      <c r="AA26" s="1810">
        <v>1</v>
      </c>
      <c r="AB26" s="1810">
        <v>1</v>
      </c>
      <c r="AC26" s="2673">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5"/>
      <c r="Q27" s="1809" t="str">
        <f t="shared" ref="Q27:Q47" si="11">B27</f>
        <v>楼层</v>
      </c>
      <c r="R27" s="774" t="s">
        <v>17</v>
      </c>
      <c r="S27" s="775">
        <f>F27</f>
        <v>100</v>
      </c>
      <c r="T27" s="774" t="s">
        <v>17</v>
      </c>
      <c r="U27" s="775">
        <f>H27</f>
        <v>100</v>
      </c>
      <c r="V27" s="774" t="s">
        <v>17</v>
      </c>
      <c r="W27" s="775">
        <f>J27</f>
        <v>100</v>
      </c>
      <c r="X27" s="1812"/>
      <c r="Y27" s="3238"/>
      <c r="Z27" s="1813" t="str">
        <f>Q27</f>
        <v>楼层</v>
      </c>
      <c r="AA27" s="1810">
        <f t="shared" si="3"/>
        <v>1</v>
      </c>
      <c r="AB27" s="1810">
        <f t="shared" si="4"/>
        <v>1</v>
      </c>
      <c r="AC27" s="2673">
        <f t="shared" si="5"/>
        <v>1</v>
      </c>
    </row>
    <row r="28" spans="1:29" s="117" customFormat="1" ht="15">
      <c r="A28" s="431"/>
      <c r="B28" s="631" t="s">
        <v>2683</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45"/>
      <c r="Q28" s="1794" t="str">
        <f t="shared" si="11"/>
        <v>朝向</v>
      </c>
      <c r="R28" s="770" t="s">
        <v>17</v>
      </c>
      <c r="S28" s="771">
        <f>F28</f>
        <v>100</v>
      </c>
      <c r="T28" s="770" t="s">
        <v>17</v>
      </c>
      <c r="U28" s="771">
        <f>H28</f>
        <v>100</v>
      </c>
      <c r="V28" s="770" t="s">
        <v>17</v>
      </c>
      <c r="W28" s="771">
        <f>J28</f>
        <v>100</v>
      </c>
      <c r="X28" s="772"/>
      <c r="Y28" s="3238"/>
      <c r="Z28" s="55" t="str">
        <f>Q28</f>
        <v>朝向</v>
      </c>
      <c r="AA28" s="1810">
        <f>D28/F28</f>
        <v>1</v>
      </c>
      <c r="AB28" s="1810">
        <f>D28/H28</f>
        <v>1</v>
      </c>
      <c r="AC28" s="2673">
        <f>D28/J28</f>
        <v>1</v>
      </c>
    </row>
    <row r="29" spans="1:29" ht="15">
      <c r="A29" s="428"/>
      <c r="B29" s="2677">
        <v>111</v>
      </c>
      <c r="C29" s="2615"/>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45"/>
      <c r="Q29" s="1809">
        <f t="shared" si="11"/>
        <v>111</v>
      </c>
      <c r="R29" s="774" t="s">
        <v>17</v>
      </c>
      <c r="S29" s="775">
        <f t="shared" ref="S29:S47" si="12">F29</f>
        <v>100</v>
      </c>
      <c r="T29" s="774" t="s">
        <v>17</v>
      </c>
      <c r="U29" s="775">
        <f t="shared" ref="U29:U47" si="13">H29</f>
        <v>100</v>
      </c>
      <c r="V29" s="774" t="s">
        <v>17</v>
      </c>
      <c r="W29" s="775">
        <f t="shared" ref="W29:W47" si="14">J29</f>
        <v>100</v>
      </c>
      <c r="X29" s="1812"/>
      <c r="Y29" s="3238"/>
      <c r="Z29" s="1813">
        <f t="shared" ref="Z29:Z47" si="15">Q29</f>
        <v>111</v>
      </c>
      <c r="AA29" s="1810">
        <f t="shared" si="3"/>
        <v>1</v>
      </c>
      <c r="AB29" s="1810">
        <f t="shared" si="4"/>
        <v>1</v>
      </c>
      <c r="AC29" s="2673">
        <f t="shared" si="5"/>
        <v>1</v>
      </c>
    </row>
    <row r="30" spans="1:29" ht="15">
      <c r="A30" s="428"/>
      <c r="B30" s="2677">
        <v>111</v>
      </c>
      <c r="C30" s="2615"/>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45"/>
      <c r="Q30" s="1809">
        <f t="shared" si="11"/>
        <v>111</v>
      </c>
      <c r="R30" s="774" t="s">
        <v>17</v>
      </c>
      <c r="S30" s="775">
        <f t="shared" si="12"/>
        <v>100</v>
      </c>
      <c r="T30" s="774" t="s">
        <v>17</v>
      </c>
      <c r="U30" s="775">
        <f t="shared" si="13"/>
        <v>100</v>
      </c>
      <c r="V30" s="774" t="s">
        <v>17</v>
      </c>
      <c r="W30" s="775">
        <f t="shared" si="14"/>
        <v>100</v>
      </c>
      <c r="X30" s="1812"/>
      <c r="Y30" s="3238"/>
      <c r="Z30" s="1813">
        <f t="shared" si="15"/>
        <v>111</v>
      </c>
      <c r="AA30" s="1810">
        <f t="shared" si="3"/>
        <v>1</v>
      </c>
      <c r="AB30" s="1810">
        <f t="shared" si="4"/>
        <v>1</v>
      </c>
      <c r="AC30" s="2673">
        <f t="shared" si="5"/>
        <v>1</v>
      </c>
    </row>
    <row r="31" spans="1:29" ht="15">
      <c r="A31" s="428"/>
      <c r="B31" s="2677">
        <v>111</v>
      </c>
      <c r="C31" s="2615"/>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45"/>
      <c r="Q31" s="1809">
        <f t="shared" si="11"/>
        <v>111</v>
      </c>
      <c r="R31" s="774" t="s">
        <v>17</v>
      </c>
      <c r="S31" s="775">
        <f t="shared" si="12"/>
        <v>100</v>
      </c>
      <c r="T31" s="774" t="s">
        <v>17</v>
      </c>
      <c r="U31" s="775">
        <f t="shared" si="13"/>
        <v>100</v>
      </c>
      <c r="V31" s="774" t="s">
        <v>17</v>
      </c>
      <c r="W31" s="775">
        <f t="shared" si="14"/>
        <v>100</v>
      </c>
      <c r="X31" s="1812"/>
      <c r="Y31" s="3238"/>
      <c r="Z31" s="1813">
        <f t="shared" si="15"/>
        <v>111</v>
      </c>
      <c r="AA31" s="1810">
        <f t="shared" si="3"/>
        <v>1</v>
      </c>
      <c r="AB31" s="1810">
        <f t="shared" si="4"/>
        <v>1</v>
      </c>
      <c r="AC31" s="2673">
        <f t="shared" si="5"/>
        <v>1</v>
      </c>
    </row>
    <row r="32" spans="1:29" ht="15.6" thickBot="1">
      <c r="A32" s="436"/>
      <c r="B32" s="635">
        <v>111</v>
      </c>
      <c r="C32" s="2616"/>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45"/>
      <c r="Q32" s="1809">
        <f t="shared" si="11"/>
        <v>111</v>
      </c>
      <c r="R32" s="774" t="s">
        <v>17</v>
      </c>
      <c r="S32" s="775">
        <f t="shared" si="12"/>
        <v>100</v>
      </c>
      <c r="T32" s="774" t="s">
        <v>17</v>
      </c>
      <c r="U32" s="775">
        <f t="shared" si="13"/>
        <v>100</v>
      </c>
      <c r="V32" s="774" t="s">
        <v>17</v>
      </c>
      <c r="W32" s="775">
        <f t="shared" si="14"/>
        <v>100</v>
      </c>
      <c r="X32" s="1812"/>
      <c r="Y32" s="3238"/>
      <c r="Z32" s="1813">
        <f t="shared" si="15"/>
        <v>111</v>
      </c>
      <c r="AA32" s="1810">
        <f t="shared" si="3"/>
        <v>1</v>
      </c>
      <c r="AB32" s="1810">
        <f t="shared" si="4"/>
        <v>1</v>
      </c>
      <c r="AC32" s="2673">
        <f t="shared" si="5"/>
        <v>1</v>
      </c>
    </row>
    <row r="33" spans="1:29" ht="15">
      <c r="A33" s="440" t="s">
        <v>2554</v>
      </c>
      <c r="B33" s="71" t="s">
        <v>2684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9" t="s">
        <v>2556</v>
      </c>
      <c r="Q33" s="1809" t="str">
        <f t="shared" si="11"/>
        <v>建筑类型</v>
      </c>
      <c r="R33" s="774" t="s">
        <v>17</v>
      </c>
      <c r="S33" s="775">
        <f t="shared" si="12"/>
        <v>100</v>
      </c>
      <c r="T33" s="774" t="s">
        <v>17</v>
      </c>
      <c r="U33" s="775">
        <f t="shared" si="13"/>
        <v>100</v>
      </c>
      <c r="V33" s="774" t="s">
        <v>17</v>
      </c>
      <c r="W33" s="775">
        <f t="shared" si="14"/>
        <v>100</v>
      </c>
      <c r="X33" s="1812"/>
      <c r="Y33" s="3242" t="s">
        <v>2556</v>
      </c>
      <c r="Z33" s="1813" t="str">
        <f t="shared" si="15"/>
        <v>建筑类型</v>
      </c>
      <c r="AA33" s="1810">
        <f t="shared" si="3"/>
        <v>1</v>
      </c>
      <c r="AB33" s="1810">
        <f t="shared" si="4"/>
        <v>1</v>
      </c>
      <c r="AC33" s="2673">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0"/>
      <c r="Q34" s="776" t="str">
        <f t="shared" si="11"/>
        <v>项目建筑规模</v>
      </c>
      <c r="R34" s="777" t="s">
        <v>17</v>
      </c>
      <c r="S34" s="778" t="e">
        <f t="shared" si="12"/>
        <v>#N/A</v>
      </c>
      <c r="T34" s="777" t="s">
        <v>17</v>
      </c>
      <c r="U34" s="778" t="e">
        <f t="shared" si="13"/>
        <v>#N/A</v>
      </c>
      <c r="V34" s="777" t="s">
        <v>17</v>
      </c>
      <c r="W34" s="778" t="e">
        <f t="shared" si="14"/>
        <v>#N/A</v>
      </c>
      <c r="X34" s="779"/>
      <c r="Y34" s="3242"/>
      <c r="Z34" s="780" t="str">
        <f t="shared" si="15"/>
        <v>项目建筑规模</v>
      </c>
      <c r="AA34" s="1810" t="e">
        <f t="shared" si="3"/>
        <v>#N/A</v>
      </c>
      <c r="AB34" s="1810" t="e">
        <f t="shared" si="4"/>
        <v>#N/A</v>
      </c>
      <c r="AC34" s="2673"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0"/>
      <c r="Q35" s="1809" t="str">
        <f t="shared" si="11"/>
        <v>建筑结构</v>
      </c>
      <c r="R35" s="774" t="s">
        <v>17</v>
      </c>
      <c r="S35" s="775">
        <f t="shared" si="12"/>
        <v>100</v>
      </c>
      <c r="T35" s="774" t="s">
        <v>17</v>
      </c>
      <c r="U35" s="775">
        <f t="shared" si="13"/>
        <v>100</v>
      </c>
      <c r="V35" s="774" t="s">
        <v>17</v>
      </c>
      <c r="W35" s="775">
        <f t="shared" si="14"/>
        <v>100</v>
      </c>
      <c r="X35" s="1812"/>
      <c r="Y35" s="3242"/>
      <c r="Z35" s="1813" t="str">
        <f t="shared" si="15"/>
        <v>建筑结构</v>
      </c>
      <c r="AA35" s="1810">
        <f t="shared" si="3"/>
        <v>1</v>
      </c>
      <c r="AB35" s="1810">
        <f t="shared" si="4"/>
        <v>1</v>
      </c>
      <c r="AC35" s="2673">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0"/>
      <c r="Q36" s="1809" t="str">
        <f t="shared" si="11"/>
        <v>公共部分装修</v>
      </c>
      <c r="R36" s="774" t="s">
        <v>17</v>
      </c>
      <c r="S36" s="775">
        <f t="shared" si="12"/>
        <v>100</v>
      </c>
      <c r="T36" s="774" t="s">
        <v>17</v>
      </c>
      <c r="U36" s="775">
        <f t="shared" si="13"/>
        <v>100</v>
      </c>
      <c r="V36" s="774" t="s">
        <v>17</v>
      </c>
      <c r="W36" s="775">
        <f t="shared" si="14"/>
        <v>100</v>
      </c>
      <c r="X36" s="1812"/>
      <c r="Y36" s="3242"/>
      <c r="Z36" s="1813" t="str">
        <f t="shared" si="15"/>
        <v>公共部分装修</v>
      </c>
      <c r="AA36" s="1810">
        <f t="shared" si="3"/>
        <v>1</v>
      </c>
      <c r="AB36" s="1810">
        <f t="shared" si="4"/>
        <v>1</v>
      </c>
      <c r="AC36" s="2673">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0"/>
      <c r="Q37" s="1809" t="str">
        <f t="shared" si="11"/>
        <v>成新度</v>
      </c>
      <c r="R37" s="774" t="s">
        <v>17</v>
      </c>
      <c r="S37" s="775" t="e">
        <f t="shared" si="12"/>
        <v>#N/A</v>
      </c>
      <c r="T37" s="774" t="s">
        <v>17</v>
      </c>
      <c r="U37" s="775" t="e">
        <f t="shared" si="13"/>
        <v>#N/A</v>
      </c>
      <c r="V37" s="774" t="s">
        <v>17</v>
      </c>
      <c r="W37" s="775" t="e">
        <f t="shared" si="14"/>
        <v>#N/A</v>
      </c>
      <c r="X37" s="1812"/>
      <c r="Y37" s="3242"/>
      <c r="Z37" s="1813" t="str">
        <f t="shared" si="15"/>
        <v>成新度</v>
      </c>
      <c r="AA37" s="1810" t="e">
        <f t="shared" si="3"/>
        <v>#N/A</v>
      </c>
      <c r="AB37" s="1810" t="e">
        <f t="shared" si="4"/>
        <v>#N/A</v>
      </c>
      <c r="AC37" s="2673"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0"/>
      <c r="Q38" s="1794" t="str">
        <f t="shared" si="11"/>
        <v>写字楼等级</v>
      </c>
      <c r="R38" s="770" t="s">
        <v>17</v>
      </c>
      <c r="S38" s="771">
        <f t="shared" si="12"/>
        <v>100</v>
      </c>
      <c r="T38" s="770" t="s">
        <v>17</v>
      </c>
      <c r="U38" s="771">
        <f t="shared" si="13"/>
        <v>100</v>
      </c>
      <c r="V38" s="770" t="s">
        <v>17</v>
      </c>
      <c r="W38" s="771">
        <f t="shared" si="14"/>
        <v>100</v>
      </c>
      <c r="X38" s="772"/>
      <c r="Y38" s="3242"/>
      <c r="Z38" s="55" t="str">
        <f t="shared" si="15"/>
        <v>写字楼等级</v>
      </c>
      <c r="AA38" s="773">
        <f t="shared" si="3"/>
        <v>1</v>
      </c>
      <c r="AB38" s="773">
        <f t="shared" si="4"/>
        <v>1</v>
      </c>
      <c r="AC38" s="2670">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0" t="s">
        <v>2556</v>
      </c>
      <c r="Q39" s="1809" t="str">
        <f t="shared" si="11"/>
        <v>物业管理</v>
      </c>
      <c r="R39" s="774" t="s">
        <v>17</v>
      </c>
      <c r="S39" s="775">
        <f t="shared" si="12"/>
        <v>100</v>
      </c>
      <c r="T39" s="774" t="s">
        <v>17</v>
      </c>
      <c r="U39" s="775">
        <f t="shared" si="13"/>
        <v>100</v>
      </c>
      <c r="V39" s="774" t="s">
        <v>17</v>
      </c>
      <c r="W39" s="775">
        <f t="shared" si="14"/>
        <v>100</v>
      </c>
      <c r="X39" s="1812"/>
      <c r="Y39" s="3242" t="s">
        <v>2556</v>
      </c>
      <c r="Z39" s="1813" t="str">
        <f t="shared" si="15"/>
        <v>物业管理</v>
      </c>
      <c r="AA39" s="1810">
        <f t="shared" si="3"/>
        <v>1</v>
      </c>
      <c r="AB39" s="1810">
        <f t="shared" si="4"/>
        <v>1</v>
      </c>
      <c r="AC39" s="2673">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0"/>
      <c r="Q40" s="1809" t="str">
        <f t="shared" si="11"/>
        <v>市政基础设施</v>
      </c>
      <c r="R40" s="774" t="s">
        <v>17</v>
      </c>
      <c r="S40" s="775">
        <f t="shared" si="12"/>
        <v>100</v>
      </c>
      <c r="T40" s="774" t="s">
        <v>17</v>
      </c>
      <c r="U40" s="775">
        <f t="shared" si="13"/>
        <v>100</v>
      </c>
      <c r="V40" s="774" t="s">
        <v>17</v>
      </c>
      <c r="W40" s="775">
        <f t="shared" si="14"/>
        <v>100</v>
      </c>
      <c r="X40" s="1812"/>
      <c r="Y40" s="3242"/>
      <c r="Z40" s="1813" t="str">
        <f t="shared" si="15"/>
        <v>市政基础设施</v>
      </c>
      <c r="AA40" s="1810">
        <f t="shared" si="3"/>
        <v>1</v>
      </c>
      <c r="AB40" s="1810">
        <f t="shared" si="4"/>
        <v>1</v>
      </c>
      <c r="AC40" s="2673">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0"/>
      <c r="Q41" s="1809" t="str">
        <f t="shared" si="11"/>
        <v>层高</v>
      </c>
      <c r="R41" s="774" t="s">
        <v>17</v>
      </c>
      <c r="S41" s="775">
        <f t="shared" si="12"/>
        <v>100</v>
      </c>
      <c r="T41" s="774" t="s">
        <v>17</v>
      </c>
      <c r="U41" s="775">
        <f t="shared" si="13"/>
        <v>100</v>
      </c>
      <c r="V41" s="774" t="s">
        <v>17</v>
      </c>
      <c r="W41" s="775">
        <f t="shared" si="14"/>
        <v>100</v>
      </c>
      <c r="X41" s="1812"/>
      <c r="Y41" s="3242"/>
      <c r="Z41" s="1813" t="str">
        <f t="shared" si="15"/>
        <v>层高</v>
      </c>
      <c r="AA41" s="1810">
        <f t="shared" si="3"/>
        <v>1</v>
      </c>
      <c r="AB41" s="1810">
        <f t="shared" si="4"/>
        <v>1</v>
      </c>
      <c r="AC41" s="2673">
        <f t="shared" si="5"/>
        <v>1</v>
      </c>
    </row>
    <row r="42" spans="1:29" s="471" customFormat="1" ht="15">
      <c r="A42" s="468"/>
      <c r="B42" s="1811"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0"/>
      <c r="Q42" s="776" t="str">
        <f t="shared" si="11"/>
        <v>单套建筑面积</v>
      </c>
      <c r="R42" s="777" t="s">
        <v>17</v>
      </c>
      <c r="S42" s="778">
        <f t="shared" si="12"/>
        <v>100</v>
      </c>
      <c r="T42" s="777" t="s">
        <v>17</v>
      </c>
      <c r="U42" s="778">
        <f t="shared" si="13"/>
        <v>100</v>
      </c>
      <c r="V42" s="777" t="s">
        <v>17</v>
      </c>
      <c r="W42" s="778">
        <f t="shared" si="14"/>
        <v>100</v>
      </c>
      <c r="X42" s="779"/>
      <c r="Y42" s="3242"/>
      <c r="Z42" s="780" t="str">
        <f t="shared" si="15"/>
        <v>单套建筑面积</v>
      </c>
      <c r="AA42" s="1810">
        <f t="shared" si="3"/>
        <v>1</v>
      </c>
      <c r="AB42" s="1810">
        <f t="shared" si="4"/>
        <v>1</v>
      </c>
      <c r="AC42" s="2673">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0"/>
      <c r="Q43" s="1809" t="str">
        <f t="shared" si="11"/>
        <v>内部装修</v>
      </c>
      <c r="R43" s="774" t="s">
        <v>17</v>
      </c>
      <c r="S43" s="775">
        <f t="shared" si="12"/>
        <v>100</v>
      </c>
      <c r="T43" s="774" t="s">
        <v>17</v>
      </c>
      <c r="U43" s="775">
        <f t="shared" si="13"/>
        <v>100</v>
      </c>
      <c r="V43" s="774" t="s">
        <v>17</v>
      </c>
      <c r="W43" s="775">
        <f t="shared" si="14"/>
        <v>100</v>
      </c>
      <c r="X43" s="1812"/>
      <c r="Y43" s="3242"/>
      <c r="Z43" s="1813" t="str">
        <f t="shared" si="15"/>
        <v>内部装修</v>
      </c>
      <c r="AA43" s="1810">
        <f t="shared" si="3"/>
        <v>1</v>
      </c>
      <c r="AB43" s="1810">
        <f t="shared" si="4"/>
        <v>1</v>
      </c>
      <c r="AC43" s="2673">
        <f t="shared" si="5"/>
        <v>1</v>
      </c>
    </row>
    <row r="44" spans="1:29" ht="28.8">
      <c r="A44" s="472"/>
      <c r="B44" s="422" t="s">
        <v>2567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0"/>
      <c r="Q44" s="1809" t="str">
        <f t="shared" si="11"/>
        <v>内部装修维护情况</v>
      </c>
      <c r="R44" s="774" t="s">
        <v>17</v>
      </c>
      <c r="S44" s="775">
        <f t="shared" si="12"/>
        <v>100</v>
      </c>
      <c r="T44" s="774" t="s">
        <v>17</v>
      </c>
      <c r="U44" s="775">
        <f t="shared" si="13"/>
        <v>100</v>
      </c>
      <c r="V44" s="774" t="s">
        <v>17</v>
      </c>
      <c r="W44" s="775">
        <f t="shared" si="14"/>
        <v>100</v>
      </c>
      <c r="X44" s="1812"/>
      <c r="Y44" s="3242"/>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0"/>
      <c r="Q45" s="1794">
        <f t="shared" si="11"/>
        <v>111</v>
      </c>
      <c r="R45" s="770" t="s">
        <v>17</v>
      </c>
      <c r="S45" s="771">
        <f t="shared" si="12"/>
        <v>100</v>
      </c>
      <c r="T45" s="770" t="s">
        <v>17</v>
      </c>
      <c r="U45" s="771">
        <f t="shared" si="13"/>
        <v>100</v>
      </c>
      <c r="V45" s="770" t="s">
        <v>17</v>
      </c>
      <c r="W45" s="771">
        <f t="shared" si="14"/>
        <v>100</v>
      </c>
      <c r="X45" s="772"/>
      <c r="Y45" s="3242"/>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0"/>
      <c r="Q46" s="1809">
        <f t="shared" si="11"/>
        <v>111</v>
      </c>
      <c r="R46" s="774" t="s">
        <v>17</v>
      </c>
      <c r="S46" s="775">
        <f t="shared" si="12"/>
        <v>100</v>
      </c>
      <c r="T46" s="774" t="s">
        <v>17</v>
      </c>
      <c r="U46" s="775">
        <f t="shared" si="13"/>
        <v>100</v>
      </c>
      <c r="V46" s="774" t="s">
        <v>17</v>
      </c>
      <c r="W46" s="775">
        <f t="shared" si="14"/>
        <v>100</v>
      </c>
      <c r="X46" s="1812"/>
      <c r="Y46" s="3242"/>
      <c r="Z46" s="1813">
        <f t="shared" si="15"/>
        <v>111</v>
      </c>
      <c r="AA46" s="1810">
        <f t="shared" si="3"/>
        <v>1</v>
      </c>
      <c r="AB46" s="1810">
        <f t="shared" si="4"/>
        <v>1</v>
      </c>
      <c r="AC46" s="2673">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1"/>
      <c r="Q47" s="1809">
        <f t="shared" si="11"/>
        <v>111</v>
      </c>
      <c r="R47" s="774" t="s">
        <v>17</v>
      </c>
      <c r="S47" s="775">
        <f t="shared" si="12"/>
        <v>100</v>
      </c>
      <c r="T47" s="774" t="s">
        <v>17</v>
      </c>
      <c r="U47" s="775">
        <f t="shared" si="13"/>
        <v>100</v>
      </c>
      <c r="V47" s="774" t="s">
        <v>17</v>
      </c>
      <c r="W47" s="775">
        <f t="shared" si="14"/>
        <v>100</v>
      </c>
      <c r="X47" s="1812"/>
      <c r="Y47" s="3243"/>
      <c r="Z47" s="1813">
        <f t="shared" si="15"/>
        <v>111</v>
      </c>
      <c r="AA47" s="1810">
        <f t="shared" si="3"/>
        <v>1</v>
      </c>
      <c r="AB47" s="1810">
        <f t="shared" si="4"/>
        <v>1</v>
      </c>
      <c r="AC47" s="2673">
        <f t="shared" si="5"/>
        <v>1</v>
      </c>
    </row>
    <row r="48" spans="1:29" ht="14.4">
      <c r="A48" s="479" t="s">
        <v>2568</v>
      </c>
      <c r="B48" s="480"/>
      <c r="C48" s="1407" t="s">
        <v>1</v>
      </c>
      <c r="D48" s="1408"/>
      <c r="E48" s="1409"/>
      <c r="F48" s="1410"/>
      <c r="G48" s="1411"/>
      <c r="H48" s="1412"/>
      <c r="I48" s="1409"/>
      <c r="J48" s="485"/>
      <c r="K48" s="783"/>
      <c r="L48" s="1143"/>
      <c r="M48" s="1131"/>
      <c r="N48" s="1131"/>
      <c r="O48" s="1131"/>
      <c r="P48" s="3217" t="str">
        <f>A48</f>
        <v>成交单价（元/平方米）</v>
      </c>
      <c r="Q48" s="3235"/>
      <c r="R48" s="3236">
        <f>E48</f>
        <v>0</v>
      </c>
      <c r="S48" s="3236"/>
      <c r="T48" s="3236">
        <f>G48</f>
        <v>0</v>
      </c>
      <c r="U48" s="3236"/>
      <c r="V48" s="3236">
        <f>I48</f>
        <v>0</v>
      </c>
      <c r="W48" s="3236"/>
      <c r="X48" s="446"/>
      <c r="Y48" s="781"/>
      <c r="Z48" s="446"/>
      <c r="AA48" s="446"/>
      <c r="AB48" s="446"/>
      <c r="AC48" s="630"/>
    </row>
    <row r="49" spans="1:29" ht="1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217" t="str">
        <f>A49</f>
        <v>比较价值（元/平方米）</v>
      </c>
      <c r="Q49" s="323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 thickBot="1">
      <c r="A50" s="492" t="s">
        <v>2661</v>
      </c>
      <c r="B50" s="493"/>
      <c r="C50" s="1417" t="e">
        <f>R50</f>
        <v>#DIV/0!</v>
      </c>
      <c r="D50" s="1417"/>
      <c r="E50" s="1417"/>
      <c r="F50" s="1417"/>
      <c r="G50" s="1417"/>
      <c r="H50" s="1417"/>
      <c r="I50" s="1417"/>
      <c r="J50" s="494"/>
      <c r="K50" s="785"/>
      <c r="L50" s="1143"/>
      <c r="M50" s="1131"/>
      <c r="N50" s="1131"/>
      <c r="O50" s="1131"/>
      <c r="P50" s="3266" t="str">
        <f>A50</f>
        <v>估价对象XX用房的比较价值（楼面单价，元/平方米）</v>
      </c>
      <c r="Q50" s="3267"/>
      <c r="R50" s="3268" t="e">
        <f>IF(F1="售价",ROUND(AVERAGE(R49:V49),0),ROUND(AVERAGE(R49:V49),1))</f>
        <v>#DIV/0!</v>
      </c>
      <c r="S50" s="3268"/>
      <c r="T50" s="3268"/>
      <c r="U50" s="3268"/>
      <c r="V50" s="3268"/>
      <c r="W50" s="3268"/>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2.2" thickBot="1">
      <c r="A58" s="763" t="s">
        <v>2665</v>
      </c>
      <c r="B58" s="759"/>
      <c r="C58" s="764"/>
      <c r="D58" s="764"/>
      <c r="E58" s="764"/>
      <c r="F58" s="765"/>
      <c r="G58" s="765"/>
      <c r="H58" s="764"/>
      <c r="I58" s="764"/>
      <c r="J58" s="764"/>
      <c r="K58" s="766"/>
      <c r="L58" s="1161"/>
      <c r="M58" s="1159"/>
      <c r="N58" s="1159"/>
      <c r="O58" s="1159"/>
      <c r="P58" s="2680"/>
      <c r="Q58" s="504"/>
    </row>
    <row r="59" spans="1:29" s="508" customFormat="1" ht="14.4">
      <c r="A59" s="505" t="s">
        <v>2539</v>
      </c>
      <c r="B59" s="506"/>
      <c r="C59" s="1573" t="str">
        <f>YEAR(C7)&amp;"-"&amp;MONTH(C7)</f>
        <v>2019-9</v>
      </c>
      <c r="D59" s="1574">
        <f>EDATE(C59,-1)</f>
        <v>43678</v>
      </c>
      <c r="E59" s="1574">
        <f>EDATE(D59,-1)</f>
        <v>43647</v>
      </c>
      <c r="F59" s="1574">
        <f t="shared" ref="F59:O59" si="16">EDATE(E59,-1)</f>
        <v>43617</v>
      </c>
      <c r="G59" s="1574">
        <f t="shared" si="16"/>
        <v>43586</v>
      </c>
      <c r="H59" s="1574">
        <f t="shared" si="16"/>
        <v>43556</v>
      </c>
      <c r="I59" s="1574">
        <f t="shared" si="16"/>
        <v>43525</v>
      </c>
      <c r="J59" s="1574">
        <f t="shared" si="16"/>
        <v>43497</v>
      </c>
      <c r="K59" s="1574">
        <f t="shared" si="16"/>
        <v>43466</v>
      </c>
      <c r="L59" s="1574">
        <f t="shared" si="16"/>
        <v>43435</v>
      </c>
      <c r="M59" s="1574">
        <f t="shared" si="16"/>
        <v>43405</v>
      </c>
      <c r="N59" s="1574">
        <f t="shared" si="16"/>
        <v>43374</v>
      </c>
      <c r="O59" s="1574">
        <f t="shared" si="16"/>
        <v>43344</v>
      </c>
      <c r="P59" s="1570"/>
    </row>
    <row r="60" spans="1:29" s="117" customFormat="1">
      <c r="A60" s="509"/>
      <c r="B60" s="510"/>
      <c r="C60" s="1572">
        <v>100</v>
      </c>
      <c r="D60" s="512"/>
      <c r="E60" s="512"/>
      <c r="F60" s="512"/>
      <c r="G60" s="512"/>
      <c r="H60" s="512"/>
      <c r="I60" s="512"/>
      <c r="J60" s="512"/>
      <c r="K60" s="512"/>
      <c r="L60" s="512"/>
      <c r="M60" s="513"/>
      <c r="N60" s="512"/>
      <c r="O60" s="513"/>
      <c r="P60" s="2681"/>
    </row>
    <row r="61" spans="1:29" s="117" customFormat="1" ht="15" thickBot="1">
      <c r="A61" s="515" t="s">
        <v>2576</v>
      </c>
      <c r="B61" s="516"/>
      <c r="C61" s="517"/>
      <c r="D61" s="518"/>
      <c r="E61" s="518"/>
      <c r="F61" s="518"/>
      <c r="G61" s="518"/>
      <c r="H61" s="518"/>
      <c r="I61" s="518"/>
      <c r="J61" s="518"/>
      <c r="K61" s="518"/>
      <c r="L61" s="518"/>
      <c r="M61" s="519"/>
      <c r="N61" s="518"/>
      <c r="O61" s="519"/>
      <c r="P61" s="2681"/>
      <c r="Q61" s="504"/>
    </row>
    <row r="62" spans="1:29" s="117" customFormat="1" ht="14.4">
      <c r="A62" s="521" t="s">
        <v>2541</v>
      </c>
      <c r="B62" s="510"/>
      <c r="C62" s="522" t="s">
        <v>2643</v>
      </c>
      <c r="D62" s="523"/>
      <c r="E62" s="523"/>
      <c r="F62" s="523"/>
      <c r="G62" s="523"/>
      <c r="H62" s="523"/>
      <c r="I62" s="523"/>
      <c r="J62" s="523"/>
      <c r="K62" s="523"/>
      <c r="L62" s="524"/>
      <c r="M62" s="525"/>
      <c r="N62" s="1151"/>
      <c r="O62" s="1151"/>
      <c r="P62" s="2682"/>
      <c r="Q62" s="504"/>
    </row>
    <row r="63" spans="1:29" s="117" customFormat="1" ht="14.4" thickBot="1">
      <c r="A63" s="521"/>
      <c r="B63" s="510"/>
      <c r="C63" s="511">
        <v>100</v>
      </c>
      <c r="D63" s="512"/>
      <c r="E63" s="512"/>
      <c r="F63" s="512"/>
      <c r="G63" s="512"/>
      <c r="H63" s="512"/>
      <c r="I63" s="512"/>
      <c r="J63" s="512"/>
      <c r="K63" s="512"/>
      <c r="L63" s="512"/>
      <c r="M63" s="514"/>
      <c r="N63" s="1151"/>
      <c r="O63" s="1151"/>
      <c r="P63" s="2681"/>
      <c r="Q63" s="504"/>
    </row>
    <row r="64" spans="1:29" ht="14.4">
      <c r="A64" s="527" t="s">
        <v>2579</v>
      </c>
      <c r="B64" s="528" t="s">
        <v>2545</v>
      </c>
      <c r="C64" s="529">
        <f>C9</f>
        <v>0</v>
      </c>
      <c r="D64" s="530"/>
      <c r="E64" s="530"/>
      <c r="F64" s="530"/>
      <c r="G64" s="530"/>
      <c r="H64" s="530"/>
      <c r="I64" s="530"/>
      <c r="J64" s="530"/>
      <c r="K64" s="531"/>
      <c r="L64" s="532"/>
      <c r="M64" s="533"/>
      <c r="N64" s="1152"/>
      <c r="O64" s="1152"/>
      <c r="P64" s="2683"/>
      <c r="Q64" s="504"/>
    </row>
    <row r="65" spans="1:17" ht="14.4" thickBot="1">
      <c r="A65" s="534"/>
      <c r="B65" s="535"/>
      <c r="C65" s="536">
        <v>100</v>
      </c>
      <c r="D65" s="536"/>
      <c r="E65" s="536"/>
      <c r="F65" s="536"/>
      <c r="G65" s="536"/>
      <c r="H65" s="536"/>
      <c r="I65" s="536"/>
      <c r="J65" s="536"/>
      <c r="K65" s="536"/>
      <c r="L65" s="536"/>
      <c r="M65" s="537"/>
      <c r="N65" s="1153"/>
      <c r="O65" s="1153"/>
      <c r="P65" s="2683"/>
      <c r="Q65" s="504"/>
    </row>
    <row r="66" spans="1:17" ht="29.4"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c r="A69" s="534"/>
      <c r="B69" s="548"/>
      <c r="C69" s="549"/>
      <c r="D69" s="549"/>
      <c r="E69" s="549"/>
      <c r="F69" s="549"/>
      <c r="G69" s="549"/>
      <c r="H69" s="549"/>
      <c r="I69" s="549"/>
      <c r="J69" s="549"/>
      <c r="K69" s="550"/>
      <c r="L69" s="551"/>
      <c r="M69" s="552"/>
      <c r="N69" s="1152"/>
      <c r="O69" s="1152"/>
      <c r="P69" s="268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4.4" thickTop="1">
      <c r="A71" s="553"/>
      <c r="B71" s="538">
        <f>B12</f>
        <v>111</v>
      </c>
      <c r="C71" s="554"/>
      <c r="D71" s="554"/>
      <c r="E71" s="554"/>
      <c r="F71" s="554"/>
      <c r="G71" s="554"/>
      <c r="H71" s="555"/>
      <c r="I71" s="555"/>
      <c r="J71" s="555"/>
      <c r="K71" s="555"/>
      <c r="L71" s="556"/>
      <c r="M71" s="557"/>
      <c r="N71" s="1154"/>
      <c r="O71" s="1154"/>
      <c r="P71" s="2684"/>
      <c r="Q71" s="559"/>
    </row>
    <row r="72" spans="1:17" s="471" customFormat="1" ht="14.4" thickBot="1">
      <c r="A72" s="553"/>
      <c r="B72" s="543"/>
      <c r="C72" s="560"/>
      <c r="D72" s="536"/>
      <c r="E72" s="536"/>
      <c r="F72" s="536"/>
      <c r="G72" s="536"/>
      <c r="H72" s="536"/>
      <c r="I72" s="536"/>
      <c r="J72" s="536"/>
      <c r="K72" s="536"/>
      <c r="L72" s="536"/>
      <c r="M72" s="537"/>
      <c r="N72" s="1153"/>
      <c r="O72" s="1153"/>
      <c r="P72" s="2684"/>
      <c r="Q72" s="559"/>
    </row>
    <row r="73" spans="1:17" s="471" customFormat="1" ht="14.4" thickTop="1">
      <c r="A73" s="553"/>
      <c r="B73" s="538">
        <f>B13</f>
        <v>111</v>
      </c>
      <c r="C73" s="554"/>
      <c r="D73" s="554"/>
      <c r="E73" s="554"/>
      <c r="F73" s="554"/>
      <c r="G73" s="554"/>
      <c r="H73" s="555"/>
      <c r="I73" s="555"/>
      <c r="J73" s="555"/>
      <c r="K73" s="555"/>
      <c r="L73" s="556"/>
      <c r="M73" s="557"/>
      <c r="N73" s="1154"/>
      <c r="O73" s="1154"/>
      <c r="P73" s="2685"/>
      <c r="Q73" s="561"/>
    </row>
    <row r="74" spans="1:17" s="471" customFormat="1" ht="14.4" thickBot="1">
      <c r="A74" s="553"/>
      <c r="B74" s="543"/>
      <c r="C74" s="560"/>
      <c r="D74" s="560"/>
      <c r="E74" s="560"/>
      <c r="F74" s="560"/>
      <c r="G74" s="560"/>
      <c r="H74" s="562"/>
      <c r="I74" s="562"/>
      <c r="J74" s="562"/>
      <c r="K74" s="562"/>
      <c r="L74" s="562"/>
      <c r="M74" s="563"/>
      <c r="N74" s="1154"/>
      <c r="O74" s="1154"/>
      <c r="P74" s="2684"/>
      <c r="Q74" s="559"/>
    </row>
    <row r="75" spans="1:17" s="471" customFormat="1" ht="14.4" thickTop="1">
      <c r="A75" s="553"/>
      <c r="B75" s="546">
        <f>B14</f>
        <v>111</v>
      </c>
      <c r="C75" s="523"/>
      <c r="D75" s="523"/>
      <c r="E75" s="523"/>
      <c r="F75" s="523"/>
      <c r="G75" s="523"/>
      <c r="H75" s="564"/>
      <c r="I75" s="564"/>
      <c r="J75" s="564"/>
      <c r="K75" s="564"/>
      <c r="L75" s="565"/>
      <c r="M75" s="566"/>
      <c r="N75" s="1154"/>
      <c r="O75" s="1154"/>
      <c r="P75" s="2686"/>
      <c r="Q75" s="559"/>
    </row>
    <row r="76" spans="1:17" s="471" customFormat="1" ht="14.4" thickBot="1">
      <c r="A76" s="568"/>
      <c r="B76" s="569"/>
      <c r="C76" s="570"/>
      <c r="D76" s="570"/>
      <c r="E76" s="570"/>
      <c r="F76" s="570"/>
      <c r="G76" s="570"/>
      <c r="H76" s="571"/>
      <c r="I76" s="571"/>
      <c r="J76" s="571"/>
      <c r="K76" s="571"/>
      <c r="L76" s="571"/>
      <c r="M76" s="572"/>
      <c r="N76" s="1154"/>
      <c r="O76" s="1154"/>
      <c r="P76" s="2684"/>
      <c r="Q76" s="559"/>
    </row>
    <row r="77" spans="1:17" ht="14.4">
      <c r="A77" s="527" t="s">
        <v>2550</v>
      </c>
      <c r="B77" s="528" t="s">
        <v>2688</v>
      </c>
      <c r="C77" s="573" t="s">
        <v>2588</v>
      </c>
      <c r="D77" s="573" t="s">
        <v>2589</v>
      </c>
      <c r="E77" s="573" t="s">
        <v>2590</v>
      </c>
      <c r="F77" s="573" t="s">
        <v>2591</v>
      </c>
      <c r="G77" s="573" t="s">
        <v>2592</v>
      </c>
      <c r="H77" s="529"/>
      <c r="I77" s="529"/>
      <c r="J77" s="529"/>
      <c r="K77" s="574"/>
      <c r="L77" s="575"/>
      <c r="M77" s="576"/>
      <c r="N77" s="1152"/>
      <c r="O77" s="1152"/>
      <c r="P77" s="268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 thickTop="1">
      <c r="A79" s="534"/>
      <c r="B79" s="538" t="s">
        <v>2593</v>
      </c>
      <c r="C79" s="578" t="s">
        <v>2588</v>
      </c>
      <c r="D79" s="578" t="s">
        <v>2589</v>
      </c>
      <c r="E79" s="578" t="s">
        <v>2590</v>
      </c>
      <c r="F79" s="578" t="s">
        <v>2591</v>
      </c>
      <c r="G79" s="578" t="s">
        <v>2592</v>
      </c>
      <c r="H79" s="539"/>
      <c r="I79" s="539"/>
      <c r="J79" s="539"/>
      <c r="K79" s="540"/>
      <c r="L79" s="541"/>
      <c r="M79" s="542"/>
      <c r="N79" s="1152"/>
      <c r="O79" s="1152"/>
      <c r="P79" s="268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 thickTop="1">
      <c r="A81" s="534"/>
      <c r="B81" s="538" t="s">
        <v>2594</v>
      </c>
      <c r="C81" s="578" t="s">
        <v>2588</v>
      </c>
      <c r="D81" s="578" t="s">
        <v>2589</v>
      </c>
      <c r="E81" s="578" t="s">
        <v>2590</v>
      </c>
      <c r="F81" s="578" t="s">
        <v>2591</v>
      </c>
      <c r="G81" s="578" t="s">
        <v>2592</v>
      </c>
      <c r="H81" s="539"/>
      <c r="I81" s="539"/>
      <c r="J81" s="539"/>
      <c r="K81" s="540"/>
      <c r="L81" s="541"/>
      <c r="M81" s="542"/>
      <c r="N81" s="1152"/>
      <c r="O81" s="1152"/>
      <c r="P81" s="268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 thickTop="1">
      <c r="A83" s="534"/>
      <c r="B83" s="546" t="s">
        <v>2680</v>
      </c>
      <c r="C83" s="660" t="s">
        <v>2666</v>
      </c>
      <c r="D83" s="660" t="s">
        <v>2667</v>
      </c>
      <c r="E83" s="660" t="s">
        <v>2668</v>
      </c>
      <c r="F83" s="660" t="s">
        <v>2669</v>
      </c>
      <c r="G83" s="660" t="s">
        <v>2670</v>
      </c>
      <c r="H83" s="539"/>
      <c r="I83" s="539"/>
      <c r="J83" s="539"/>
      <c r="K83" s="539"/>
      <c r="L83" s="539"/>
      <c r="M83" s="1382"/>
      <c r="N83" s="1153"/>
      <c r="O83" s="1153"/>
      <c r="P83" s="268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 thickTop="1">
      <c r="A85" s="534"/>
      <c r="B85" s="538" t="s">
        <v>2689</v>
      </c>
      <c r="C85" s="578" t="s">
        <v>2588</v>
      </c>
      <c r="D85" s="578" t="s">
        <v>2589</v>
      </c>
      <c r="E85" s="578" t="s">
        <v>2590</v>
      </c>
      <c r="F85" s="578" t="s">
        <v>2591</v>
      </c>
      <c r="G85" s="578" t="s">
        <v>2592</v>
      </c>
      <c r="H85" s="539"/>
      <c r="I85" s="539"/>
      <c r="J85" s="539"/>
      <c r="K85" s="540"/>
      <c r="L85" s="541"/>
      <c r="M85" s="542"/>
      <c r="N85" s="1152"/>
      <c r="O85" s="1152"/>
      <c r="P85" s="268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9.4" thickTop="1">
      <c r="A87" s="579"/>
      <c r="B87" s="538" t="s">
        <v>2690</v>
      </c>
      <c r="C87" s="554"/>
      <c r="D87" s="554"/>
      <c r="E87" s="554"/>
      <c r="F87" s="554"/>
      <c r="G87" s="554"/>
      <c r="H87" s="554"/>
      <c r="I87" s="554"/>
      <c r="J87" s="554"/>
      <c r="K87" s="554"/>
      <c r="L87" s="580"/>
      <c r="M87" s="581"/>
      <c r="N87" s="1151"/>
      <c r="O87" s="1151"/>
      <c r="P87" s="268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4.4"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4.4" thickTop="1">
      <c r="A93" s="534"/>
      <c r="B93" s="538">
        <f>B29</f>
        <v>111</v>
      </c>
      <c r="C93" s="554"/>
      <c r="D93" s="554"/>
      <c r="E93" s="554"/>
      <c r="F93" s="554"/>
      <c r="G93" s="554"/>
      <c r="H93" s="554"/>
      <c r="I93" s="554"/>
      <c r="J93" s="554"/>
      <c r="K93" s="554"/>
      <c r="L93" s="580"/>
      <c r="M93" s="581"/>
      <c r="N93" s="1152"/>
      <c r="O93" s="1152"/>
      <c r="P93" s="2683"/>
      <c r="Q93" s="504"/>
    </row>
    <row r="94" spans="1:17" ht="14.4" thickBot="1">
      <c r="A94" s="534"/>
      <c r="B94" s="543"/>
      <c r="C94" s="560"/>
      <c r="D94" s="536"/>
      <c r="E94" s="536"/>
      <c r="F94" s="536"/>
      <c r="G94" s="536"/>
      <c r="H94" s="536"/>
      <c r="I94" s="536"/>
      <c r="J94" s="536"/>
      <c r="K94" s="536"/>
      <c r="L94" s="536"/>
      <c r="M94" s="537"/>
      <c r="N94" s="1153"/>
      <c r="O94" s="1153"/>
      <c r="P94" s="2683"/>
      <c r="Q94" s="504"/>
    </row>
    <row r="95" spans="1:17" ht="14.4" thickTop="1">
      <c r="A95" s="534"/>
      <c r="B95" s="538">
        <f>B30</f>
        <v>111</v>
      </c>
      <c r="C95" s="554"/>
      <c r="D95" s="554"/>
      <c r="E95" s="554"/>
      <c r="F95" s="554"/>
      <c r="G95" s="583"/>
      <c r="H95" s="583"/>
      <c r="I95" s="583"/>
      <c r="J95" s="583"/>
      <c r="K95" s="584"/>
      <c r="L95" s="585"/>
      <c r="M95" s="586"/>
      <c r="N95" s="1152"/>
      <c r="O95" s="1152"/>
      <c r="P95" s="2683"/>
      <c r="Q95" s="504"/>
    </row>
    <row r="96" spans="1:17" ht="14.4" thickBot="1">
      <c r="A96" s="534"/>
      <c r="B96" s="543"/>
      <c r="C96" s="560"/>
      <c r="D96" s="560"/>
      <c r="E96" s="560"/>
      <c r="F96" s="560"/>
      <c r="G96" s="536"/>
      <c r="H96" s="536"/>
      <c r="I96" s="536"/>
      <c r="J96" s="536"/>
      <c r="K96" s="536"/>
      <c r="L96" s="536"/>
      <c r="M96" s="537"/>
      <c r="N96" s="1153"/>
      <c r="O96" s="1153"/>
      <c r="P96" s="2683"/>
      <c r="Q96" s="504"/>
    </row>
    <row r="97" spans="1:17" ht="14.4" thickTop="1">
      <c r="A97" s="534"/>
      <c r="B97" s="538">
        <f>B31</f>
        <v>111</v>
      </c>
      <c r="C97" s="554"/>
      <c r="D97" s="554"/>
      <c r="E97" s="554"/>
      <c r="F97" s="554"/>
      <c r="G97" s="583"/>
      <c r="H97" s="583"/>
      <c r="I97" s="583"/>
      <c r="J97" s="583"/>
      <c r="K97" s="584"/>
      <c r="L97" s="585"/>
      <c r="M97" s="586"/>
      <c r="N97" s="1152"/>
      <c r="O97" s="1152"/>
      <c r="P97" s="2683"/>
      <c r="Q97" s="504"/>
    </row>
    <row r="98" spans="1:17" ht="14.4" thickBot="1">
      <c r="A98" s="534"/>
      <c r="B98" s="543"/>
      <c r="C98" s="560"/>
      <c r="D98" s="536"/>
      <c r="E98" s="536"/>
      <c r="F98" s="536"/>
      <c r="G98" s="536"/>
      <c r="H98" s="536"/>
      <c r="I98" s="536"/>
      <c r="J98" s="536"/>
      <c r="K98" s="536"/>
      <c r="L98" s="536"/>
      <c r="M98" s="537"/>
      <c r="N98" s="1153"/>
      <c r="O98" s="1153"/>
      <c r="P98" s="2683"/>
      <c r="Q98" s="504"/>
    </row>
    <row r="99" spans="1:17" ht="14.4" thickTop="1">
      <c r="A99" s="534"/>
      <c r="B99" s="546">
        <f>B32</f>
        <v>111</v>
      </c>
      <c r="C99" s="523"/>
      <c r="D99" s="523"/>
      <c r="E99" s="523"/>
      <c r="F99" s="523"/>
      <c r="G99" s="587"/>
      <c r="H99" s="587"/>
      <c r="I99" s="587"/>
      <c r="J99" s="587"/>
      <c r="K99" s="588"/>
      <c r="L99" s="589"/>
      <c r="M99" s="590"/>
      <c r="N99" s="1152"/>
      <c r="O99" s="1152"/>
      <c r="P99" s="2683"/>
      <c r="Q99" s="504"/>
    </row>
    <row r="100" spans="1:17" ht="14.4" thickBot="1">
      <c r="A100" s="2635"/>
      <c r="B100" s="569"/>
      <c r="C100" s="570"/>
      <c r="D100" s="570"/>
      <c r="E100" s="570"/>
      <c r="F100" s="570"/>
      <c r="G100" s="591"/>
      <c r="H100" s="591"/>
      <c r="I100" s="591"/>
      <c r="J100" s="591"/>
      <c r="K100" s="591"/>
      <c r="L100" s="591"/>
      <c r="M100" s="592"/>
      <c r="N100" s="1153"/>
      <c r="O100" s="1153"/>
      <c r="P100" s="2683"/>
      <c r="Q100" s="504"/>
    </row>
    <row r="101" spans="1:17" ht="14.4">
      <c r="A101" s="527" t="s">
        <v>2554</v>
      </c>
      <c r="B101" s="528" t="s">
        <v>2603</v>
      </c>
      <c r="C101" s="530"/>
      <c r="D101" s="530"/>
      <c r="E101" s="530"/>
      <c r="F101" s="530"/>
      <c r="G101" s="530"/>
      <c r="H101" s="530"/>
      <c r="I101" s="530"/>
      <c r="J101" s="530"/>
      <c r="K101" s="531"/>
      <c r="L101" s="532"/>
      <c r="M101" s="533"/>
      <c r="N101" s="1152"/>
      <c r="O101" s="1152"/>
      <c r="P101" s="268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2605</v>
      </c>
      <c r="C106" s="554"/>
      <c r="D106" s="554"/>
      <c r="E106" s="583"/>
      <c r="F106" s="583"/>
      <c r="G106" s="583"/>
      <c r="H106" s="583"/>
      <c r="I106" s="583"/>
      <c r="J106" s="583"/>
      <c r="K106" s="584"/>
      <c r="L106" s="585"/>
      <c r="M106" s="586"/>
      <c r="N106" s="1152"/>
      <c r="O106" s="1152"/>
      <c r="P106" s="268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2607</v>
      </c>
      <c r="C108" s="554"/>
      <c r="D108" s="554"/>
      <c r="E108" s="554"/>
      <c r="F108" s="583"/>
      <c r="G108" s="583"/>
      <c r="H108" s="583"/>
      <c r="I108" s="583"/>
      <c r="J108" s="583"/>
      <c r="K108" s="584"/>
      <c r="L108" s="585"/>
      <c r="M108" s="586"/>
      <c r="N108" s="1152"/>
      <c r="O108" s="1152"/>
      <c r="P108" s="268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2608</v>
      </c>
      <c r="C115" s="554"/>
      <c r="D115" s="554"/>
      <c r="E115" s="583"/>
      <c r="F115" s="583"/>
      <c r="G115" s="583"/>
      <c r="H115" s="583"/>
      <c r="I115" s="583"/>
      <c r="J115" s="583"/>
      <c r="K115" s="584"/>
      <c r="L115" s="585"/>
      <c r="M115" s="586"/>
      <c r="N115" s="1152"/>
      <c r="O115" s="1152"/>
      <c r="P115" s="268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2609</v>
      </c>
      <c r="C117" s="554"/>
      <c r="D117" s="554"/>
      <c r="E117" s="554"/>
      <c r="F117" s="554"/>
      <c r="G117" s="554"/>
      <c r="H117" s="583"/>
      <c r="I117" s="583"/>
      <c r="J117" s="583"/>
      <c r="K117" s="584"/>
      <c r="L117" s="585"/>
      <c r="M117" s="586"/>
      <c r="N117" s="1152"/>
      <c r="O117" s="1152"/>
      <c r="P117" s="268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2692</v>
      </c>
      <c r="C119" s="583"/>
      <c r="D119" s="583"/>
      <c r="E119" s="583"/>
      <c r="F119" s="583"/>
      <c r="G119" s="583"/>
      <c r="H119" s="583"/>
      <c r="I119" s="583"/>
      <c r="J119" s="583"/>
      <c r="K119" s="583"/>
      <c r="L119" s="2688"/>
      <c r="M119" s="2689"/>
      <c r="N119" s="1153"/>
      <c r="O119" s="1153"/>
      <c r="P119" s="269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4"/>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2611</v>
      </c>
      <c r="C123" s="554"/>
      <c r="D123" s="554"/>
      <c r="E123" s="554"/>
      <c r="F123" s="583"/>
      <c r="G123" s="583"/>
      <c r="H123" s="583"/>
      <c r="I123" s="583"/>
      <c r="J123" s="583"/>
      <c r="K123" s="584"/>
      <c r="L123" s="585"/>
      <c r="M123" s="586"/>
      <c r="N123" s="1152"/>
      <c r="O123" s="1152"/>
      <c r="P123" s="268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29.4"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4"/>
      <c r="Q128" s="559"/>
    </row>
    <row r="129" spans="1:17" ht="14.4" thickTop="1">
      <c r="A129" s="599"/>
      <c r="B129" s="538">
        <f>B46</f>
        <v>111</v>
      </c>
      <c r="C129" s="554"/>
      <c r="D129" s="554"/>
      <c r="E129" s="554"/>
      <c r="F129" s="554"/>
      <c r="G129" s="583"/>
      <c r="H129" s="583"/>
      <c r="I129" s="583"/>
      <c r="J129" s="583"/>
      <c r="K129" s="584"/>
      <c r="L129" s="585"/>
      <c r="M129" s="586"/>
      <c r="N129" s="1152"/>
      <c r="O129" s="1152"/>
      <c r="P129" s="2683"/>
      <c r="Q129" s="504"/>
    </row>
    <row r="130" spans="1:17" ht="14.4" thickBot="1">
      <c r="A130" s="534"/>
      <c r="B130" s="543"/>
      <c r="C130" s="560"/>
      <c r="D130" s="560"/>
      <c r="E130" s="560"/>
      <c r="F130" s="560"/>
      <c r="G130" s="536"/>
      <c r="H130" s="536"/>
      <c r="I130" s="536"/>
      <c r="J130" s="536"/>
      <c r="K130" s="536"/>
      <c r="L130" s="536"/>
      <c r="M130" s="537"/>
      <c r="N130" s="1153"/>
      <c r="O130" s="1153"/>
      <c r="P130" s="2683"/>
      <c r="Q130" s="504"/>
    </row>
    <row r="131" spans="1:17" ht="14.4" thickTop="1">
      <c r="A131" s="599"/>
      <c r="B131" s="546">
        <f>B47</f>
        <v>111</v>
      </c>
      <c r="C131" s="523"/>
      <c r="D131" s="523"/>
      <c r="E131" s="523"/>
      <c r="F131" s="523"/>
      <c r="G131" s="587"/>
      <c r="H131" s="587"/>
      <c r="I131" s="587"/>
      <c r="J131" s="587"/>
      <c r="K131" s="523"/>
      <c r="L131" s="524"/>
      <c r="M131" s="590"/>
      <c r="N131" s="1152"/>
      <c r="O131" s="1152"/>
      <c r="P131" s="2683"/>
      <c r="Q131" s="504"/>
    </row>
    <row r="132" spans="1:17" ht="14.4"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2519</v>
      </c>
      <c r="B1" s="2668" t="s">
        <v>2693</v>
      </c>
      <c r="C1" s="1619" t="s">
        <v>2521</v>
      </c>
      <c r="D1" s="1620"/>
      <c r="E1" s="1629"/>
      <c r="F1" s="2584"/>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8" t="e">
        <f ca="1">IF(C2="——",ROUND(C43*D3/10000,0),ROUND(C43*D3/10000,0)-D2)</f>
        <v>#DIV/0!</v>
      </c>
      <c r="C2" s="2586"/>
      <c r="D2" s="1124" t="e">
        <f ca="1">SUMIF(INDIRECT("'"&amp;F2&amp;"'"&amp;"!A:A"),"承租人权益价值",INDIRECT("'"&amp;F2&amp;"'"&amp;"!c:c"))</f>
        <v>#REF!</v>
      </c>
      <c r="E2" s="2587" t="s">
        <v>2322</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2635</v>
      </c>
      <c r="D3" s="399">
        <f>IF(D1="",'数据-汇总表'!E3,SUMIF('数据-汇总表'!$C19:$C33,D1,'数据-汇总表'!$E19:$E33))</f>
        <v>41667.353900000002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2636</v>
      </c>
      <c r="B4" s="402"/>
      <c r="C4" s="3218" t="s">
        <v>2637</v>
      </c>
      <c r="D4" s="3219"/>
      <c r="E4" s="3220" t="s">
        <v>2638</v>
      </c>
      <c r="F4" s="3221"/>
      <c r="G4" s="3218" t="s">
        <v>2639</v>
      </c>
      <c r="H4" s="3219"/>
      <c r="I4" s="3218" t="s">
        <v>2640</v>
      </c>
      <c r="J4" s="3219"/>
      <c r="K4" s="610" t="s">
        <v>2641</v>
      </c>
      <c r="L4" s="1130"/>
      <c r="M4" s="1131"/>
      <c r="N4" s="1131"/>
      <c r="O4" s="1131"/>
      <c r="P4" s="3222" t="s">
        <v>2642</v>
      </c>
      <c r="Q4" s="3223"/>
      <c r="R4" s="3207" t="s">
        <v>2638</v>
      </c>
      <c r="S4" s="3208"/>
      <c r="T4" s="3207" t="s">
        <v>2639</v>
      </c>
      <c r="U4" s="3208"/>
      <c r="V4" s="3230" t="s">
        <v>2640</v>
      </c>
      <c r="W4" s="3230"/>
      <c r="X4" s="1812"/>
      <c r="Y4" s="3207" t="s">
        <v>2642</v>
      </c>
      <c r="Z4" s="3208"/>
      <c r="AA4" s="3202" t="s">
        <v>2638</v>
      </c>
      <c r="AB4" s="3203" t="s">
        <v>2639</v>
      </c>
      <c r="AC4" s="3202" t="s">
        <v>2640</v>
      </c>
    </row>
    <row r="5" spans="1:29">
      <c r="A5" s="404"/>
      <c r="B5" s="405"/>
      <c r="C5" s="3248" t="s">
        <v>2533</v>
      </c>
      <c r="D5" s="3249"/>
      <c r="E5" s="3246" t="s">
        <v>2534</v>
      </c>
      <c r="F5" s="3247"/>
      <c r="G5" s="3248" t="s">
        <v>2535</v>
      </c>
      <c r="H5" s="3249"/>
      <c r="I5" s="3248" t="s">
        <v>2536</v>
      </c>
      <c r="J5" s="3249"/>
      <c r="K5" s="610"/>
      <c r="L5" s="1130"/>
      <c r="M5" s="1131"/>
      <c r="N5" s="1131"/>
      <c r="O5" s="1131"/>
      <c r="P5" s="3224"/>
      <c r="Q5" s="3225"/>
      <c r="R5" s="3209"/>
      <c r="S5" s="3210"/>
      <c r="T5" s="3209"/>
      <c r="U5" s="3210"/>
      <c r="V5" s="3230"/>
      <c r="W5" s="3230"/>
      <c r="X5" s="1812"/>
      <c r="Y5" s="3209"/>
      <c r="Z5" s="3210"/>
      <c r="AA5" s="3203"/>
      <c r="AB5" s="3203"/>
      <c r="AC5" s="3203"/>
    </row>
    <row r="6" spans="1:29" ht="15" thickBot="1">
      <c r="A6" s="406"/>
      <c r="B6" s="407"/>
      <c r="C6" s="3250" t="s">
        <v>2537</v>
      </c>
      <c r="D6" s="3251"/>
      <c r="E6" s="3252" t="s">
        <v>2537</v>
      </c>
      <c r="F6" s="3253"/>
      <c r="G6" s="3250" t="s">
        <v>2537</v>
      </c>
      <c r="H6" s="3251"/>
      <c r="I6" s="3250" t="s">
        <v>2537</v>
      </c>
      <c r="J6" s="3251"/>
      <c r="K6" s="610" t="s">
        <v>2538</v>
      </c>
      <c r="L6" s="1130"/>
      <c r="M6" s="1131"/>
      <c r="N6" s="1131"/>
      <c r="O6" s="1131"/>
      <c r="P6" s="3226"/>
      <c r="Q6" s="3227"/>
      <c r="R6" s="3209"/>
      <c r="S6" s="3210"/>
      <c r="T6" s="3228"/>
      <c r="U6" s="3229"/>
      <c r="V6" s="3230"/>
      <c r="W6" s="3230"/>
      <c r="X6" s="1812"/>
      <c r="Y6" s="3228"/>
      <c r="Z6" s="3229"/>
      <c r="AA6" s="3204"/>
      <c r="AB6" s="3204"/>
      <c r="AC6" s="3204"/>
    </row>
    <row r="7" spans="1:29" s="117" customFormat="1" ht="15" thickBot="1">
      <c r="A7" s="408" t="s">
        <v>2539</v>
      </c>
      <c r="B7" s="409"/>
      <c r="C7" s="410">
        <f>'数据-取费表'!B2</f>
        <v>43712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5" t="s">
        <v>2540</v>
      </c>
      <c r="Q7" s="3231"/>
      <c r="R7" s="770" t="s">
        <v>17</v>
      </c>
      <c r="S7" s="771">
        <f t="shared" ref="S7:S15" si="0">F7</f>
        <v>0</v>
      </c>
      <c r="T7" s="770" t="s">
        <v>17</v>
      </c>
      <c r="U7" s="771">
        <f t="shared" ref="U7:U15" si="1">H7</f>
        <v>0</v>
      </c>
      <c r="V7" s="770" t="s">
        <v>17</v>
      </c>
      <c r="W7" s="771">
        <f t="shared" ref="W7:W15" si="2">J7</f>
        <v>0</v>
      </c>
      <c r="X7" s="772"/>
      <c r="Y7" s="3205" t="s">
        <v>2540</v>
      </c>
      <c r="Z7" s="3206"/>
      <c r="AA7" s="773" t="e">
        <f>D7/F7</f>
        <v>#DIV/0!</v>
      </c>
      <c r="AB7" s="773" t="e">
        <f>D7/H7</f>
        <v>#DIV/0!</v>
      </c>
      <c r="AC7" s="773" t="e">
        <f>D7/J7</f>
        <v>#DIV/0!</v>
      </c>
    </row>
    <row r="8" spans="1:29" s="117" customFormat="1" ht="1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5" t="s">
        <v>2543</v>
      </c>
      <c r="Q8" s="3206"/>
      <c r="R8" s="770" t="s">
        <v>17</v>
      </c>
      <c r="S8" s="771">
        <f t="shared" si="0"/>
        <v>0</v>
      </c>
      <c r="T8" s="770" t="s">
        <v>17</v>
      </c>
      <c r="U8" s="771">
        <f t="shared" si="1"/>
        <v>0</v>
      </c>
      <c r="V8" s="770" t="s">
        <v>17</v>
      </c>
      <c r="W8" s="771">
        <f t="shared" si="2"/>
        <v>0</v>
      </c>
      <c r="X8" s="772"/>
      <c r="Y8" s="3205" t="s">
        <v>2543</v>
      </c>
      <c r="Z8" s="3206"/>
      <c r="AA8" s="773" t="e">
        <f t="shared" ref="AA8:AA40" si="3">D8/F8</f>
        <v>#DIV/0!</v>
      </c>
      <c r="AB8" s="773" t="e">
        <f t="shared" ref="AB8:AB40" si="4">D8/H8</f>
        <v>#DIV/0!</v>
      </c>
      <c r="AC8" s="773" t="e">
        <f t="shared" ref="AC8:AC40" si="5">D8/J8</f>
        <v>#DIV/0!</v>
      </c>
    </row>
    <row r="9" spans="1:29" s="117" customFormat="1" ht="14.4">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5" t="s">
        <v>2546</v>
      </c>
      <c r="Q9" s="1794" t="str">
        <f t="shared" ref="Q9:Q15" si="6">B9</f>
        <v>用途</v>
      </c>
      <c r="R9" s="770" t="s">
        <v>17</v>
      </c>
      <c r="S9" s="771">
        <f t="shared" si="0"/>
        <v>100</v>
      </c>
      <c r="T9" s="770" t="s">
        <v>17</v>
      </c>
      <c r="U9" s="771">
        <f t="shared" si="1"/>
        <v>100</v>
      </c>
      <c r="V9" s="770" t="s">
        <v>17</v>
      </c>
      <c r="W9" s="771">
        <f t="shared" si="2"/>
        <v>100</v>
      </c>
      <c r="X9" s="772"/>
      <c r="Y9" s="3052"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5"/>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5"/>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35"/>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35"/>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35"/>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69">
      <c r="A15" s="440" t="s">
        <v>2550</v>
      </c>
      <c r="B15" s="69" t="s">
        <v>2694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7" t="s">
        <v>2551</v>
      </c>
      <c r="Q15" s="1809" t="str">
        <f t="shared" si="6"/>
        <v>产业集聚程度</v>
      </c>
      <c r="R15" s="774" t="s">
        <v>17</v>
      </c>
      <c r="S15" s="775">
        <f t="shared" si="0"/>
        <v>100</v>
      </c>
      <c r="T15" s="774" t="s">
        <v>17</v>
      </c>
      <c r="U15" s="775">
        <f t="shared" si="1"/>
        <v>100</v>
      </c>
      <c r="V15" s="774" t="s">
        <v>17</v>
      </c>
      <c r="W15" s="775">
        <f t="shared" si="2"/>
        <v>100</v>
      </c>
      <c r="X15" s="1812"/>
      <c r="Y15" s="3237" t="s">
        <v>2551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38"/>
      <c r="Q16" s="1809"/>
      <c r="R16" s="774"/>
      <c r="S16" s="775"/>
      <c r="T16" s="774"/>
      <c r="U16" s="775"/>
      <c r="V16" s="774"/>
      <c r="W16" s="775"/>
      <c r="X16" s="1812"/>
      <c r="Y16" s="3238"/>
      <c r="Z16" s="1813"/>
      <c r="AA16" s="1810">
        <v>1</v>
      </c>
      <c r="AB16" s="1810">
        <v>1</v>
      </c>
      <c r="AC16" s="1810">
        <v>1</v>
      </c>
    </row>
    <row r="17" spans="1:29" ht="96.6">
      <c r="A17" s="428"/>
      <c r="B17" s="451" t="s">
        <v>2092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8"/>
      <c r="Q17" s="1809" t="str">
        <f>B17</f>
        <v>交通便捷度</v>
      </c>
      <c r="R17" s="774" t="s">
        <v>17</v>
      </c>
      <c r="S17" s="775">
        <f>F17</f>
        <v>100</v>
      </c>
      <c r="T17" s="774" t="s">
        <v>17</v>
      </c>
      <c r="U17" s="775">
        <f>H17</f>
        <v>100</v>
      </c>
      <c r="V17" s="774" t="s">
        <v>17</v>
      </c>
      <c r="W17" s="775">
        <f>J17</f>
        <v>100</v>
      </c>
      <c r="X17" s="1812"/>
      <c r="Y17" s="323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38"/>
      <c r="Q18" s="1809"/>
      <c r="R18" s="774"/>
      <c r="S18" s="775"/>
      <c r="T18" s="774"/>
      <c r="U18" s="775"/>
      <c r="V18" s="774"/>
      <c r="W18" s="775"/>
      <c r="X18" s="1812"/>
      <c r="Y18" s="3238"/>
      <c r="Z18" s="1813"/>
      <c r="AA18" s="1810">
        <v>1</v>
      </c>
      <c r="AB18" s="1810">
        <v>1</v>
      </c>
      <c r="AC18" s="1810">
        <v>1</v>
      </c>
    </row>
    <row r="19" spans="1:29" ht="41.4">
      <c r="A19" s="428"/>
      <c r="B19" s="451" t="s">
        <v>2679</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8"/>
      <c r="Q19" s="1809" t="str">
        <f>B19</f>
        <v>公共配套设施</v>
      </c>
      <c r="R19" s="774" t="s">
        <v>17</v>
      </c>
      <c r="S19" s="775">
        <f>F19</f>
        <v>100</v>
      </c>
      <c r="T19" s="774" t="s">
        <v>17</v>
      </c>
      <c r="U19" s="775">
        <f>H19</f>
        <v>100</v>
      </c>
      <c r="V19" s="774" t="s">
        <v>17</v>
      </c>
      <c r="W19" s="775">
        <f>J19</f>
        <v>100</v>
      </c>
      <c r="X19" s="1812"/>
      <c r="Y19" s="323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38"/>
      <c r="Q20" s="1809"/>
      <c r="R20" s="774"/>
      <c r="S20" s="775"/>
      <c r="T20" s="774"/>
      <c r="U20" s="775"/>
      <c r="V20" s="774"/>
      <c r="W20" s="775"/>
      <c r="X20" s="1812"/>
      <c r="Y20" s="3238"/>
      <c r="Z20" s="1813"/>
      <c r="AA20" s="1810">
        <v>1</v>
      </c>
      <c r="AB20" s="1810">
        <v>1</v>
      </c>
      <c r="AC20" s="1810">
        <v>1</v>
      </c>
    </row>
    <row r="21" spans="1:29" ht="41.4">
      <c r="A21" s="428"/>
      <c r="B21" s="1384" t="s">
        <v>2680</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8"/>
      <c r="Q21" s="1809" t="str">
        <f>B21</f>
        <v>基础设施水平</v>
      </c>
      <c r="R21" s="774" t="s">
        <v>17</v>
      </c>
      <c r="S21" s="775">
        <f>F21</f>
        <v>100</v>
      </c>
      <c r="T21" s="774" t="s">
        <v>17</v>
      </c>
      <c r="U21" s="775">
        <f>H21</f>
        <v>100</v>
      </c>
      <c r="V21" s="774" t="s">
        <v>17</v>
      </c>
      <c r="W21" s="775">
        <f>J21</f>
        <v>100</v>
      </c>
      <c r="X21" s="1812"/>
      <c r="Y21" s="323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38"/>
      <c r="Q22" s="1809"/>
      <c r="R22" s="774"/>
      <c r="S22" s="775"/>
      <c r="T22" s="774"/>
      <c r="U22" s="775"/>
      <c r="V22" s="774"/>
      <c r="W22" s="775"/>
      <c r="X22" s="1812"/>
      <c r="Y22" s="3238"/>
      <c r="Z22" s="1813"/>
      <c r="AA22" s="1810">
        <v>1</v>
      </c>
      <c r="AB22" s="1810">
        <v>1</v>
      </c>
      <c r="AC22" s="1810">
        <v>1</v>
      </c>
    </row>
    <row r="23" spans="1:29" ht="82.8">
      <c r="A23" s="428"/>
      <c r="B23" s="451" t="s">
        <v>2681</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8"/>
      <c r="Q23" s="1809" t="str">
        <f>B23</f>
        <v>环境质量</v>
      </c>
      <c r="R23" s="774" t="s">
        <v>17</v>
      </c>
      <c r="S23" s="775">
        <f>F23</f>
        <v>100</v>
      </c>
      <c r="T23" s="774" t="s">
        <v>17</v>
      </c>
      <c r="U23" s="775">
        <f>H23</f>
        <v>100</v>
      </c>
      <c r="V23" s="774" t="s">
        <v>17</v>
      </c>
      <c r="W23" s="775">
        <f>J23</f>
        <v>100</v>
      </c>
      <c r="X23" s="1812"/>
      <c r="Y23" s="3238"/>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38"/>
      <c r="Q24" s="1809"/>
      <c r="R24" s="774"/>
      <c r="S24" s="775"/>
      <c r="T24" s="774"/>
      <c r="U24" s="775"/>
      <c r="V24" s="774"/>
      <c r="W24" s="775"/>
      <c r="X24" s="1812"/>
      <c r="Y24" s="3238"/>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8"/>
      <c r="Q25" s="1809">
        <f>B25</f>
        <v>111</v>
      </c>
      <c r="R25" s="774" t="s">
        <v>17</v>
      </c>
      <c r="S25" s="775">
        <f>F25</f>
        <v>100</v>
      </c>
      <c r="T25" s="774" t="s">
        <v>17</v>
      </c>
      <c r="U25" s="775">
        <f>H25</f>
        <v>100</v>
      </c>
      <c r="V25" s="774" t="s">
        <v>17</v>
      </c>
      <c r="W25" s="775">
        <f>J25</f>
        <v>100</v>
      </c>
      <c r="X25" s="1812"/>
      <c r="Y25" s="3238"/>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8"/>
      <c r="Q26" s="1809">
        <f t="shared" ref="Q26:Q40" si="11">B26</f>
        <v>111</v>
      </c>
      <c r="R26" s="774" t="s">
        <v>17</v>
      </c>
      <c r="S26" s="775">
        <f>F26</f>
        <v>100</v>
      </c>
      <c r="T26" s="774" t="s">
        <v>17</v>
      </c>
      <c r="U26" s="775">
        <f>H26</f>
        <v>100</v>
      </c>
      <c r="V26" s="774" t="s">
        <v>17</v>
      </c>
      <c r="W26" s="775">
        <f>J26</f>
        <v>100</v>
      </c>
      <c r="X26" s="1812"/>
      <c r="Y26" s="3238"/>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8"/>
      <c r="Q27" s="1794">
        <f t="shared" si="11"/>
        <v>111</v>
      </c>
      <c r="R27" s="770" t="s">
        <v>17</v>
      </c>
      <c r="S27" s="771">
        <f>F27</f>
        <v>100</v>
      </c>
      <c r="T27" s="770" t="s">
        <v>17</v>
      </c>
      <c r="U27" s="771">
        <f>H27</f>
        <v>100</v>
      </c>
      <c r="V27" s="770" t="s">
        <v>17</v>
      </c>
      <c r="W27" s="771">
        <f>J27</f>
        <v>100</v>
      </c>
      <c r="X27" s="772"/>
      <c r="Y27" s="3238"/>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8"/>
      <c r="Q28" s="1809">
        <f t="shared" si="11"/>
        <v>111</v>
      </c>
      <c r="R28" s="774" t="s">
        <v>17</v>
      </c>
      <c r="S28" s="775">
        <f t="shared" ref="S28:S40" si="12">F28</f>
        <v>100</v>
      </c>
      <c r="T28" s="774" t="s">
        <v>17</v>
      </c>
      <c r="U28" s="775">
        <f t="shared" ref="U28:U40" si="13">H28</f>
        <v>100</v>
      </c>
      <c r="V28" s="774" t="s">
        <v>17</v>
      </c>
      <c r="W28" s="775">
        <f t="shared" ref="W28:W40" si="14">J28</f>
        <v>100</v>
      </c>
      <c r="X28" s="1812"/>
      <c r="Y28" s="3238"/>
      <c r="Z28" s="1813">
        <f t="shared" ref="Z28:Z40" si="15">Q28</f>
        <v>111</v>
      </c>
      <c r="AA28" s="1810">
        <f t="shared" si="3"/>
        <v>1</v>
      </c>
      <c r="AB28" s="1810">
        <f t="shared" si="4"/>
        <v>1</v>
      </c>
      <c r="AC28" s="1810">
        <f t="shared" si="5"/>
        <v>1</v>
      </c>
    </row>
    <row r="29" spans="1:29" ht="30">
      <c r="A29" s="466" t="s">
        <v>2554</v>
      </c>
      <c r="B29" s="71" t="s">
        <v>2684</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69" t="s">
        <v>2556</v>
      </c>
      <c r="Q29" s="1809" t="str">
        <f t="shared" si="11"/>
        <v>建筑类型</v>
      </c>
      <c r="R29" s="774" t="s">
        <v>17</v>
      </c>
      <c r="S29" s="775">
        <f t="shared" si="12"/>
        <v>100</v>
      </c>
      <c r="T29" s="774" t="s">
        <v>17</v>
      </c>
      <c r="U29" s="775">
        <f t="shared" si="13"/>
        <v>100</v>
      </c>
      <c r="V29" s="774" t="s">
        <v>17</v>
      </c>
      <c r="W29" s="775">
        <f t="shared" si="14"/>
        <v>100</v>
      </c>
      <c r="X29" s="1812"/>
      <c r="Y29" s="3242" t="s">
        <v>2556</v>
      </c>
      <c r="Z29" s="1813" t="str">
        <f t="shared" si="15"/>
        <v>建筑类型</v>
      </c>
      <c r="AA29" s="1810">
        <f t="shared" si="3"/>
        <v>1</v>
      </c>
      <c r="AB29" s="1810">
        <f t="shared" si="4"/>
        <v>1</v>
      </c>
      <c r="AC29" s="1810">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2"/>
      <c r="Q30" s="776" t="str">
        <f t="shared" si="11"/>
        <v>项目建筑规模</v>
      </c>
      <c r="R30" s="777" t="s">
        <v>17</v>
      </c>
      <c r="S30" s="778" t="e">
        <f t="shared" si="12"/>
        <v>#N/A</v>
      </c>
      <c r="T30" s="777" t="s">
        <v>17</v>
      </c>
      <c r="U30" s="778" t="e">
        <f t="shared" si="13"/>
        <v>#N/A</v>
      </c>
      <c r="V30" s="777" t="s">
        <v>17</v>
      </c>
      <c r="W30" s="778" t="e">
        <f t="shared" si="14"/>
        <v>#N/A</v>
      </c>
      <c r="X30" s="779"/>
      <c r="Y30" s="3242"/>
      <c r="Z30" s="780" t="str">
        <f t="shared" si="15"/>
        <v>项目建筑规模</v>
      </c>
      <c r="AA30" s="1810" t="e">
        <f t="shared" si="3"/>
        <v>#N/A</v>
      </c>
      <c r="AB30" s="1810" t="e">
        <f t="shared" si="4"/>
        <v>#N/A</v>
      </c>
      <c r="AC30" s="1810"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2"/>
      <c r="Q31" s="1809" t="str">
        <f t="shared" si="11"/>
        <v>建筑结构</v>
      </c>
      <c r="R31" s="774" t="s">
        <v>17</v>
      </c>
      <c r="S31" s="775">
        <f t="shared" si="12"/>
        <v>100</v>
      </c>
      <c r="T31" s="774" t="s">
        <v>17</v>
      </c>
      <c r="U31" s="775">
        <f t="shared" si="13"/>
        <v>100</v>
      </c>
      <c r="V31" s="774" t="s">
        <v>17</v>
      </c>
      <c r="W31" s="775">
        <f t="shared" si="14"/>
        <v>100</v>
      </c>
      <c r="X31" s="1812"/>
      <c r="Y31" s="3242"/>
      <c r="Z31" s="1813" t="str">
        <f t="shared" si="15"/>
        <v>建筑结构</v>
      </c>
      <c r="AA31" s="1810">
        <f t="shared" si="3"/>
        <v>1</v>
      </c>
      <c r="AB31" s="1810">
        <f t="shared" si="4"/>
        <v>1</v>
      </c>
      <c r="AC31" s="1810">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2"/>
      <c r="Q32" s="1809" t="str">
        <f t="shared" si="11"/>
        <v>公共部分装修</v>
      </c>
      <c r="R32" s="774" t="s">
        <v>17</v>
      </c>
      <c r="S32" s="775">
        <f t="shared" si="12"/>
        <v>100</v>
      </c>
      <c r="T32" s="774" t="s">
        <v>17</v>
      </c>
      <c r="U32" s="775">
        <f t="shared" si="13"/>
        <v>100</v>
      </c>
      <c r="V32" s="774" t="s">
        <v>17</v>
      </c>
      <c r="W32" s="775">
        <f t="shared" si="14"/>
        <v>100</v>
      </c>
      <c r="X32" s="1812"/>
      <c r="Y32" s="3242"/>
      <c r="Z32" s="1813" t="str">
        <f t="shared" si="15"/>
        <v>公共部分装修</v>
      </c>
      <c r="AA32" s="1810">
        <f t="shared" si="3"/>
        <v>1</v>
      </c>
      <c r="AB32" s="1810">
        <f t="shared" si="4"/>
        <v>1</v>
      </c>
      <c r="AC32" s="1810">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2"/>
      <c r="Q33" s="1809" t="str">
        <f t="shared" si="11"/>
        <v>成新度</v>
      </c>
      <c r="R33" s="774" t="s">
        <v>17</v>
      </c>
      <c r="S33" s="775" t="e">
        <f t="shared" si="12"/>
        <v>#N/A</v>
      </c>
      <c r="T33" s="774" t="s">
        <v>17</v>
      </c>
      <c r="U33" s="775" t="e">
        <f t="shared" si="13"/>
        <v>#N/A</v>
      </c>
      <c r="V33" s="774" t="s">
        <v>17</v>
      </c>
      <c r="W33" s="775" t="e">
        <f t="shared" si="14"/>
        <v>#N/A</v>
      </c>
      <c r="X33" s="1812"/>
      <c r="Y33" s="3242"/>
      <c r="Z33" s="1813" t="str">
        <f t="shared" si="15"/>
        <v>成新度</v>
      </c>
      <c r="AA33" s="1810" t="e">
        <f t="shared" si="3"/>
        <v>#N/A</v>
      </c>
      <c r="AB33" s="1810" t="e">
        <f t="shared" si="4"/>
        <v>#N/A</v>
      </c>
      <c r="AC33" s="1810"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2"/>
      <c r="Q34" s="1794" t="str">
        <f t="shared" si="11"/>
        <v>物业管理</v>
      </c>
      <c r="R34" s="770" t="s">
        <v>17</v>
      </c>
      <c r="S34" s="771">
        <f t="shared" si="12"/>
        <v>100</v>
      </c>
      <c r="T34" s="770" t="s">
        <v>17</v>
      </c>
      <c r="U34" s="771">
        <f t="shared" si="13"/>
        <v>100</v>
      </c>
      <c r="V34" s="770" t="s">
        <v>17</v>
      </c>
      <c r="W34" s="771">
        <f t="shared" si="14"/>
        <v>100</v>
      </c>
      <c r="X34" s="772"/>
      <c r="Y34" s="3242"/>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2" t="s">
        <v>2556</v>
      </c>
      <c r="Q35" s="1809" t="str">
        <f t="shared" si="11"/>
        <v>市政基础设施</v>
      </c>
      <c r="R35" s="774" t="s">
        <v>17</v>
      </c>
      <c r="S35" s="775">
        <f t="shared" si="12"/>
        <v>100</v>
      </c>
      <c r="T35" s="774" t="s">
        <v>17</v>
      </c>
      <c r="U35" s="775">
        <f t="shared" si="13"/>
        <v>100</v>
      </c>
      <c r="V35" s="774" t="s">
        <v>17</v>
      </c>
      <c r="W35" s="775">
        <f t="shared" si="14"/>
        <v>100</v>
      </c>
      <c r="X35" s="1812"/>
      <c r="Y35" s="3242" t="s">
        <v>2556</v>
      </c>
      <c r="Z35" s="1813" t="str">
        <f t="shared" si="15"/>
        <v>市政基础设施</v>
      </c>
      <c r="AA35" s="1810">
        <f t="shared" si="3"/>
        <v>1</v>
      </c>
      <c r="AB35" s="1810">
        <f t="shared" si="4"/>
        <v>1</v>
      </c>
      <c r="AC35" s="1810">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2"/>
      <c r="Q36" s="1809" t="str">
        <f t="shared" si="11"/>
        <v>内部装修</v>
      </c>
      <c r="R36" s="774" t="s">
        <v>17</v>
      </c>
      <c r="S36" s="775">
        <f t="shared" si="12"/>
        <v>100</v>
      </c>
      <c r="T36" s="774" t="s">
        <v>17</v>
      </c>
      <c r="U36" s="775">
        <f t="shared" si="13"/>
        <v>100</v>
      </c>
      <c r="V36" s="774" t="s">
        <v>17</v>
      </c>
      <c r="W36" s="775">
        <f t="shared" si="14"/>
        <v>100</v>
      </c>
      <c r="X36" s="1812"/>
      <c r="Y36" s="3242"/>
      <c r="Z36" s="1813" t="str">
        <f t="shared" si="15"/>
        <v>内部装修</v>
      </c>
      <c r="AA36" s="1810">
        <f t="shared" si="3"/>
        <v>1</v>
      </c>
      <c r="AB36" s="1810">
        <f t="shared" si="4"/>
        <v>1</v>
      </c>
      <c r="AC36" s="1810">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2"/>
      <c r="Q37" s="1809" t="str">
        <f t="shared" si="11"/>
        <v>内部装修状况</v>
      </c>
      <c r="R37" s="774" t="s">
        <v>17</v>
      </c>
      <c r="S37" s="775">
        <f t="shared" si="12"/>
        <v>100</v>
      </c>
      <c r="T37" s="774" t="s">
        <v>17</v>
      </c>
      <c r="U37" s="775">
        <f t="shared" si="13"/>
        <v>100</v>
      </c>
      <c r="V37" s="774" t="s">
        <v>17</v>
      </c>
      <c r="W37" s="775">
        <f t="shared" si="14"/>
        <v>100</v>
      </c>
      <c r="X37" s="1812"/>
      <c r="Y37" s="324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2"/>
      <c r="Q38" s="776">
        <f t="shared" si="11"/>
        <v>111</v>
      </c>
      <c r="R38" s="777" t="s">
        <v>17</v>
      </c>
      <c r="S38" s="778">
        <f t="shared" si="12"/>
        <v>100</v>
      </c>
      <c r="T38" s="777" t="s">
        <v>17</v>
      </c>
      <c r="U38" s="778">
        <f t="shared" si="13"/>
        <v>100</v>
      </c>
      <c r="V38" s="777" t="s">
        <v>17</v>
      </c>
      <c r="W38" s="778">
        <f t="shared" si="14"/>
        <v>100</v>
      </c>
      <c r="X38" s="779"/>
      <c r="Y38" s="324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2"/>
      <c r="Q39" s="1809">
        <f t="shared" si="11"/>
        <v>111</v>
      </c>
      <c r="R39" s="774" t="s">
        <v>17</v>
      </c>
      <c r="S39" s="775">
        <f t="shared" si="12"/>
        <v>100</v>
      </c>
      <c r="T39" s="774" t="s">
        <v>17</v>
      </c>
      <c r="U39" s="775">
        <f t="shared" si="13"/>
        <v>100</v>
      </c>
      <c r="V39" s="774" t="s">
        <v>17</v>
      </c>
      <c r="W39" s="775">
        <f t="shared" si="14"/>
        <v>100</v>
      </c>
      <c r="X39" s="1812"/>
      <c r="Y39" s="3242"/>
      <c r="Z39" s="1813">
        <f t="shared" si="15"/>
        <v>111</v>
      </c>
      <c r="AA39" s="1810">
        <f t="shared" si="3"/>
        <v>1</v>
      </c>
      <c r="AB39" s="1810">
        <f t="shared" si="4"/>
        <v>1</v>
      </c>
      <c r="AC39" s="1810">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3"/>
      <c r="Q40" s="1809">
        <f t="shared" si="11"/>
        <v>111</v>
      </c>
      <c r="R40" s="774" t="s">
        <v>17</v>
      </c>
      <c r="S40" s="775">
        <f t="shared" si="12"/>
        <v>100</v>
      </c>
      <c r="T40" s="774" t="s">
        <v>17</v>
      </c>
      <c r="U40" s="775">
        <f t="shared" si="13"/>
        <v>100</v>
      </c>
      <c r="V40" s="774" t="s">
        <v>17</v>
      </c>
      <c r="W40" s="775">
        <f t="shared" si="14"/>
        <v>100</v>
      </c>
      <c r="X40" s="1812"/>
      <c r="Y40" s="3243"/>
      <c r="Z40" s="1813">
        <f t="shared" si="15"/>
        <v>111</v>
      </c>
      <c r="AA40" s="1810">
        <f t="shared" si="3"/>
        <v>1</v>
      </c>
      <c r="AB40" s="1810">
        <f t="shared" si="4"/>
        <v>1</v>
      </c>
      <c r="AC40" s="1810">
        <f t="shared" si="5"/>
        <v>1</v>
      </c>
    </row>
    <row r="41" spans="1:29" ht="14.4">
      <c r="A41" s="479" t="s">
        <v>2568</v>
      </c>
      <c r="B41" s="480"/>
      <c r="C41" s="1407" t="s">
        <v>1</v>
      </c>
      <c r="D41" s="1408"/>
      <c r="E41" s="1409"/>
      <c r="F41" s="1410"/>
      <c r="G41" s="1411"/>
      <c r="H41" s="1412"/>
      <c r="I41" s="1409"/>
      <c r="J41" s="1412"/>
      <c r="K41" s="783"/>
      <c r="L41" s="1143"/>
      <c r="M41" s="1144"/>
      <c r="N41" s="1131"/>
      <c r="O41" s="1144"/>
      <c r="P41" s="3235" t="str">
        <f>A41</f>
        <v>成交单价（元/平方米）</v>
      </c>
      <c r="Q41" s="3235"/>
      <c r="R41" s="3236">
        <f>E41</f>
        <v>0</v>
      </c>
      <c r="S41" s="3236"/>
      <c r="T41" s="3236">
        <f>G41</f>
        <v>0</v>
      </c>
      <c r="U41" s="3236"/>
      <c r="V41" s="3236">
        <f>I41</f>
        <v>0</v>
      </c>
      <c r="W41" s="3236"/>
      <c r="X41" s="759"/>
      <c r="Y41" s="781"/>
      <c r="Z41" s="759"/>
      <c r="AA41" s="759"/>
      <c r="AB41" s="759"/>
      <c r="AC41" s="759"/>
    </row>
    <row r="42" spans="1:29" ht="1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 thickBot="1">
      <c r="A43" s="492" t="s">
        <v>2661</v>
      </c>
      <c r="B43" s="493"/>
      <c r="C43" s="1417" t="e">
        <f>R43</f>
        <v>#DIV/0!</v>
      </c>
      <c r="D43" s="1417"/>
      <c r="E43" s="1417"/>
      <c r="F43" s="1417"/>
      <c r="G43" s="1417"/>
      <c r="H43" s="1417"/>
      <c r="I43" s="1417"/>
      <c r="J43" s="1417"/>
      <c r="K43" s="785"/>
      <c r="L43" s="1143"/>
      <c r="M43" s="1144"/>
      <c r="N43" s="1144"/>
      <c r="O43" s="1144"/>
      <c r="P43" s="3232" t="str">
        <f>A43</f>
        <v>估价对象XX用房的比较价值（楼面单价，元/平方米）</v>
      </c>
      <c r="Q43" s="3233"/>
      <c r="R43" s="3234" t="e">
        <f>IF(F1="售价",ROUND(AVERAGE(R42:V42),0),ROUND(AVERAGE(R42:V42),1))</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2665</v>
      </c>
      <c r="B51" s="759"/>
      <c r="C51" s="764"/>
      <c r="D51" s="764"/>
      <c r="E51" s="764"/>
      <c r="F51" s="765"/>
      <c r="G51" s="765"/>
      <c r="H51" s="764"/>
      <c r="I51" s="764"/>
      <c r="J51" s="764"/>
      <c r="K51" s="1160"/>
      <c r="L51" s="1161"/>
      <c r="M51" s="1159"/>
      <c r="N51" s="1159"/>
      <c r="O51" s="1159"/>
      <c r="P51" s="503"/>
      <c r="Q51" s="504"/>
    </row>
    <row r="52" spans="1:17" s="508" customFormat="1" ht="14.4">
      <c r="A52" s="505" t="s">
        <v>2539</v>
      </c>
      <c r="B52" s="506"/>
      <c r="C52" s="1573" t="str">
        <f>YEAR(C7)&amp;"-"&amp;MONTH(C7)</f>
        <v>2019-9</v>
      </c>
      <c r="D52" s="1574">
        <f>EDATE(C52,-1)</f>
        <v>43678</v>
      </c>
      <c r="E52" s="1574">
        <f t="shared" ref="E52:O52" si="16">EDATE(D52,-1)</f>
        <v>43647</v>
      </c>
      <c r="F52" s="1574">
        <f t="shared" si="16"/>
        <v>43617</v>
      </c>
      <c r="G52" s="1574">
        <f t="shared" si="16"/>
        <v>43586</v>
      </c>
      <c r="H52" s="1574">
        <f t="shared" si="16"/>
        <v>43556</v>
      </c>
      <c r="I52" s="1574">
        <f t="shared" si="16"/>
        <v>43525</v>
      </c>
      <c r="J52" s="1574">
        <f t="shared" si="16"/>
        <v>43497</v>
      </c>
      <c r="K52" s="1574">
        <f t="shared" si="16"/>
        <v>43466</v>
      </c>
      <c r="L52" s="1574">
        <f t="shared" si="16"/>
        <v>43435</v>
      </c>
      <c r="M52" s="1574">
        <f t="shared" si="16"/>
        <v>43405</v>
      </c>
      <c r="N52" s="1574">
        <f t="shared" si="16"/>
        <v>43374</v>
      </c>
      <c r="O52" s="1574">
        <f t="shared" si="16"/>
        <v>43344</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2576</v>
      </c>
      <c r="B54" s="516"/>
      <c r="C54" s="517"/>
      <c r="D54" s="518"/>
      <c r="E54" s="518"/>
      <c r="F54" s="518"/>
      <c r="G54" s="518"/>
      <c r="H54" s="518"/>
      <c r="I54" s="518"/>
      <c r="J54" s="518"/>
      <c r="K54" s="518"/>
      <c r="L54" s="518"/>
      <c r="M54" s="519"/>
      <c r="N54" s="518"/>
      <c r="O54" s="520"/>
      <c r="P54" s="504"/>
      <c r="Q54" s="504"/>
    </row>
    <row r="55" spans="1:17" s="117" customFormat="1" ht="14.4">
      <c r="A55" s="521" t="s">
        <v>2541</v>
      </c>
      <c r="B55" s="510"/>
      <c r="C55" s="522" t="s">
        <v>2643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2579</v>
      </c>
      <c r="B57" s="528" t="s">
        <v>2545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5"/>
      <c r="B87" s="569"/>
      <c r="C87" s="570"/>
      <c r="D87" s="570"/>
      <c r="E87" s="570"/>
      <c r="F87" s="570"/>
      <c r="G87" s="591"/>
      <c r="H87" s="591"/>
      <c r="I87" s="591"/>
      <c r="J87" s="591"/>
      <c r="K87" s="591"/>
      <c r="L87" s="591"/>
      <c r="M87" s="592"/>
      <c r="N87" s="1153"/>
      <c r="O87" s="1153"/>
      <c r="P87" s="45"/>
      <c r="Q87" s="504"/>
    </row>
    <row r="88" spans="1:17" ht="14.4">
      <c r="A88" s="527" t="s">
        <v>2554</v>
      </c>
      <c r="B88" s="528" t="s">
        <v>2603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2698</v>
      </c>
      <c r="B1" s="1618"/>
      <c r="C1" s="1619" t="s">
        <v>2521</v>
      </c>
      <c r="D1" s="1620"/>
      <c r="E1" s="1621"/>
      <c r="F1" s="2584"/>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2321</v>
      </c>
      <c r="B2" s="1418" t="e">
        <f ca="1">IF(C2="——",IF(B37="元/平方米",ROUND(C39*D3/10000,0),ROUND(F3*C39/10000,0)),IF(B37="元/平方米",ROUND(C39*D3/10000,0),ROUND(F3*C39/10000,0))-D2)</f>
        <v>#DIV/0!</v>
      </c>
      <c r="C2" s="2586"/>
      <c r="D2" s="1124" t="e">
        <f ca="1">SUMIF(INDIRECT("'"&amp;F2&amp;"'"&amp;"!A:A"),"承租人权益价值",INDIRECT("'"&amp;F2&amp;"'"&amp;"!c:c"))</f>
        <v>#REF!</v>
      </c>
      <c r="E2" s="2587" t="s">
        <v>2322</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2636</v>
      </c>
      <c r="B4" s="402"/>
      <c r="C4" s="3218" t="s">
        <v>2637</v>
      </c>
      <c r="D4" s="3219"/>
      <c r="E4" s="3220" t="s">
        <v>2638</v>
      </c>
      <c r="F4" s="3221"/>
      <c r="G4" s="3218" t="s">
        <v>2639</v>
      </c>
      <c r="H4" s="3219"/>
      <c r="I4" s="3218" t="s">
        <v>2640</v>
      </c>
      <c r="J4" s="3219"/>
      <c r="K4" s="610" t="s">
        <v>2641</v>
      </c>
      <c r="L4" s="1130"/>
      <c r="M4" s="1131"/>
      <c r="N4" s="1131"/>
      <c r="O4" s="1131"/>
      <c r="P4" s="3222" t="s">
        <v>2642</v>
      </c>
      <c r="Q4" s="3223"/>
      <c r="R4" s="3207" t="s">
        <v>2638</v>
      </c>
      <c r="S4" s="3208"/>
      <c r="T4" s="3207" t="s">
        <v>2639</v>
      </c>
      <c r="U4" s="3208"/>
      <c r="V4" s="3230" t="s">
        <v>2640</v>
      </c>
      <c r="W4" s="3230"/>
      <c r="X4" s="1812"/>
      <c r="Y4" s="3207" t="s">
        <v>2642</v>
      </c>
      <c r="Z4" s="3208"/>
      <c r="AA4" s="3202" t="s">
        <v>2638</v>
      </c>
      <c r="AB4" s="3203" t="s">
        <v>2639</v>
      </c>
      <c r="AC4" s="3202" t="s">
        <v>2640</v>
      </c>
    </row>
    <row r="5" spans="1:29">
      <c r="A5" s="404"/>
      <c r="B5" s="405"/>
      <c r="C5" s="3248" t="s">
        <v>2533</v>
      </c>
      <c r="D5" s="3249"/>
      <c r="E5" s="3246" t="s">
        <v>2534</v>
      </c>
      <c r="F5" s="3247"/>
      <c r="G5" s="3248" t="s">
        <v>2535</v>
      </c>
      <c r="H5" s="3249"/>
      <c r="I5" s="3248" t="s">
        <v>2536</v>
      </c>
      <c r="J5" s="3249"/>
      <c r="K5" s="610"/>
      <c r="L5" s="1130"/>
      <c r="M5" s="1131"/>
      <c r="N5" s="1131"/>
      <c r="O5" s="1131"/>
      <c r="P5" s="3224"/>
      <c r="Q5" s="3225"/>
      <c r="R5" s="3209"/>
      <c r="S5" s="3210"/>
      <c r="T5" s="3209"/>
      <c r="U5" s="3210"/>
      <c r="V5" s="3230"/>
      <c r="W5" s="3230"/>
      <c r="X5" s="1812"/>
      <c r="Y5" s="3209"/>
      <c r="Z5" s="3210"/>
      <c r="AA5" s="3203"/>
      <c r="AB5" s="3203"/>
      <c r="AC5" s="3203"/>
    </row>
    <row r="6" spans="1:29" ht="15" thickBot="1">
      <c r="A6" s="406"/>
      <c r="B6" s="407"/>
      <c r="C6" s="3250" t="s">
        <v>2537</v>
      </c>
      <c r="D6" s="3251"/>
      <c r="E6" s="3252" t="s">
        <v>2537</v>
      </c>
      <c r="F6" s="3253"/>
      <c r="G6" s="3250" t="s">
        <v>2537</v>
      </c>
      <c r="H6" s="3251"/>
      <c r="I6" s="3250" t="s">
        <v>2537</v>
      </c>
      <c r="J6" s="3251"/>
      <c r="K6" s="610" t="s">
        <v>2538</v>
      </c>
      <c r="L6" s="1130"/>
      <c r="M6" s="1131"/>
      <c r="N6" s="1131"/>
      <c r="O6" s="1131"/>
      <c r="P6" s="3226"/>
      <c r="Q6" s="3227"/>
      <c r="R6" s="3209"/>
      <c r="S6" s="3210"/>
      <c r="T6" s="3228"/>
      <c r="U6" s="3229"/>
      <c r="V6" s="3230"/>
      <c r="W6" s="3230"/>
      <c r="X6" s="1812"/>
      <c r="Y6" s="3228"/>
      <c r="Z6" s="3229"/>
      <c r="AA6" s="3204"/>
      <c r="AB6" s="3204"/>
      <c r="AC6" s="3204"/>
    </row>
    <row r="7" spans="1:29" s="117" customFormat="1" ht="15" thickBot="1">
      <c r="A7" s="408" t="s">
        <v>2539</v>
      </c>
      <c r="B7" s="409"/>
      <c r="C7" s="410">
        <f>'数据-取费表'!B2</f>
        <v>43712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5" t="s">
        <v>2540</v>
      </c>
      <c r="Q7" s="3231"/>
      <c r="R7" s="770" t="s">
        <v>17</v>
      </c>
      <c r="S7" s="771">
        <f t="shared" ref="S7:S14" si="0">F7</f>
        <v>0</v>
      </c>
      <c r="T7" s="770" t="s">
        <v>17</v>
      </c>
      <c r="U7" s="771">
        <f t="shared" ref="U7:U14" si="1">H7</f>
        <v>0</v>
      </c>
      <c r="V7" s="770" t="s">
        <v>17</v>
      </c>
      <c r="W7" s="771">
        <f t="shared" ref="W7:W14" si="2">J7</f>
        <v>0</v>
      </c>
      <c r="X7" s="772"/>
      <c r="Y7" s="3205" t="s">
        <v>2540</v>
      </c>
      <c r="Z7" s="3206"/>
      <c r="AA7" s="773" t="e">
        <f>D7/F7</f>
        <v>#DIV/0!</v>
      </c>
      <c r="AB7" s="773" t="e">
        <f>D7/H7</f>
        <v>#DIV/0!</v>
      </c>
      <c r="AC7" s="773" t="e">
        <f>D7/J7</f>
        <v>#DIV/0!</v>
      </c>
    </row>
    <row r="8" spans="1:29" s="117" customFormat="1" ht="1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5" t="s">
        <v>2543</v>
      </c>
      <c r="Q8" s="3206"/>
      <c r="R8" s="770" t="s">
        <v>17</v>
      </c>
      <c r="S8" s="771">
        <f t="shared" si="0"/>
        <v>0</v>
      </c>
      <c r="T8" s="770" t="s">
        <v>17</v>
      </c>
      <c r="U8" s="771">
        <f t="shared" si="1"/>
        <v>0</v>
      </c>
      <c r="V8" s="770" t="s">
        <v>17</v>
      </c>
      <c r="W8" s="771">
        <f t="shared" si="2"/>
        <v>0</v>
      </c>
      <c r="X8" s="772"/>
      <c r="Y8" s="3205" t="s">
        <v>2543</v>
      </c>
      <c r="Z8" s="3206"/>
      <c r="AA8" s="773" t="e">
        <f t="shared" ref="AA8:AA36" si="3">D8/F8</f>
        <v>#DIV/0!</v>
      </c>
      <c r="AB8" s="773" t="e">
        <f t="shared" ref="AB8:AB36" si="4">D8/H8</f>
        <v>#DIV/0!</v>
      </c>
      <c r="AC8" s="773" t="e">
        <f t="shared" ref="AC8:AC36" si="5">D8/J8</f>
        <v>#DIV/0!</v>
      </c>
    </row>
    <row r="9" spans="1:29" s="117" customFormat="1" ht="14.4">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5" t="s">
        <v>2546</v>
      </c>
      <c r="Q9" s="1794" t="str">
        <f t="shared" ref="Q9:Q14" si="6">B9</f>
        <v>用途</v>
      </c>
      <c r="R9" s="770" t="s">
        <v>17</v>
      </c>
      <c r="S9" s="771">
        <f t="shared" si="0"/>
        <v>100</v>
      </c>
      <c r="T9" s="770" t="s">
        <v>17</v>
      </c>
      <c r="U9" s="771">
        <f t="shared" si="1"/>
        <v>100</v>
      </c>
      <c r="V9" s="770" t="s">
        <v>17</v>
      </c>
      <c r="W9" s="771">
        <f t="shared" si="2"/>
        <v>100</v>
      </c>
      <c r="X9" s="772"/>
      <c r="Y9" s="3052" t="s">
        <v>2547</v>
      </c>
      <c r="Z9" s="55" t="str">
        <f t="shared" ref="Z9:Z14" si="7">Q9</f>
        <v>用途</v>
      </c>
      <c r="AA9" s="773">
        <f t="shared" si="3"/>
        <v>1</v>
      </c>
      <c r="AB9" s="773">
        <f t="shared" si="4"/>
        <v>1</v>
      </c>
      <c r="AC9" s="773">
        <f t="shared" si="5"/>
        <v>1</v>
      </c>
    </row>
    <row r="10" spans="1:29" s="427" customFormat="1" ht="28.8">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5"/>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5"/>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5"/>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5"/>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96.6">
      <c r="A14" s="401" t="s">
        <v>2550</v>
      </c>
      <c r="B14" s="629" t="s">
        <v>2700</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7" t="s">
        <v>2551</v>
      </c>
      <c r="Q14" s="1809" t="str">
        <f t="shared" si="6"/>
        <v>交通便捷度</v>
      </c>
      <c r="R14" s="774" t="s">
        <v>17</v>
      </c>
      <c r="S14" s="775">
        <f t="shared" si="0"/>
        <v>100</v>
      </c>
      <c r="T14" s="774" t="s">
        <v>17</v>
      </c>
      <c r="U14" s="775">
        <f t="shared" si="1"/>
        <v>100</v>
      </c>
      <c r="V14" s="774" t="s">
        <v>17</v>
      </c>
      <c r="W14" s="775">
        <f t="shared" si="2"/>
        <v>100</v>
      </c>
      <c r="X14" s="1812"/>
      <c r="Y14" s="3237" t="s">
        <v>2551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38"/>
      <c r="Q15" s="1809"/>
      <c r="R15" s="774"/>
      <c r="S15" s="775"/>
      <c r="T15" s="774"/>
      <c r="U15" s="775"/>
      <c r="V15" s="774"/>
      <c r="W15" s="775"/>
      <c r="X15" s="1812"/>
      <c r="Y15" s="3238"/>
      <c r="Z15" s="1813"/>
      <c r="AA15" s="1810">
        <v>1</v>
      </c>
      <c r="AB15" s="1810">
        <v>1</v>
      </c>
      <c r="AC15" s="1810">
        <v>1</v>
      </c>
    </row>
    <row r="16" spans="1:29" ht="55.2">
      <c r="A16" s="404"/>
      <c r="B16" s="631" t="s">
        <v>2679</v>
      </c>
      <c r="C16" s="2607"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8"/>
      <c r="Q16" s="1809" t="str">
        <f>B16</f>
        <v>公共配套设施</v>
      </c>
      <c r="R16" s="774" t="s">
        <v>17</v>
      </c>
      <c r="S16" s="775">
        <f>F16</f>
        <v>100</v>
      </c>
      <c r="T16" s="774" t="s">
        <v>17</v>
      </c>
      <c r="U16" s="775">
        <f>H16</f>
        <v>100</v>
      </c>
      <c r="V16" s="774" t="s">
        <v>17</v>
      </c>
      <c r="W16" s="775">
        <f>J16</f>
        <v>100</v>
      </c>
      <c r="X16" s="1812"/>
      <c r="Y16" s="3238"/>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38"/>
      <c r="Q17" s="1809"/>
      <c r="R17" s="774"/>
      <c r="S17" s="775"/>
      <c r="T17" s="774"/>
      <c r="U17" s="775"/>
      <c r="V17" s="774"/>
      <c r="W17" s="775"/>
      <c r="X17" s="1812"/>
      <c r="Y17" s="3238"/>
      <c r="Z17" s="1813"/>
      <c r="AA17" s="1810">
        <v>1</v>
      </c>
      <c r="AB17" s="1810">
        <v>1</v>
      </c>
      <c r="AC17" s="1810">
        <v>1</v>
      </c>
    </row>
    <row r="18" spans="1:29" ht="15">
      <c r="A18" s="404"/>
      <c r="B18" s="633" t="s">
        <v>2680</v>
      </c>
      <c r="C18" s="2607"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8"/>
      <c r="Q18" s="1809" t="str">
        <f>B18</f>
        <v>基础设施水平</v>
      </c>
      <c r="R18" s="774" t="s">
        <v>17</v>
      </c>
      <c r="S18" s="775">
        <f>F18</f>
        <v>100</v>
      </c>
      <c r="T18" s="774" t="s">
        <v>17</v>
      </c>
      <c r="U18" s="775">
        <f>H18</f>
        <v>100</v>
      </c>
      <c r="V18" s="774" t="s">
        <v>17</v>
      </c>
      <c r="W18" s="775">
        <f>J18</f>
        <v>100</v>
      </c>
      <c r="X18" s="1812"/>
      <c r="Y18" s="3238"/>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38"/>
      <c r="Q19" s="1809"/>
      <c r="R19" s="774"/>
      <c r="S19" s="775"/>
      <c r="T19" s="774"/>
      <c r="U19" s="775"/>
      <c r="V19" s="774"/>
      <c r="W19" s="775"/>
      <c r="X19" s="1812"/>
      <c r="Y19" s="3238"/>
      <c r="Z19" s="1813"/>
      <c r="AA19" s="1810">
        <v>1</v>
      </c>
      <c r="AB19" s="1810">
        <v>1</v>
      </c>
      <c r="AC19" s="1810">
        <v>1</v>
      </c>
    </row>
    <row r="20" spans="1:29" ht="15">
      <c r="A20" s="404"/>
      <c r="B20" s="631" t="s">
        <v>2701</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8"/>
      <c r="Q20" s="1809" t="str">
        <f>B20</f>
        <v>自然及人文环境</v>
      </c>
      <c r="R20" s="774" t="s">
        <v>17</v>
      </c>
      <c r="S20" s="775">
        <f>F20</f>
        <v>100</v>
      </c>
      <c r="T20" s="774" t="s">
        <v>17</v>
      </c>
      <c r="U20" s="775">
        <f>H20</f>
        <v>100</v>
      </c>
      <c r="V20" s="774" t="s">
        <v>17</v>
      </c>
      <c r="W20" s="775">
        <f>J20</f>
        <v>100</v>
      </c>
      <c r="X20" s="1812"/>
      <c r="Y20" s="323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38"/>
      <c r="Q21" s="1809"/>
      <c r="R21" s="774"/>
      <c r="S21" s="775"/>
      <c r="T21" s="774"/>
      <c r="U21" s="775"/>
      <c r="V21" s="774"/>
      <c r="W21" s="775"/>
      <c r="X21" s="1812"/>
      <c r="Y21" s="3238"/>
      <c r="Z21" s="1813"/>
      <c r="AA21" s="1810">
        <v>1</v>
      </c>
      <c r="AB21" s="1810">
        <v>1</v>
      </c>
      <c r="AC21" s="1810">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8"/>
      <c r="Q22" s="1809" t="str">
        <f>B22</f>
        <v>楼层</v>
      </c>
      <c r="R22" s="774" t="s">
        <v>17</v>
      </c>
      <c r="S22" s="775">
        <f>F22</f>
        <v>100</v>
      </c>
      <c r="T22" s="774" t="s">
        <v>17</v>
      </c>
      <c r="U22" s="775">
        <f>H22</f>
        <v>100</v>
      </c>
      <c r="V22" s="774" t="s">
        <v>17</v>
      </c>
      <c r="W22" s="775">
        <f>J22</f>
        <v>100</v>
      </c>
      <c r="X22" s="1812"/>
      <c r="Y22" s="323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8"/>
      <c r="Q23" s="1809">
        <f>B23</f>
        <v>111</v>
      </c>
      <c r="R23" s="774" t="s">
        <v>17</v>
      </c>
      <c r="S23" s="775">
        <f>F23</f>
        <v>100</v>
      </c>
      <c r="T23" s="774" t="s">
        <v>17</v>
      </c>
      <c r="U23" s="775">
        <f>H23</f>
        <v>100</v>
      </c>
      <c r="V23" s="774" t="s">
        <v>17</v>
      </c>
      <c r="W23" s="775">
        <f>J23</f>
        <v>100</v>
      </c>
      <c r="X23" s="1812"/>
      <c r="Y23" s="323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8"/>
      <c r="Q24" s="1809">
        <f t="shared" ref="Q24:Q36" si="11">B24</f>
        <v>111</v>
      </c>
      <c r="R24" s="774" t="s">
        <v>17</v>
      </c>
      <c r="S24" s="775">
        <f>F24</f>
        <v>100</v>
      </c>
      <c r="T24" s="774" t="s">
        <v>17</v>
      </c>
      <c r="U24" s="775">
        <f>H24</f>
        <v>100</v>
      </c>
      <c r="V24" s="774" t="s">
        <v>17</v>
      </c>
      <c r="W24" s="775">
        <f>J24</f>
        <v>100</v>
      </c>
      <c r="X24" s="1812"/>
      <c r="Y24" s="3238"/>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8"/>
      <c r="Q25" s="1794">
        <f t="shared" si="11"/>
        <v>111</v>
      </c>
      <c r="R25" s="770" t="s">
        <v>17</v>
      </c>
      <c r="S25" s="771">
        <f>F25</f>
        <v>100</v>
      </c>
      <c r="T25" s="770" t="s">
        <v>17</v>
      </c>
      <c r="U25" s="771">
        <f>H25</f>
        <v>100</v>
      </c>
      <c r="V25" s="770" t="s">
        <v>17</v>
      </c>
      <c r="W25" s="771">
        <f>J25</f>
        <v>100</v>
      </c>
      <c r="X25" s="772"/>
      <c r="Y25" s="3238"/>
      <c r="Z25" s="55">
        <f>Q25</f>
        <v>111</v>
      </c>
      <c r="AA25" s="1810">
        <f>D25/F25</f>
        <v>1</v>
      </c>
      <c r="AB25" s="1810">
        <f>D25/H25</f>
        <v>1</v>
      </c>
      <c r="AC25" s="1810">
        <f>D25/J25</f>
        <v>1</v>
      </c>
    </row>
    <row r="26" spans="1:29" ht="30">
      <c r="A26" s="652" t="s">
        <v>2554</v>
      </c>
      <c r="B26" s="70" t="s">
        <v>2703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9" t="s">
        <v>2556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42" t="s">
        <v>2556</v>
      </c>
      <c r="Z26" s="1813" t="str">
        <f t="shared" ref="Z26:Z36" si="15">Q26</f>
        <v>配套类型</v>
      </c>
      <c r="AA26" s="1810">
        <f t="shared" si="3"/>
        <v>1</v>
      </c>
      <c r="AB26" s="1810">
        <f t="shared" si="4"/>
        <v>1</v>
      </c>
      <c r="AC26" s="1810">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2"/>
      <c r="Q27" s="776" t="str">
        <f t="shared" si="11"/>
        <v>项目停车位配比</v>
      </c>
      <c r="R27" s="777" t="s">
        <v>17</v>
      </c>
      <c r="S27" s="778">
        <f t="shared" si="12"/>
        <v>100</v>
      </c>
      <c r="T27" s="777" t="s">
        <v>17</v>
      </c>
      <c r="U27" s="778">
        <f t="shared" si="13"/>
        <v>100</v>
      </c>
      <c r="V27" s="777" t="s">
        <v>17</v>
      </c>
      <c r="W27" s="778">
        <f t="shared" si="14"/>
        <v>100</v>
      </c>
      <c r="X27" s="779"/>
      <c r="Y27" s="3242"/>
      <c r="Z27" s="780" t="str">
        <f t="shared" si="15"/>
        <v>项目停车位配比</v>
      </c>
      <c r="AA27" s="1810">
        <f t="shared" si="3"/>
        <v>1</v>
      </c>
      <c r="AB27" s="1810">
        <f t="shared" si="4"/>
        <v>1</v>
      </c>
      <c r="AC27" s="1810">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2"/>
      <c r="Q28" s="1809" t="str">
        <f t="shared" si="11"/>
        <v>公共部分装修</v>
      </c>
      <c r="R28" s="774" t="s">
        <v>17</v>
      </c>
      <c r="S28" s="775">
        <f t="shared" si="12"/>
        <v>100</v>
      </c>
      <c r="T28" s="774" t="s">
        <v>17</v>
      </c>
      <c r="U28" s="775">
        <f t="shared" si="13"/>
        <v>100</v>
      </c>
      <c r="V28" s="774" t="s">
        <v>17</v>
      </c>
      <c r="W28" s="775">
        <f t="shared" si="14"/>
        <v>100</v>
      </c>
      <c r="X28" s="1812"/>
      <c r="Y28" s="3242"/>
      <c r="Z28" s="1813" t="str">
        <f t="shared" si="15"/>
        <v>公共部分装修</v>
      </c>
      <c r="AA28" s="1810">
        <f t="shared" si="3"/>
        <v>1</v>
      </c>
      <c r="AB28" s="1810">
        <f t="shared" si="4"/>
        <v>1</v>
      </c>
      <c r="AC28" s="1810">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2"/>
      <c r="Q29" s="1809" t="str">
        <f t="shared" si="11"/>
        <v>成新率</v>
      </c>
      <c r="R29" s="774" t="s">
        <v>17</v>
      </c>
      <c r="S29" s="775" t="e">
        <f t="shared" si="12"/>
        <v>#N/A</v>
      </c>
      <c r="T29" s="774" t="s">
        <v>17</v>
      </c>
      <c r="U29" s="775" t="e">
        <f t="shared" si="13"/>
        <v>#N/A</v>
      </c>
      <c r="V29" s="774" t="s">
        <v>17</v>
      </c>
      <c r="W29" s="775" t="e">
        <f t="shared" si="14"/>
        <v>#N/A</v>
      </c>
      <c r="X29" s="1812"/>
      <c r="Y29" s="3242"/>
      <c r="Z29" s="1813" t="str">
        <f t="shared" si="15"/>
        <v>成新率</v>
      </c>
      <c r="AA29" s="1810" t="e">
        <f t="shared" si="3"/>
        <v>#N/A</v>
      </c>
      <c r="AB29" s="1810" t="e">
        <f t="shared" si="4"/>
        <v>#N/A</v>
      </c>
      <c r="AC29" s="1810"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2"/>
      <c r="Q30" s="1809" t="str">
        <f t="shared" si="11"/>
        <v>物业等级</v>
      </c>
      <c r="R30" s="774" t="s">
        <v>17</v>
      </c>
      <c r="S30" s="775">
        <f t="shared" si="12"/>
        <v>100</v>
      </c>
      <c r="T30" s="774" t="s">
        <v>17</v>
      </c>
      <c r="U30" s="775">
        <f t="shared" si="13"/>
        <v>100</v>
      </c>
      <c r="V30" s="774" t="s">
        <v>17</v>
      </c>
      <c r="W30" s="775">
        <f t="shared" si="14"/>
        <v>100</v>
      </c>
      <c r="X30" s="1812"/>
      <c r="Y30" s="3242"/>
      <c r="Z30" s="1813" t="str">
        <f t="shared" si="15"/>
        <v>物业等级</v>
      </c>
      <c r="AA30" s="1810">
        <f t="shared" si="3"/>
        <v>1</v>
      </c>
      <c r="AB30" s="1810">
        <f t="shared" si="4"/>
        <v>1</v>
      </c>
      <c r="AC30" s="1810">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2"/>
      <c r="Q31" s="1794" t="str">
        <f t="shared" si="11"/>
        <v>停车位面积</v>
      </c>
      <c r="R31" s="770" t="s">
        <v>17</v>
      </c>
      <c r="S31" s="771" t="e">
        <f t="shared" si="12"/>
        <v>#N/A</v>
      </c>
      <c r="T31" s="770" t="s">
        <v>17</v>
      </c>
      <c r="U31" s="771" t="e">
        <f t="shared" si="13"/>
        <v>#N/A</v>
      </c>
      <c r="V31" s="770" t="s">
        <v>17</v>
      </c>
      <c r="W31" s="771" t="e">
        <f t="shared" si="14"/>
        <v>#N/A</v>
      </c>
      <c r="X31" s="772"/>
      <c r="Y31" s="3242"/>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2" t="s">
        <v>2556</v>
      </c>
      <c r="Q32" s="1809" t="str">
        <f t="shared" si="11"/>
        <v>车位类型</v>
      </c>
      <c r="R32" s="774" t="s">
        <v>17</v>
      </c>
      <c r="S32" s="775">
        <f t="shared" si="12"/>
        <v>100</v>
      </c>
      <c r="T32" s="774" t="s">
        <v>17</v>
      </c>
      <c r="U32" s="775">
        <f t="shared" si="13"/>
        <v>100</v>
      </c>
      <c r="V32" s="774" t="s">
        <v>17</v>
      </c>
      <c r="W32" s="775">
        <f t="shared" si="14"/>
        <v>100</v>
      </c>
      <c r="X32" s="1812"/>
      <c r="Y32" s="3242" t="s">
        <v>2556</v>
      </c>
      <c r="Z32" s="1813" t="str">
        <f t="shared" si="15"/>
        <v>车位类型</v>
      </c>
      <c r="AA32" s="1810">
        <f t="shared" si="3"/>
        <v>1</v>
      </c>
      <c r="AB32" s="1810">
        <f t="shared" si="4"/>
        <v>1</v>
      </c>
      <c r="AC32" s="1810">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2"/>
      <c r="Q33" s="1809" t="str">
        <f t="shared" si="11"/>
        <v>是否直接入户</v>
      </c>
      <c r="R33" s="774" t="s">
        <v>17</v>
      </c>
      <c r="S33" s="775">
        <f t="shared" si="12"/>
        <v>100</v>
      </c>
      <c r="T33" s="774" t="s">
        <v>17</v>
      </c>
      <c r="U33" s="775">
        <f t="shared" si="13"/>
        <v>100</v>
      </c>
      <c r="V33" s="774" t="s">
        <v>17</v>
      </c>
      <c r="W33" s="775">
        <f t="shared" si="14"/>
        <v>100</v>
      </c>
      <c r="X33" s="1812"/>
      <c r="Y33" s="324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2"/>
      <c r="Q34" s="1809">
        <f t="shared" si="11"/>
        <v>111</v>
      </c>
      <c r="R34" s="774" t="s">
        <v>17</v>
      </c>
      <c r="S34" s="775">
        <f t="shared" si="12"/>
        <v>100</v>
      </c>
      <c r="T34" s="774" t="s">
        <v>17</v>
      </c>
      <c r="U34" s="775">
        <f t="shared" si="13"/>
        <v>100</v>
      </c>
      <c r="V34" s="774" t="s">
        <v>17</v>
      </c>
      <c r="W34" s="775">
        <f t="shared" si="14"/>
        <v>100</v>
      </c>
      <c r="X34" s="1812"/>
      <c r="Y34" s="324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2"/>
      <c r="Q35" s="776">
        <f t="shared" si="11"/>
        <v>111</v>
      </c>
      <c r="R35" s="777" t="s">
        <v>17</v>
      </c>
      <c r="S35" s="778">
        <f t="shared" si="12"/>
        <v>100</v>
      </c>
      <c r="T35" s="777" t="s">
        <v>17</v>
      </c>
      <c r="U35" s="778">
        <f t="shared" si="13"/>
        <v>100</v>
      </c>
      <c r="V35" s="777" t="s">
        <v>17</v>
      </c>
      <c r="W35" s="778">
        <f t="shared" si="14"/>
        <v>100</v>
      </c>
      <c r="X35" s="779"/>
      <c r="Y35" s="3242"/>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2"/>
      <c r="Q36" s="1809">
        <f t="shared" si="11"/>
        <v>111</v>
      </c>
      <c r="R36" s="774" t="s">
        <v>17</v>
      </c>
      <c r="S36" s="775">
        <f t="shared" si="12"/>
        <v>100</v>
      </c>
      <c r="T36" s="774" t="s">
        <v>17</v>
      </c>
      <c r="U36" s="775">
        <f t="shared" si="13"/>
        <v>100</v>
      </c>
      <c r="V36" s="774" t="s">
        <v>17</v>
      </c>
      <c r="W36" s="775">
        <f t="shared" si="14"/>
        <v>100</v>
      </c>
      <c r="X36" s="1812"/>
      <c r="Y36" s="3242"/>
      <c r="Z36" s="1813">
        <f t="shared" si="15"/>
        <v>111</v>
      </c>
      <c r="AA36" s="1810">
        <f t="shared" si="3"/>
        <v>1</v>
      </c>
      <c r="AB36" s="1810">
        <f t="shared" si="4"/>
        <v>1</v>
      </c>
      <c r="AC36" s="1810">
        <f t="shared" si="5"/>
        <v>1</v>
      </c>
    </row>
    <row r="37" spans="1:29" ht="14.4">
      <c r="A37" s="479" t="s">
        <v>2711</v>
      </c>
      <c r="B37" s="2694" t="s">
        <v>2712</v>
      </c>
      <c r="C37" s="1407" t="s">
        <v>1</v>
      </c>
      <c r="D37" s="1408"/>
      <c r="E37" s="1409"/>
      <c r="F37" s="1410"/>
      <c r="G37" s="1411"/>
      <c r="H37" s="1412"/>
      <c r="I37" s="1409"/>
      <c r="J37" s="1412"/>
      <c r="K37" s="619"/>
      <c r="L37" s="1143"/>
      <c r="M37" s="1144"/>
      <c r="N37" s="1131"/>
      <c r="O37" s="1144"/>
      <c r="P37" s="3235" t="str">
        <f>A37</f>
        <v>成交单价</v>
      </c>
      <c r="Q37" s="3235"/>
      <c r="R37" s="3236">
        <f>E37</f>
        <v>0</v>
      </c>
      <c r="S37" s="3236"/>
      <c r="T37" s="3236">
        <f>G37</f>
        <v>0</v>
      </c>
      <c r="U37" s="3236"/>
      <c r="V37" s="3236">
        <f>I37</f>
        <v>0</v>
      </c>
      <c r="W37" s="3236"/>
      <c r="X37" s="759"/>
      <c r="Y37" s="781"/>
      <c r="Z37" s="759"/>
      <c r="AA37" s="759"/>
      <c r="AB37" s="759"/>
      <c r="AC37" s="759"/>
    </row>
    <row r="38" spans="1:29" ht="1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9"/>
      <c r="Y38" s="759"/>
      <c r="Z38" s="759"/>
      <c r="AA38" s="759"/>
      <c r="AB38" s="759"/>
      <c r="AC38" s="759"/>
    </row>
    <row r="39" spans="1:29" ht="15" thickBot="1">
      <c r="A39" s="492" t="s">
        <v>2714</v>
      </c>
      <c r="B39" s="493"/>
      <c r="C39" s="1417" t="e">
        <f>R39</f>
        <v>#DIV/0!</v>
      </c>
      <c r="D39" s="1417"/>
      <c r="E39" s="1417"/>
      <c r="F39" s="1417"/>
      <c r="G39" s="1417"/>
      <c r="H39" s="1417"/>
      <c r="I39" s="1417"/>
      <c r="J39" s="1417"/>
      <c r="K39" s="621"/>
      <c r="L39" s="1143"/>
      <c r="M39" s="1144"/>
      <c r="N39" s="1144"/>
      <c r="O39" s="1144"/>
      <c r="P39" s="3232" t="str">
        <f>A39</f>
        <v>估价对象XX用房的比较价值（楼面单价，元/平方米）</v>
      </c>
      <c r="Q39" s="3233"/>
      <c r="R39" s="3234" t="e">
        <f>IF(F1="售价",ROUND(AVERAGE(R38:V38),0),ROUND(AVERAGE(R38:V38),1))</f>
        <v>#DIV/0!</v>
      </c>
      <c r="S39" s="3234"/>
      <c r="T39" s="3234"/>
      <c r="U39" s="3234"/>
      <c r="V39" s="3234"/>
      <c r="W39" s="323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2719</v>
      </c>
      <c r="B48" s="506"/>
      <c r="C48" s="1573" t="str">
        <f>YEAR(C7)&amp;"-"&amp;MONTH(C7)</f>
        <v>2019-9</v>
      </c>
      <c r="D48" s="1574">
        <f>EDATE(C48,-1)</f>
        <v>43678</v>
      </c>
      <c r="E48" s="1574">
        <f t="shared" ref="E48:O48" si="16">EDATE(D48,-1)</f>
        <v>43647</v>
      </c>
      <c r="F48" s="1574">
        <f t="shared" si="16"/>
        <v>43617</v>
      </c>
      <c r="G48" s="1574">
        <f t="shared" si="16"/>
        <v>43586</v>
      </c>
      <c r="H48" s="1574">
        <f t="shared" si="16"/>
        <v>43556</v>
      </c>
      <c r="I48" s="1574">
        <f t="shared" si="16"/>
        <v>43525</v>
      </c>
      <c r="J48" s="1574">
        <f t="shared" si="16"/>
        <v>43497</v>
      </c>
      <c r="K48" s="1574">
        <f t="shared" si="16"/>
        <v>43466</v>
      </c>
      <c r="L48" s="1574">
        <f t="shared" si="16"/>
        <v>43435</v>
      </c>
      <c r="M48" s="1574">
        <f t="shared" si="16"/>
        <v>43405</v>
      </c>
      <c r="N48" s="1574">
        <f t="shared" si="16"/>
        <v>43374</v>
      </c>
      <c r="O48" s="1574">
        <f t="shared" si="16"/>
        <v>43344</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2698</v>
      </c>
      <c r="B1" s="1618"/>
      <c r="C1" s="1619" t="s">
        <v>2521</v>
      </c>
      <c r="D1" s="1620"/>
      <c r="E1" s="1629"/>
      <c r="F1" s="2584"/>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2321</v>
      </c>
      <c r="B2" s="1418" t="e">
        <f ca="1">IF(C2="——",ROUND(C37*D3/10000,0),ROUND(C37*D3/10000,0)-D2)</f>
        <v>#DIV/0!</v>
      </c>
      <c r="C2" s="2586"/>
      <c r="D2" s="1124" t="e">
        <f ca="1">SUMIF(INDIRECT("'"&amp;F2&amp;"'"&amp;"!A:A"),"承租人权益价值",INDIRECT("'"&amp;F2&amp;"'"&amp;"!c:c"))</f>
        <v>#REF!</v>
      </c>
      <c r="E2" s="2587" t="s">
        <v>2322</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2636</v>
      </c>
      <c r="B4" s="402"/>
      <c r="C4" s="3218" t="s">
        <v>2637</v>
      </c>
      <c r="D4" s="3219"/>
      <c r="E4" s="3220" t="s">
        <v>2638</v>
      </c>
      <c r="F4" s="3221"/>
      <c r="G4" s="3218" t="s">
        <v>2639</v>
      </c>
      <c r="H4" s="3219"/>
      <c r="I4" s="3218" t="s">
        <v>2640</v>
      </c>
      <c r="J4" s="3219"/>
      <c r="K4" s="610" t="s">
        <v>2641</v>
      </c>
      <c r="L4" s="1130"/>
      <c r="M4" s="1131"/>
      <c r="N4" s="1131"/>
      <c r="O4" s="1131"/>
      <c r="P4" s="3222" t="s">
        <v>2642</v>
      </c>
      <c r="Q4" s="3223"/>
      <c r="R4" s="3207" t="s">
        <v>2638</v>
      </c>
      <c r="S4" s="3208"/>
      <c r="T4" s="3207" t="s">
        <v>2639</v>
      </c>
      <c r="U4" s="3208"/>
      <c r="V4" s="3230" t="s">
        <v>2640</v>
      </c>
      <c r="W4" s="3230"/>
      <c r="X4" s="1812"/>
      <c r="Y4" s="3207" t="s">
        <v>2642</v>
      </c>
      <c r="Z4" s="3208"/>
      <c r="AA4" s="3202" t="s">
        <v>2638</v>
      </c>
      <c r="AB4" s="3203" t="s">
        <v>2639</v>
      </c>
      <c r="AC4" s="3202" t="s">
        <v>2640</v>
      </c>
    </row>
    <row r="5" spans="1:29">
      <c r="A5" s="404"/>
      <c r="B5" s="405"/>
      <c r="C5" s="3248" t="s">
        <v>2533</v>
      </c>
      <c r="D5" s="3249"/>
      <c r="E5" s="3246" t="s">
        <v>2534</v>
      </c>
      <c r="F5" s="3247"/>
      <c r="G5" s="3248" t="s">
        <v>2535</v>
      </c>
      <c r="H5" s="3249"/>
      <c r="I5" s="3248" t="s">
        <v>2536</v>
      </c>
      <c r="J5" s="3249"/>
      <c r="K5" s="610"/>
      <c r="L5" s="1130"/>
      <c r="M5" s="1131"/>
      <c r="N5" s="1131"/>
      <c r="O5" s="1131"/>
      <c r="P5" s="3224"/>
      <c r="Q5" s="3225"/>
      <c r="R5" s="3209"/>
      <c r="S5" s="3210"/>
      <c r="T5" s="3209"/>
      <c r="U5" s="3210"/>
      <c r="V5" s="3230"/>
      <c r="W5" s="3230"/>
      <c r="X5" s="1812"/>
      <c r="Y5" s="3209"/>
      <c r="Z5" s="3210"/>
      <c r="AA5" s="3203"/>
      <c r="AB5" s="3203"/>
      <c r="AC5" s="3203"/>
    </row>
    <row r="6" spans="1:29" ht="15" thickBot="1">
      <c r="A6" s="406"/>
      <c r="B6" s="407"/>
      <c r="C6" s="3250" t="s">
        <v>2537</v>
      </c>
      <c r="D6" s="3251"/>
      <c r="E6" s="3252" t="s">
        <v>2537</v>
      </c>
      <c r="F6" s="3253"/>
      <c r="G6" s="3250" t="s">
        <v>2537</v>
      </c>
      <c r="H6" s="3251"/>
      <c r="I6" s="3250" t="s">
        <v>2537</v>
      </c>
      <c r="J6" s="3251"/>
      <c r="K6" s="610" t="s">
        <v>2538</v>
      </c>
      <c r="L6" s="1130"/>
      <c r="M6" s="1131"/>
      <c r="N6" s="1131"/>
      <c r="O6" s="1131"/>
      <c r="P6" s="3226"/>
      <c r="Q6" s="3227"/>
      <c r="R6" s="3209"/>
      <c r="S6" s="3210"/>
      <c r="T6" s="3228"/>
      <c r="U6" s="3229"/>
      <c r="V6" s="3230"/>
      <c r="W6" s="3230"/>
      <c r="X6" s="1812"/>
      <c r="Y6" s="3228"/>
      <c r="Z6" s="3229"/>
      <c r="AA6" s="3204"/>
      <c r="AB6" s="3204"/>
      <c r="AC6" s="3204"/>
    </row>
    <row r="7" spans="1:29" s="117" customFormat="1" ht="15" thickBot="1">
      <c r="A7" s="408" t="s">
        <v>2539</v>
      </c>
      <c r="B7" s="409"/>
      <c r="C7" s="410">
        <f>'数据-取费表'!B2</f>
        <v>43712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05" t="s">
        <v>2540</v>
      </c>
      <c r="Q7" s="3231"/>
      <c r="R7" s="770" t="s">
        <v>17</v>
      </c>
      <c r="S7" s="771">
        <f t="shared" ref="S7:S14" si="0">F7</f>
        <v>0</v>
      </c>
      <c r="T7" s="770" t="s">
        <v>17</v>
      </c>
      <c r="U7" s="771">
        <f t="shared" ref="U7:U14" si="1">H7</f>
        <v>0</v>
      </c>
      <c r="V7" s="770" t="s">
        <v>17</v>
      </c>
      <c r="W7" s="771">
        <f t="shared" ref="W7:W14" si="2">J7</f>
        <v>0</v>
      </c>
      <c r="X7" s="772"/>
      <c r="Y7" s="3205" t="s">
        <v>2540</v>
      </c>
      <c r="Z7" s="3206"/>
      <c r="AA7" s="773" t="e">
        <f>D7/F7</f>
        <v>#DIV/0!</v>
      </c>
      <c r="AB7" s="773" t="e">
        <f>D7/H7</f>
        <v>#DIV/0!</v>
      </c>
      <c r="AC7" s="773" t="e">
        <f>D7/J7</f>
        <v>#DIV/0!</v>
      </c>
    </row>
    <row r="8" spans="1:29" s="117" customFormat="1" ht="1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5" t="s">
        <v>2543</v>
      </c>
      <c r="Q8" s="3206"/>
      <c r="R8" s="770" t="s">
        <v>17</v>
      </c>
      <c r="S8" s="771">
        <f t="shared" si="0"/>
        <v>0</v>
      </c>
      <c r="T8" s="770" t="s">
        <v>17</v>
      </c>
      <c r="U8" s="771">
        <f t="shared" si="1"/>
        <v>0</v>
      </c>
      <c r="V8" s="770" t="s">
        <v>17</v>
      </c>
      <c r="W8" s="771">
        <f t="shared" si="2"/>
        <v>0</v>
      </c>
      <c r="X8" s="772"/>
      <c r="Y8" s="3205" t="s">
        <v>2543</v>
      </c>
      <c r="Z8" s="3206"/>
      <c r="AA8" s="773" t="e">
        <f t="shared" ref="AA8:AA34" si="3">D8/F8</f>
        <v>#DIV/0!</v>
      </c>
      <c r="AB8" s="773" t="e">
        <f t="shared" ref="AB8:AB34" si="4">D8/H8</f>
        <v>#DIV/0!</v>
      </c>
      <c r="AC8" s="773" t="e">
        <f t="shared" ref="AC8:AC34" si="5">D8/J8</f>
        <v>#DIV/0!</v>
      </c>
    </row>
    <row r="9" spans="1:29" s="117" customFormat="1" ht="14.4">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5" t="s">
        <v>2546</v>
      </c>
      <c r="Q9" s="1794" t="str">
        <f t="shared" ref="Q9:Q14" si="6">B9</f>
        <v>用途</v>
      </c>
      <c r="R9" s="770" t="s">
        <v>17</v>
      </c>
      <c r="S9" s="771">
        <f t="shared" si="0"/>
        <v>100</v>
      </c>
      <c r="T9" s="770" t="s">
        <v>17</v>
      </c>
      <c r="U9" s="771">
        <f t="shared" si="1"/>
        <v>100</v>
      </c>
      <c r="V9" s="770" t="s">
        <v>17</v>
      </c>
      <c r="W9" s="771">
        <f t="shared" si="2"/>
        <v>100</v>
      </c>
      <c r="X9" s="772"/>
      <c r="Y9" s="3052" t="s">
        <v>2547</v>
      </c>
      <c r="Z9" s="55" t="str">
        <f t="shared" ref="Z9:Z14" si="7">Q9</f>
        <v>用途</v>
      </c>
      <c r="AA9" s="773">
        <f t="shared" si="3"/>
        <v>1</v>
      </c>
      <c r="AB9" s="773">
        <f t="shared" si="4"/>
        <v>1</v>
      </c>
      <c r="AC9" s="773">
        <f t="shared" si="5"/>
        <v>1</v>
      </c>
    </row>
    <row r="10" spans="1:29" s="427" customFormat="1" ht="28.8">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5"/>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5"/>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5"/>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35"/>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96.6">
      <c r="A14" s="440" t="s">
        <v>2550</v>
      </c>
      <c r="B14" s="69" t="s">
        <v>2700</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7" t="s">
        <v>2551</v>
      </c>
      <c r="Q14" s="1809" t="str">
        <f t="shared" si="6"/>
        <v>交通便捷度</v>
      </c>
      <c r="R14" s="774" t="s">
        <v>17</v>
      </c>
      <c r="S14" s="775">
        <f t="shared" si="0"/>
        <v>100</v>
      </c>
      <c r="T14" s="774" t="s">
        <v>17</v>
      </c>
      <c r="U14" s="775">
        <f t="shared" si="1"/>
        <v>100</v>
      </c>
      <c r="V14" s="774" t="s">
        <v>17</v>
      </c>
      <c r="W14" s="775">
        <f t="shared" si="2"/>
        <v>100</v>
      </c>
      <c r="X14" s="1812"/>
      <c r="Y14" s="3237" t="s">
        <v>2551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38"/>
      <c r="Q15" s="1809"/>
      <c r="R15" s="774"/>
      <c r="S15" s="775"/>
      <c r="T15" s="774"/>
      <c r="U15" s="775"/>
      <c r="V15" s="774"/>
      <c r="W15" s="775"/>
      <c r="X15" s="1812"/>
      <c r="Y15" s="3238"/>
      <c r="Z15" s="1813"/>
      <c r="AA15" s="1810">
        <v>1</v>
      </c>
      <c r="AB15" s="1810">
        <v>1</v>
      </c>
      <c r="AC15" s="1810">
        <v>1</v>
      </c>
    </row>
    <row r="16" spans="1:29" ht="55.2">
      <c r="A16" s="428"/>
      <c r="B16" s="451" t="s">
        <v>2679</v>
      </c>
      <c r="C16" s="2607"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8"/>
      <c r="Q16" s="1809" t="str">
        <f>B16</f>
        <v>公共配套设施</v>
      </c>
      <c r="R16" s="774" t="s">
        <v>17</v>
      </c>
      <c r="S16" s="775">
        <f>F16</f>
        <v>100</v>
      </c>
      <c r="T16" s="774" t="s">
        <v>17</v>
      </c>
      <c r="U16" s="775">
        <f>H16</f>
        <v>100</v>
      </c>
      <c r="V16" s="774" t="s">
        <v>17</v>
      </c>
      <c r="W16" s="775">
        <f>J16</f>
        <v>100</v>
      </c>
      <c r="X16" s="1812"/>
      <c r="Y16" s="3238"/>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38"/>
      <c r="Q17" s="1809"/>
      <c r="R17" s="774"/>
      <c r="S17" s="775"/>
      <c r="T17" s="774"/>
      <c r="U17" s="775"/>
      <c r="V17" s="774"/>
      <c r="W17" s="775"/>
      <c r="X17" s="1812"/>
      <c r="Y17" s="3238"/>
      <c r="Z17" s="1813"/>
      <c r="AA17" s="1810">
        <v>1</v>
      </c>
      <c r="AB17" s="1810">
        <v>1</v>
      </c>
      <c r="AC17" s="1810">
        <v>1</v>
      </c>
    </row>
    <row r="18" spans="1:29" ht="15">
      <c r="A18" s="428"/>
      <c r="B18" s="1384" t="s">
        <v>2680</v>
      </c>
      <c r="C18" s="2607"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8"/>
      <c r="Q18" s="1809" t="str">
        <f>B18</f>
        <v>基础设施水平</v>
      </c>
      <c r="R18" s="774" t="s">
        <v>17</v>
      </c>
      <c r="S18" s="775">
        <f>F18</f>
        <v>100</v>
      </c>
      <c r="T18" s="774" t="s">
        <v>17</v>
      </c>
      <c r="U18" s="775">
        <f>H18</f>
        <v>100</v>
      </c>
      <c r="V18" s="774" t="s">
        <v>17</v>
      </c>
      <c r="W18" s="775">
        <f>J18</f>
        <v>100</v>
      </c>
      <c r="X18" s="1812"/>
      <c r="Y18" s="3238"/>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38"/>
      <c r="Q19" s="1809"/>
      <c r="R19" s="774"/>
      <c r="S19" s="775"/>
      <c r="T19" s="774"/>
      <c r="U19" s="775"/>
      <c r="V19" s="774"/>
      <c r="W19" s="775"/>
      <c r="X19" s="1812"/>
      <c r="Y19" s="3238"/>
      <c r="Z19" s="1813"/>
      <c r="AA19" s="1810">
        <v>1</v>
      </c>
      <c r="AB19" s="1810">
        <v>1</v>
      </c>
      <c r="AC19" s="1810">
        <v>1</v>
      </c>
    </row>
    <row r="20" spans="1:29" ht="15">
      <c r="A20" s="428"/>
      <c r="B20" s="451" t="s">
        <v>2701</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8"/>
      <c r="Q20" s="1809" t="str">
        <f>B20</f>
        <v>自然及人文环境</v>
      </c>
      <c r="R20" s="774" t="s">
        <v>17</v>
      </c>
      <c r="S20" s="775">
        <f>F20</f>
        <v>100</v>
      </c>
      <c r="T20" s="774" t="s">
        <v>17</v>
      </c>
      <c r="U20" s="775">
        <f>H20</f>
        <v>100</v>
      </c>
      <c r="V20" s="774" t="s">
        <v>17</v>
      </c>
      <c r="W20" s="775">
        <f>J20</f>
        <v>100</v>
      </c>
      <c r="X20" s="1812"/>
      <c r="Y20" s="323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38"/>
      <c r="Q21" s="1809"/>
      <c r="R21" s="774"/>
      <c r="S21" s="775"/>
      <c r="T21" s="774"/>
      <c r="U21" s="775"/>
      <c r="V21" s="774"/>
      <c r="W21" s="775"/>
      <c r="X21" s="1812"/>
      <c r="Y21" s="3238"/>
      <c r="Z21" s="1813"/>
      <c r="AA21" s="1810">
        <v>1</v>
      </c>
      <c r="AB21" s="1810">
        <v>1</v>
      </c>
      <c r="AC21" s="1810">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8"/>
      <c r="Q22" s="1809" t="str">
        <f>B22</f>
        <v>楼层</v>
      </c>
      <c r="R22" s="774" t="s">
        <v>17</v>
      </c>
      <c r="S22" s="775">
        <f>F22</f>
        <v>100</v>
      </c>
      <c r="T22" s="774" t="s">
        <v>17</v>
      </c>
      <c r="U22" s="775">
        <f>H22</f>
        <v>100</v>
      </c>
      <c r="V22" s="774" t="s">
        <v>17</v>
      </c>
      <c r="W22" s="775">
        <f>J22</f>
        <v>100</v>
      </c>
      <c r="X22" s="1812"/>
      <c r="Y22" s="3238"/>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8"/>
      <c r="Q23" s="1809">
        <f>B23</f>
        <v>111</v>
      </c>
      <c r="R23" s="774" t="s">
        <v>17</v>
      </c>
      <c r="S23" s="775">
        <f>F23</f>
        <v>100</v>
      </c>
      <c r="T23" s="774" t="s">
        <v>17</v>
      </c>
      <c r="U23" s="775">
        <f>H23</f>
        <v>100</v>
      </c>
      <c r="V23" s="774" t="s">
        <v>17</v>
      </c>
      <c r="W23" s="775">
        <f>J23</f>
        <v>100</v>
      </c>
      <c r="X23" s="1812"/>
      <c r="Y23" s="3238"/>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8"/>
      <c r="Q24" s="1809">
        <f t="shared" ref="Q24:Q34" si="11">B24</f>
        <v>111</v>
      </c>
      <c r="R24" s="774" t="s">
        <v>17</v>
      </c>
      <c r="S24" s="775">
        <f>F24</f>
        <v>100</v>
      </c>
      <c r="T24" s="774" t="s">
        <v>17</v>
      </c>
      <c r="U24" s="775">
        <f>H24</f>
        <v>100</v>
      </c>
      <c r="V24" s="774" t="s">
        <v>17</v>
      </c>
      <c r="W24" s="775">
        <f>J24</f>
        <v>100</v>
      </c>
      <c r="X24" s="1812"/>
      <c r="Y24" s="3238"/>
      <c r="Z24" s="1813">
        <f>Q24</f>
        <v>111</v>
      </c>
      <c r="AA24" s="1810">
        <f t="shared" si="3"/>
        <v>1</v>
      </c>
      <c r="AB24" s="1810">
        <f t="shared" si="4"/>
        <v>1</v>
      </c>
      <c r="AC24" s="1810">
        <f t="shared" si="5"/>
        <v>1</v>
      </c>
    </row>
    <row r="25" spans="1:29" s="117" customFormat="1" ht="15.6" thickBot="1">
      <c r="A25" s="431"/>
      <c r="B25" s="2600">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38"/>
      <c r="Q25" s="1794">
        <f t="shared" si="11"/>
        <v>111</v>
      </c>
      <c r="R25" s="770" t="s">
        <v>17</v>
      </c>
      <c r="S25" s="771">
        <f>F25</f>
        <v>100</v>
      </c>
      <c r="T25" s="770" t="s">
        <v>17</v>
      </c>
      <c r="U25" s="771">
        <f>H25</f>
        <v>100</v>
      </c>
      <c r="V25" s="770" t="s">
        <v>17</v>
      </c>
      <c r="W25" s="771">
        <f>J25</f>
        <v>100</v>
      </c>
      <c r="X25" s="772"/>
      <c r="Y25" s="3238"/>
      <c r="Z25" s="55">
        <f>Q25</f>
        <v>111</v>
      </c>
      <c r="AA25" s="1810">
        <f>D25/F25</f>
        <v>1</v>
      </c>
      <c r="AB25" s="1810">
        <f>D25/H25</f>
        <v>1</v>
      </c>
      <c r="AC25" s="1810">
        <f>D25/J25</f>
        <v>1</v>
      </c>
    </row>
    <row r="26" spans="1:29" ht="30">
      <c r="A26" s="466" t="s">
        <v>2554</v>
      </c>
      <c r="B26" s="71" t="s">
        <v>2705</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69" t="s">
        <v>2556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42" t="s">
        <v>2556</v>
      </c>
      <c r="Z26" s="1813" t="str">
        <f t="shared" ref="Z26:Z34" si="15">Q26</f>
        <v>公共部分装修</v>
      </c>
      <c r="AA26" s="1810">
        <f t="shared" si="3"/>
        <v>1</v>
      </c>
      <c r="AB26" s="1810">
        <f t="shared" si="4"/>
        <v>1</v>
      </c>
      <c r="AC26" s="1810">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2"/>
      <c r="Q27" s="776" t="str">
        <f t="shared" si="11"/>
        <v>成新率</v>
      </c>
      <c r="R27" s="777" t="s">
        <v>17</v>
      </c>
      <c r="S27" s="778" t="e">
        <f t="shared" si="12"/>
        <v>#N/A</v>
      </c>
      <c r="T27" s="777" t="s">
        <v>17</v>
      </c>
      <c r="U27" s="778" t="e">
        <f t="shared" si="13"/>
        <v>#N/A</v>
      </c>
      <c r="V27" s="777" t="s">
        <v>17</v>
      </c>
      <c r="W27" s="778" t="e">
        <f t="shared" si="14"/>
        <v>#N/A</v>
      </c>
      <c r="X27" s="779"/>
      <c r="Y27" s="3242"/>
      <c r="Z27" s="780" t="str">
        <f t="shared" si="15"/>
        <v>成新率</v>
      </c>
      <c r="AA27" s="1810" t="e">
        <f t="shared" si="3"/>
        <v>#N/A</v>
      </c>
      <c r="AB27" s="1810" t="e">
        <f t="shared" si="4"/>
        <v>#N/A</v>
      </c>
      <c r="AC27" s="1810"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2"/>
      <c r="Q28" s="1809" t="str">
        <f t="shared" si="11"/>
        <v>物业等级</v>
      </c>
      <c r="R28" s="774" t="s">
        <v>17</v>
      </c>
      <c r="S28" s="775">
        <f t="shared" si="12"/>
        <v>100</v>
      </c>
      <c r="T28" s="774" t="s">
        <v>17</v>
      </c>
      <c r="U28" s="775">
        <f t="shared" si="13"/>
        <v>100</v>
      </c>
      <c r="V28" s="774" t="s">
        <v>17</v>
      </c>
      <c r="W28" s="775">
        <f t="shared" si="14"/>
        <v>100</v>
      </c>
      <c r="X28" s="1812"/>
      <c r="Y28" s="3242"/>
      <c r="Z28" s="1813" t="str">
        <f t="shared" si="15"/>
        <v>物业等级</v>
      </c>
      <c r="AA28" s="1810">
        <f t="shared" si="3"/>
        <v>1</v>
      </c>
      <c r="AB28" s="1810">
        <f t="shared" si="4"/>
        <v>1</v>
      </c>
      <c r="AC28" s="1810">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2"/>
      <c r="Q29" s="1809" t="str">
        <f t="shared" si="11"/>
        <v>有无电梯</v>
      </c>
      <c r="R29" s="774" t="s">
        <v>17</v>
      </c>
      <c r="S29" s="775">
        <f t="shared" si="12"/>
        <v>100</v>
      </c>
      <c r="T29" s="774" t="s">
        <v>17</v>
      </c>
      <c r="U29" s="775">
        <f t="shared" si="13"/>
        <v>100</v>
      </c>
      <c r="V29" s="774" t="s">
        <v>17</v>
      </c>
      <c r="W29" s="775">
        <f t="shared" si="14"/>
        <v>100</v>
      </c>
      <c r="X29" s="1812"/>
      <c r="Y29" s="3242"/>
      <c r="Z29" s="1813" t="str">
        <f t="shared" si="15"/>
        <v>有无电梯</v>
      </c>
      <c r="AA29" s="1810">
        <f t="shared" si="3"/>
        <v>1</v>
      </c>
      <c r="AB29" s="1810">
        <f t="shared" si="4"/>
        <v>1</v>
      </c>
      <c r="AC29" s="1810">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2"/>
      <c r="Q30" s="1809" t="str">
        <f t="shared" si="11"/>
        <v>建筑面积</v>
      </c>
      <c r="R30" s="774" t="s">
        <v>17</v>
      </c>
      <c r="S30" s="775" t="e">
        <f t="shared" si="12"/>
        <v>#N/A</v>
      </c>
      <c r="T30" s="774" t="s">
        <v>17</v>
      </c>
      <c r="U30" s="775" t="e">
        <f t="shared" si="13"/>
        <v>#N/A</v>
      </c>
      <c r="V30" s="774" t="s">
        <v>17</v>
      </c>
      <c r="W30" s="775" t="e">
        <f t="shared" si="14"/>
        <v>#N/A</v>
      </c>
      <c r="X30" s="1812"/>
      <c r="Y30" s="3242"/>
      <c r="Z30" s="1813" t="str">
        <f t="shared" si="15"/>
        <v>建筑面积</v>
      </c>
      <c r="AA30" s="1810" t="e">
        <f t="shared" si="3"/>
        <v>#N/A</v>
      </c>
      <c r="AB30" s="1810" t="e">
        <f t="shared" si="4"/>
        <v>#N/A</v>
      </c>
      <c r="AC30" s="1810"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2"/>
      <c r="Q31" s="1794" t="str">
        <f t="shared" si="11"/>
        <v>是否封闭</v>
      </c>
      <c r="R31" s="770" t="s">
        <v>17</v>
      </c>
      <c r="S31" s="771">
        <f t="shared" si="12"/>
        <v>100</v>
      </c>
      <c r="T31" s="770" t="s">
        <v>17</v>
      </c>
      <c r="U31" s="771">
        <f t="shared" si="13"/>
        <v>100</v>
      </c>
      <c r="V31" s="770" t="s">
        <v>17</v>
      </c>
      <c r="W31" s="771">
        <f t="shared" si="14"/>
        <v>100</v>
      </c>
      <c r="X31" s="772"/>
      <c r="Y31" s="3242"/>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2" t="s">
        <v>2556</v>
      </c>
      <c r="Q32" s="1809">
        <f t="shared" si="11"/>
        <v>111</v>
      </c>
      <c r="R32" s="774" t="s">
        <v>17</v>
      </c>
      <c r="S32" s="775">
        <f t="shared" si="12"/>
        <v>100</v>
      </c>
      <c r="T32" s="774" t="s">
        <v>17</v>
      </c>
      <c r="U32" s="775">
        <f t="shared" si="13"/>
        <v>100</v>
      </c>
      <c r="V32" s="774" t="s">
        <v>17</v>
      </c>
      <c r="W32" s="775">
        <f t="shared" si="14"/>
        <v>100</v>
      </c>
      <c r="X32" s="1812"/>
      <c r="Y32" s="3242" t="s">
        <v>2556</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2"/>
      <c r="Q33" s="1809">
        <f t="shared" si="11"/>
        <v>111</v>
      </c>
      <c r="R33" s="774" t="s">
        <v>17</v>
      </c>
      <c r="S33" s="775">
        <f t="shared" si="12"/>
        <v>100</v>
      </c>
      <c r="T33" s="774" t="s">
        <v>17</v>
      </c>
      <c r="U33" s="775">
        <f t="shared" si="13"/>
        <v>100</v>
      </c>
      <c r="V33" s="774" t="s">
        <v>17</v>
      </c>
      <c r="W33" s="775">
        <f t="shared" si="14"/>
        <v>100</v>
      </c>
      <c r="X33" s="1812"/>
      <c r="Y33" s="3242"/>
      <c r="Z33" s="1813">
        <f t="shared" si="15"/>
        <v>111</v>
      </c>
      <c r="AA33" s="1810">
        <f t="shared" si="3"/>
        <v>1</v>
      </c>
      <c r="AB33" s="1810">
        <f t="shared" si="4"/>
        <v>1</v>
      </c>
      <c r="AC33" s="1810">
        <f t="shared" si="5"/>
        <v>1</v>
      </c>
    </row>
    <row r="34" spans="1:29" ht="15.6" thickBot="1">
      <c r="A34" s="478"/>
      <c r="B34" s="2602">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42"/>
      <c r="Q34" s="1809">
        <f t="shared" si="11"/>
        <v>111</v>
      </c>
      <c r="R34" s="774" t="s">
        <v>17</v>
      </c>
      <c r="S34" s="775">
        <f t="shared" si="12"/>
        <v>100</v>
      </c>
      <c r="T34" s="774" t="s">
        <v>17</v>
      </c>
      <c r="U34" s="775">
        <f t="shared" si="13"/>
        <v>100</v>
      </c>
      <c r="V34" s="774" t="s">
        <v>17</v>
      </c>
      <c r="W34" s="775">
        <f t="shared" si="14"/>
        <v>100</v>
      </c>
      <c r="X34" s="1812"/>
      <c r="Y34" s="3242"/>
      <c r="Z34" s="1813">
        <f t="shared" si="15"/>
        <v>111</v>
      </c>
      <c r="AA34" s="1810">
        <f t="shared" si="3"/>
        <v>1</v>
      </c>
      <c r="AB34" s="1810">
        <f t="shared" si="4"/>
        <v>1</v>
      </c>
      <c r="AC34" s="1810">
        <f t="shared" si="5"/>
        <v>1</v>
      </c>
    </row>
    <row r="35" spans="1:29" ht="14.4">
      <c r="A35" s="479" t="s">
        <v>2568</v>
      </c>
      <c r="B35" s="480"/>
      <c r="C35" s="1407" t="s">
        <v>1</v>
      </c>
      <c r="D35" s="1408"/>
      <c r="E35" s="1409"/>
      <c r="F35" s="1410"/>
      <c r="G35" s="1411"/>
      <c r="H35" s="1412"/>
      <c r="I35" s="1409"/>
      <c r="J35" s="1412"/>
      <c r="K35" s="783"/>
      <c r="L35" s="1143"/>
      <c r="M35" s="1144"/>
      <c r="N35" s="1131"/>
      <c r="O35" s="1144"/>
      <c r="P35" s="3235" t="str">
        <f>A35</f>
        <v>成交单价（元/平方米）</v>
      </c>
      <c r="Q35" s="3235"/>
      <c r="R35" s="3236">
        <f>E35</f>
        <v>0</v>
      </c>
      <c r="S35" s="3236"/>
      <c r="T35" s="3236">
        <f>G35</f>
        <v>0</v>
      </c>
      <c r="U35" s="3236"/>
      <c r="V35" s="3236">
        <f>I35</f>
        <v>0</v>
      </c>
      <c r="W35" s="3236"/>
      <c r="X35" s="759"/>
      <c r="Y35" s="781"/>
      <c r="Z35" s="759"/>
      <c r="AA35" s="759"/>
      <c r="AB35" s="759"/>
      <c r="AC35" s="759"/>
    </row>
    <row r="36" spans="1:29" ht="1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 thickBot="1">
      <c r="A37" s="492" t="s">
        <v>2661</v>
      </c>
      <c r="B37" s="493"/>
      <c r="C37" s="1417" t="e">
        <f>R37</f>
        <v>#DIV/0!</v>
      </c>
      <c r="D37" s="1417"/>
      <c r="E37" s="1417"/>
      <c r="F37" s="1417"/>
      <c r="G37" s="1417"/>
      <c r="H37" s="1417"/>
      <c r="I37" s="1417"/>
      <c r="J37" s="1417"/>
      <c r="K37" s="785"/>
      <c r="L37" s="1143"/>
      <c r="M37" s="1144"/>
      <c r="N37" s="1144"/>
      <c r="O37" s="1144"/>
      <c r="P37" s="3232" t="str">
        <f>A37</f>
        <v>估价对象XX用房的比较价值（楼面单价，元/平方米）</v>
      </c>
      <c r="Q37" s="3233"/>
      <c r="R37" s="3234" t="e">
        <f>IF(F1="售价",ROUND(AVERAGE(R36:V36),0),ROUND(AVERAGE(R36:V36),1))</f>
        <v>#DIV/0!</v>
      </c>
      <c r="S37" s="3234"/>
      <c r="T37" s="3234"/>
      <c r="U37" s="3234"/>
      <c r="V37" s="3234"/>
      <c r="W37" s="323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2665</v>
      </c>
      <c r="B45" s="759"/>
      <c r="C45" s="764"/>
      <c r="D45" s="764"/>
      <c r="E45" s="764"/>
      <c r="F45" s="765"/>
      <c r="G45" s="765"/>
      <c r="H45" s="764"/>
      <c r="I45" s="764"/>
      <c r="J45" s="764"/>
      <c r="K45" s="766"/>
      <c r="L45" s="767"/>
      <c r="M45" s="764"/>
      <c r="N45" s="764"/>
      <c r="O45" s="764"/>
      <c r="P45" s="503"/>
      <c r="Q45" s="504"/>
    </row>
    <row r="46" spans="1:29" s="508" customFormat="1" ht="14.4">
      <c r="A46" s="505" t="s">
        <v>2539</v>
      </c>
      <c r="B46" s="506"/>
      <c r="C46" s="1573" t="str">
        <f>YEAR(C7)&amp;"-"&amp;MONTH(C7)</f>
        <v>2019-9</v>
      </c>
      <c r="D46" s="1574">
        <f>EDATE(C46,-1)</f>
        <v>43678</v>
      </c>
      <c r="E46" s="1574">
        <f t="shared" ref="E46:O46" si="16">EDATE(D46,-1)</f>
        <v>43647</v>
      </c>
      <c r="F46" s="1574">
        <f t="shared" si="16"/>
        <v>43617</v>
      </c>
      <c r="G46" s="1574">
        <f t="shared" si="16"/>
        <v>43586</v>
      </c>
      <c r="H46" s="1574">
        <f t="shared" si="16"/>
        <v>43556</v>
      </c>
      <c r="I46" s="1574">
        <f t="shared" si="16"/>
        <v>43525</v>
      </c>
      <c r="J46" s="1574">
        <f t="shared" si="16"/>
        <v>43497</v>
      </c>
      <c r="K46" s="1574">
        <f t="shared" si="16"/>
        <v>43466</v>
      </c>
      <c r="L46" s="1574">
        <f t="shared" si="16"/>
        <v>43435</v>
      </c>
      <c r="M46" s="1574">
        <f t="shared" si="16"/>
        <v>43405</v>
      </c>
      <c r="N46" s="1574">
        <f t="shared" si="16"/>
        <v>43374</v>
      </c>
      <c r="O46" s="1574">
        <f t="shared" si="16"/>
        <v>43344</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2576</v>
      </c>
      <c r="B48" s="516"/>
      <c r="C48" s="517"/>
      <c r="D48" s="518"/>
      <c r="E48" s="518"/>
      <c r="F48" s="518"/>
      <c r="G48" s="518"/>
      <c r="H48" s="518"/>
      <c r="I48" s="518"/>
      <c r="J48" s="518"/>
      <c r="K48" s="518"/>
      <c r="L48" s="518"/>
      <c r="M48" s="519"/>
      <c r="N48" s="518"/>
      <c r="O48" s="520"/>
      <c r="P48" s="504"/>
      <c r="Q48" s="504"/>
    </row>
    <row r="49" spans="1:17" s="117" customFormat="1" ht="14.4">
      <c r="A49" s="521" t="s">
        <v>2541</v>
      </c>
      <c r="B49" s="510"/>
      <c r="C49" s="522" t="s">
        <v>2643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2579</v>
      </c>
      <c r="B51" s="528" t="s">
        <v>2545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55" zoomScaleNormal="55" workbookViewId="0">
      <selection activeCell="B2" sqref="B2:B3"/>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5.5546875" style="403" customWidth="1"/>
    <col min="6" max="6" width="12.21875" style="403" customWidth="1"/>
    <col min="7" max="7" width="16.2187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f>F66</f>
        <v>173145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f>ROUND(IF(D3="",B2*10000/'数据-汇总表'!E3,B2*10000/D3),0)</f>
        <v>41554</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2636</v>
      </c>
      <c r="B4" s="402"/>
      <c r="C4" s="3218" t="s">
        <v>2637</v>
      </c>
      <c r="D4" s="3219"/>
      <c r="E4" s="3220" t="s">
        <v>2638</v>
      </c>
      <c r="F4" s="3221"/>
      <c r="G4" s="3218" t="s">
        <v>2639</v>
      </c>
      <c r="H4" s="3219"/>
      <c r="I4" s="3218" t="s">
        <v>2640</v>
      </c>
      <c r="J4" s="3219"/>
      <c r="K4" s="610" t="s">
        <v>2641</v>
      </c>
      <c r="L4" s="1130"/>
      <c r="M4" s="1131"/>
      <c r="N4" s="1131"/>
      <c r="O4" s="1131"/>
      <c r="P4" s="3222" t="s">
        <v>2642</v>
      </c>
      <c r="Q4" s="3223"/>
      <c r="R4" s="3207" t="s">
        <v>2638</v>
      </c>
      <c r="S4" s="3208"/>
      <c r="T4" s="3207" t="s">
        <v>2639</v>
      </c>
      <c r="U4" s="3208"/>
      <c r="V4" s="3230" t="s">
        <v>2640</v>
      </c>
      <c r="W4" s="3230"/>
      <c r="X4" s="1812"/>
      <c r="Y4" s="3207" t="s">
        <v>2642</v>
      </c>
      <c r="Z4" s="3208"/>
      <c r="AA4" s="3202" t="s">
        <v>2638</v>
      </c>
      <c r="AB4" s="3203" t="s">
        <v>2639</v>
      </c>
      <c r="AC4" s="3202" t="s">
        <v>2640</v>
      </c>
    </row>
    <row r="5" spans="1:30">
      <c r="A5" s="404"/>
      <c r="B5" s="405"/>
      <c r="C5" s="3248" t="str">
        <f>'比较法-住宅'!C5:D5</f>
        <v>第三金碧花园</v>
      </c>
      <c r="D5" s="3249"/>
      <c r="E5" s="3246" t="str">
        <f>案例!A22</f>
        <v>海珠区江燕路AH050406、AH050408地块</v>
      </c>
      <c r="F5" s="3247"/>
      <c r="G5" s="3248" t="str">
        <f>案例!A23</f>
        <v>荔湾区芳村大道南以西,鹤洞路以南AF040219地块</v>
      </c>
      <c r="H5" s="3249"/>
      <c r="I5" s="3248" t="str">
        <f>案例!A25</f>
        <v>白云区白云新城AB2804012地块</v>
      </c>
      <c r="J5" s="3249"/>
      <c r="K5" s="610"/>
      <c r="L5" s="1130"/>
      <c r="M5" s="1131"/>
      <c r="N5" s="1131"/>
      <c r="O5" s="1131"/>
      <c r="P5" s="3224"/>
      <c r="Q5" s="3225"/>
      <c r="R5" s="3209"/>
      <c r="S5" s="3210"/>
      <c r="T5" s="3209"/>
      <c r="U5" s="3210"/>
      <c r="V5" s="3230"/>
      <c r="W5" s="3230"/>
      <c r="X5" s="1812"/>
      <c r="Y5" s="3209"/>
      <c r="Z5" s="3210"/>
      <c r="AA5" s="3203"/>
      <c r="AB5" s="3203"/>
      <c r="AC5" s="3203"/>
    </row>
    <row r="6" spans="1:30" ht="15" thickBot="1">
      <c r="A6" s="406"/>
      <c r="B6" s="407"/>
      <c r="C6" s="3250" t="s">
        <v>2537</v>
      </c>
      <c r="D6" s="3251"/>
      <c r="E6" s="3252" t="s">
        <v>2537</v>
      </c>
      <c r="F6" s="3253"/>
      <c r="G6" s="3250" t="s">
        <v>2537</v>
      </c>
      <c r="H6" s="3251"/>
      <c r="I6" s="3250" t="s">
        <v>2537</v>
      </c>
      <c r="J6" s="3251"/>
      <c r="K6" s="610" t="s">
        <v>2538</v>
      </c>
      <c r="L6" s="1130"/>
      <c r="M6" s="1131"/>
      <c r="N6" s="1131"/>
      <c r="O6" s="1131"/>
      <c r="P6" s="3226"/>
      <c r="Q6" s="3227"/>
      <c r="R6" s="3209"/>
      <c r="S6" s="3210"/>
      <c r="T6" s="3228"/>
      <c r="U6" s="3229"/>
      <c r="V6" s="3230"/>
      <c r="W6" s="3230"/>
      <c r="X6" s="1812"/>
      <c r="Y6" s="3228"/>
      <c r="Z6" s="3229"/>
      <c r="AA6" s="3204"/>
      <c r="AB6" s="3204"/>
      <c r="AC6" s="3204"/>
    </row>
    <row r="7" spans="1:30" s="117" customFormat="1" ht="15" thickBot="1">
      <c r="A7" s="408" t="s">
        <v>2539</v>
      </c>
      <c r="B7" s="409"/>
      <c r="C7" s="410">
        <f>'数据-取费表'!B2</f>
        <v>43712</v>
      </c>
      <c r="D7" s="411">
        <v>100</v>
      </c>
      <c r="E7" s="412" t="str">
        <f>案例!AA22</f>
        <v>2016-11-22</v>
      </c>
      <c r="F7" s="413">
        <f>SUMIF(70:70,YEAR(E7)&amp;"-"&amp;INT((MONTH(E7)+2)/3),71:71)</f>
        <v>97.799999999999969</v>
      </c>
      <c r="G7" s="2695" t="str">
        <f>案例!AA23</f>
        <v>2016-11-22</v>
      </c>
      <c r="H7" s="411">
        <f>SUMIF(70:70,YEAR(G7)&amp;"-"&amp;INT((MONTH(G7)+2)/3),71:71)</f>
        <v>97.799999999999969</v>
      </c>
      <c r="I7" s="2695" t="str">
        <f>案例!AA25</f>
        <v>2016-11-22</v>
      </c>
      <c r="J7" s="411">
        <f>SUMIF(70:70,YEAR(I7)&amp;"-"&amp;INT((MONTH(I7)+2)/3),71:71)</f>
        <v>97.799999999999969</v>
      </c>
      <c r="K7" s="611"/>
      <c r="L7" s="1132"/>
      <c r="M7" s="1133"/>
      <c r="N7" s="1133"/>
      <c r="O7" s="1133"/>
      <c r="P7" s="3205" t="s">
        <v>2540</v>
      </c>
      <c r="Q7" s="3231"/>
      <c r="R7" s="770" t="s">
        <v>17</v>
      </c>
      <c r="S7" s="771">
        <f t="shared" ref="S7:S15" si="0">F7</f>
        <v>97.799999999999969</v>
      </c>
      <c r="T7" s="770" t="s">
        <v>17</v>
      </c>
      <c r="U7" s="771">
        <f t="shared" ref="U7:U15" si="1">H7</f>
        <v>97.799999999999969</v>
      </c>
      <c r="V7" s="770" t="s">
        <v>17</v>
      </c>
      <c r="W7" s="771">
        <f t="shared" ref="W7:W15" si="2">J7</f>
        <v>97.799999999999969</v>
      </c>
      <c r="X7" s="772"/>
      <c r="Y7" s="3205" t="s">
        <v>2540</v>
      </c>
      <c r="Z7" s="3206"/>
      <c r="AA7" s="773">
        <f>D7/F7</f>
        <v>1.0224948875255626</v>
      </c>
      <c r="AB7" s="773">
        <f>D7/H7</f>
        <v>1.0224948875255626</v>
      </c>
      <c r="AC7" s="773">
        <f>D7/J7</f>
        <v>1.0224948875255626</v>
      </c>
    </row>
    <row r="8" spans="1:30" s="117" customFormat="1" ht="15" thickBot="1">
      <c r="A8" s="408" t="s">
        <v>2541</v>
      </c>
      <c r="B8" s="409"/>
      <c r="C8" s="414" t="s">
        <v>2542</v>
      </c>
      <c r="D8" s="411">
        <v>100</v>
      </c>
      <c r="E8" s="414" t="s">
        <v>2542</v>
      </c>
      <c r="F8" s="413">
        <f>SUMIF(73:73,E8,74:74)-SUMIF(73:73,C8,74:74)+100</f>
        <v>100</v>
      </c>
      <c r="G8" s="414" t="s">
        <v>2542</v>
      </c>
      <c r="H8" s="411">
        <f>SUMIF(73:73,G8,74:74)-SUMIF(73:73,C8,74:74)+100</f>
        <v>100</v>
      </c>
      <c r="I8" s="414" t="s">
        <v>2542</v>
      </c>
      <c r="J8" s="411">
        <f>SUMIF(73:73,I8,74:74)-SUMIF(73:73,C8,74:74)+100</f>
        <v>100</v>
      </c>
      <c r="K8" s="611"/>
      <c r="L8" s="1132"/>
      <c r="M8" s="1133"/>
      <c r="N8" s="1133"/>
      <c r="O8" s="1133"/>
      <c r="P8" s="3205" t="s">
        <v>2543</v>
      </c>
      <c r="Q8" s="3206"/>
      <c r="R8" s="770" t="s">
        <v>17</v>
      </c>
      <c r="S8" s="771">
        <f t="shared" si="0"/>
        <v>100</v>
      </c>
      <c r="T8" s="770" t="s">
        <v>17</v>
      </c>
      <c r="U8" s="771">
        <f t="shared" si="1"/>
        <v>100</v>
      </c>
      <c r="V8" s="770" t="s">
        <v>17</v>
      </c>
      <c r="W8" s="771">
        <f t="shared" si="2"/>
        <v>100</v>
      </c>
      <c r="X8" s="772"/>
      <c r="Y8" s="3205" t="s">
        <v>2543</v>
      </c>
      <c r="Z8" s="3206"/>
      <c r="AA8" s="773">
        <f t="shared" ref="AA8:AA45" si="3">D8/F8</f>
        <v>1</v>
      </c>
      <c r="AB8" s="773">
        <f t="shared" ref="AB8:AB45" si="4">D8/H8</f>
        <v>1</v>
      </c>
      <c r="AC8" s="773">
        <f t="shared" ref="AC8:AC45" si="5">D8/J8</f>
        <v>1</v>
      </c>
    </row>
    <row r="9" spans="1:30" s="117" customFormat="1" ht="14.4">
      <c r="A9" s="415" t="s">
        <v>2544</v>
      </c>
      <c r="B9" s="71" t="s">
        <v>2545</v>
      </c>
      <c r="C9" s="2698" t="s">
        <v>3117</v>
      </c>
      <c r="D9" s="135">
        <v>100</v>
      </c>
      <c r="E9" s="2698" t="s">
        <v>3117</v>
      </c>
      <c r="F9" s="135">
        <f>SUMIF(75:75,E9,76:76)-SUMIF(75:75,C9,76:76)+100</f>
        <v>100</v>
      </c>
      <c r="G9" s="2698" t="s">
        <v>3117</v>
      </c>
      <c r="H9" s="135">
        <f>SUMIF(75:75,G9,76:76)-SUMIF(75:75,C9,76:76)+100</f>
        <v>100</v>
      </c>
      <c r="I9" s="2698" t="s">
        <v>3117</v>
      </c>
      <c r="J9" s="135">
        <f>SUMIF(75:75,I9,76:76)-SUMIF(75:75,C9,76:76)+100</f>
        <v>100</v>
      </c>
      <c r="K9" s="611"/>
      <c r="L9" s="1132"/>
      <c r="M9" s="1133"/>
      <c r="N9" s="1133"/>
      <c r="O9" s="1134"/>
      <c r="P9" s="3235" t="s">
        <v>2546</v>
      </c>
      <c r="Q9" s="1794" t="str">
        <f t="shared" ref="Q9:Q15" si="6">B9</f>
        <v>用途</v>
      </c>
      <c r="R9" s="770" t="s">
        <v>17</v>
      </c>
      <c r="S9" s="771">
        <f t="shared" si="0"/>
        <v>100</v>
      </c>
      <c r="T9" s="770" t="s">
        <v>17</v>
      </c>
      <c r="U9" s="771">
        <f t="shared" si="1"/>
        <v>100</v>
      </c>
      <c r="V9" s="770" t="s">
        <v>17</v>
      </c>
      <c r="W9" s="771">
        <f t="shared" si="2"/>
        <v>100</v>
      </c>
      <c r="X9" s="772"/>
      <c r="Y9" s="3052" t="s">
        <v>2547</v>
      </c>
      <c r="Z9" s="55" t="str">
        <f t="shared" ref="Z9:Z15" si="7">Q9</f>
        <v>用途</v>
      </c>
      <c r="AA9" s="773">
        <f t="shared" si="3"/>
        <v>1</v>
      </c>
      <c r="AB9" s="773">
        <f t="shared" si="4"/>
        <v>1</v>
      </c>
      <c r="AC9" s="773">
        <f t="shared" si="5"/>
        <v>1</v>
      </c>
    </row>
    <row r="10" spans="1:30" s="427" customFormat="1" ht="28.8">
      <c r="A10" s="421"/>
      <c r="B10" s="422" t="s">
        <v>2548</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35"/>
      <c r="Q10" s="1794" t="str">
        <f t="shared" si="6"/>
        <v>土地使用年限（年）</v>
      </c>
      <c r="R10" s="770" t="s">
        <v>17</v>
      </c>
      <c r="S10" s="771">
        <f t="shared" si="0"/>
        <v>107</v>
      </c>
      <c r="T10" s="770" t="s">
        <v>17</v>
      </c>
      <c r="U10" s="771">
        <f t="shared" si="1"/>
        <v>107</v>
      </c>
      <c r="V10" s="770" t="s">
        <v>17</v>
      </c>
      <c r="W10" s="771">
        <f t="shared" si="2"/>
        <v>107</v>
      </c>
      <c r="X10" s="772"/>
      <c r="Y10" s="3052"/>
      <c r="Z10" s="55" t="str">
        <f t="shared" si="7"/>
        <v>土地使用年限（年）</v>
      </c>
      <c r="AA10" s="773">
        <f t="shared" si="3"/>
        <v>0.93457943925233644</v>
      </c>
      <c r="AB10" s="773">
        <f t="shared" si="4"/>
        <v>0.93457943925233644</v>
      </c>
      <c r="AC10" s="773">
        <f t="shared" si="5"/>
        <v>0.93457943925233644</v>
      </c>
    </row>
    <row r="11" spans="1:30" ht="15">
      <c r="A11" s="428"/>
      <c r="B11" s="422" t="s">
        <v>2549</v>
      </c>
      <c r="C11" s="429">
        <f>'数据-汇总表'!I6</f>
        <v>2.15</v>
      </c>
      <c r="D11" s="136">
        <v>100</v>
      </c>
      <c r="E11" s="429">
        <v>2.5</v>
      </c>
      <c r="F11" s="136">
        <f>LOOKUP(E11,80:80,81:81)-LOOKUP(C11,80:80,81:81)+100</f>
        <v>100</v>
      </c>
      <c r="G11" s="430">
        <v>4.8</v>
      </c>
      <c r="H11" s="136">
        <f>LOOKUP(G11,80:80,81:81)-LOOKUP(C11,80:80,81:81)+100</f>
        <v>99</v>
      </c>
      <c r="I11" s="429">
        <v>3.9</v>
      </c>
      <c r="J11" s="136">
        <f>LOOKUP(I11,80:80,81:81)-LOOKUP(C11,80:80,81:81)+100</f>
        <v>99.5</v>
      </c>
      <c r="K11" s="673">
        <v>0.5</v>
      </c>
      <c r="L11" s="1138"/>
      <c r="M11" s="1131"/>
      <c r="N11" s="1131"/>
      <c r="O11" s="1139"/>
      <c r="P11" s="3235"/>
      <c r="Q11" s="1794" t="str">
        <f t="shared" si="6"/>
        <v>容积率</v>
      </c>
      <c r="R11" s="770" t="s">
        <v>17</v>
      </c>
      <c r="S11" s="771">
        <f t="shared" si="0"/>
        <v>100</v>
      </c>
      <c r="T11" s="770" t="s">
        <v>17</v>
      </c>
      <c r="U11" s="771">
        <f t="shared" si="1"/>
        <v>99</v>
      </c>
      <c r="V11" s="770" t="s">
        <v>17</v>
      </c>
      <c r="W11" s="771">
        <f t="shared" si="2"/>
        <v>99.5</v>
      </c>
      <c r="X11" s="772"/>
      <c r="Y11" s="3052"/>
      <c r="Z11" s="55" t="str">
        <f t="shared" si="7"/>
        <v>容积率</v>
      </c>
      <c r="AA11" s="773">
        <f t="shared" si="3"/>
        <v>1</v>
      </c>
      <c r="AB11" s="773">
        <f t="shared" si="4"/>
        <v>1.0101010101010102</v>
      </c>
      <c r="AC11" s="773">
        <f t="shared" si="5"/>
        <v>1.0050251256281406</v>
      </c>
    </row>
    <row r="12" spans="1:30" s="117" customFormat="1" ht="15">
      <c r="A12" s="431"/>
      <c r="B12" s="2600"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5"/>
      <c r="Q12" s="1794" t="str">
        <f t="shared" si="6"/>
        <v>配建</v>
      </c>
      <c r="R12" s="770" t="s">
        <v>17</v>
      </c>
      <c r="S12" s="771">
        <f t="shared" si="0"/>
        <v>100</v>
      </c>
      <c r="T12" s="770" t="s">
        <v>17</v>
      </c>
      <c r="U12" s="771">
        <f t="shared" si="1"/>
        <v>100</v>
      </c>
      <c r="V12" s="770" t="s">
        <v>17</v>
      </c>
      <c r="W12" s="771">
        <f t="shared" si="2"/>
        <v>100</v>
      </c>
      <c r="X12" s="772"/>
      <c r="Y12" s="3052"/>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5"/>
      <c r="Q13" s="1794">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5"/>
      <c r="Q14" s="1794">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96.6">
      <c r="A15" s="440" t="s">
        <v>2550</v>
      </c>
      <c r="B15" s="69" t="s">
        <v>2083</v>
      </c>
      <c r="C15" s="2603" t="str">
        <f>估价对象房地状况!C15</f>
        <v>估价对象周边居住用地比例、居住小区规模和社区发展完善程度，综合评价居住社区成熟度较好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v>2</v>
      </c>
      <c r="L15" s="1140"/>
      <c r="M15" s="1131"/>
      <c r="N15" s="1131"/>
      <c r="O15" s="1139"/>
      <c r="P15" s="3237" t="s">
        <v>2551</v>
      </c>
      <c r="Q15" s="1809" t="str">
        <f t="shared" si="6"/>
        <v>居住社区成熟度</v>
      </c>
      <c r="R15" s="774" t="s">
        <v>17</v>
      </c>
      <c r="S15" s="775">
        <f t="shared" si="0"/>
        <v>100</v>
      </c>
      <c r="T15" s="774" t="s">
        <v>17</v>
      </c>
      <c r="U15" s="775">
        <f t="shared" si="1"/>
        <v>100</v>
      </c>
      <c r="V15" s="774" t="s">
        <v>17</v>
      </c>
      <c r="W15" s="775">
        <f t="shared" si="2"/>
        <v>100</v>
      </c>
      <c r="X15" s="1812"/>
      <c r="Y15" s="3237" t="s">
        <v>2551</v>
      </c>
      <c r="Z15" s="1813" t="str">
        <f t="shared" si="7"/>
        <v>居住社区成熟度</v>
      </c>
      <c r="AA15" s="1810">
        <f t="shared" si="3"/>
        <v>1</v>
      </c>
      <c r="AB15" s="1810">
        <f t="shared" si="4"/>
        <v>1</v>
      </c>
      <c r="AC15" s="1810">
        <f t="shared" si="5"/>
        <v>1</v>
      </c>
    </row>
    <row r="16" spans="1:30" ht="15">
      <c r="A16" s="428"/>
      <c r="B16" s="446"/>
      <c r="C16" s="447" t="s">
        <v>3207</v>
      </c>
      <c r="D16" s="448"/>
      <c r="E16" s="447" t="s">
        <v>3207</v>
      </c>
      <c r="F16" s="448"/>
      <c r="G16" s="447" t="s">
        <v>3207</v>
      </c>
      <c r="H16" s="450"/>
      <c r="I16" s="447" t="s">
        <v>3207</v>
      </c>
      <c r="J16" s="448"/>
      <c r="K16" s="672"/>
      <c r="L16" s="1140"/>
      <c r="M16" s="1131"/>
      <c r="N16" s="1131"/>
      <c r="O16" s="1139"/>
      <c r="P16" s="3238"/>
      <c r="Q16" s="1809"/>
      <c r="R16" s="774"/>
      <c r="S16" s="775"/>
      <c r="T16" s="774"/>
      <c r="U16" s="775"/>
      <c r="V16" s="774"/>
      <c r="W16" s="775"/>
      <c r="X16" s="1812"/>
      <c r="Y16" s="3238"/>
      <c r="Z16" s="1813"/>
      <c r="AA16" s="1810">
        <v>1</v>
      </c>
      <c r="AB16" s="1810">
        <v>1</v>
      </c>
      <c r="AC16" s="1810">
        <v>1</v>
      </c>
    </row>
    <row r="17" spans="1:29" ht="82.8">
      <c r="A17" s="428"/>
      <c r="B17" s="451" t="s">
        <v>2644</v>
      </c>
      <c r="C17" s="2663" t="str">
        <f>估价对象房地状况!C16</f>
        <v>估价对象位于XX商圈，周边商业氛围成熟，人流量大，商业繁华度较好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38"/>
      <c r="Q17" s="1809" t="str">
        <f>B17</f>
        <v>商业繁华度</v>
      </c>
      <c r="R17" s="774" t="s">
        <v>17</v>
      </c>
      <c r="S17" s="775">
        <f>F17</f>
        <v>100</v>
      </c>
      <c r="T17" s="774" t="s">
        <v>17</v>
      </c>
      <c r="U17" s="775">
        <f>H17</f>
        <v>100</v>
      </c>
      <c r="V17" s="774" t="s">
        <v>17</v>
      </c>
      <c r="W17" s="775">
        <f>J17</f>
        <v>100</v>
      </c>
      <c r="X17" s="1812"/>
      <c r="Y17" s="3238"/>
      <c r="Z17" s="1813" t="str">
        <f>Q17</f>
        <v>商业繁华度</v>
      </c>
      <c r="AA17" s="1810">
        <f t="shared" si="3"/>
        <v>1</v>
      </c>
      <c r="AB17" s="1810">
        <f t="shared" si="4"/>
        <v>1</v>
      </c>
      <c r="AC17" s="1810">
        <f t="shared" si="5"/>
        <v>1</v>
      </c>
    </row>
    <row r="18" spans="1:29" ht="15">
      <c r="A18" s="428"/>
      <c r="B18" s="456"/>
      <c r="C18" s="2608" t="s">
        <v>3209</v>
      </c>
      <c r="D18" s="450"/>
      <c r="E18" s="2608" t="s">
        <v>3209</v>
      </c>
      <c r="F18" s="450"/>
      <c r="G18" s="2608" t="s">
        <v>3209</v>
      </c>
      <c r="H18" s="448"/>
      <c r="I18" s="2608" t="s">
        <v>3209</v>
      </c>
      <c r="J18" s="448"/>
      <c r="K18" s="672"/>
      <c r="L18" s="1140"/>
      <c r="M18" s="1131"/>
      <c r="N18" s="1131"/>
      <c r="O18" s="1139"/>
      <c r="P18" s="3238"/>
      <c r="Q18" s="1809"/>
      <c r="R18" s="774"/>
      <c r="S18" s="775"/>
      <c r="T18" s="774"/>
      <c r="U18" s="775"/>
      <c r="V18" s="774"/>
      <c r="W18" s="775"/>
      <c r="X18" s="1812"/>
      <c r="Y18" s="3238"/>
      <c r="Z18" s="1813"/>
      <c r="AA18" s="1810">
        <v>1</v>
      </c>
      <c r="AB18" s="1810">
        <v>1</v>
      </c>
      <c r="AC18" s="1810">
        <v>1</v>
      </c>
    </row>
    <row r="19" spans="1:29" ht="15">
      <c r="A19" s="428"/>
      <c r="B19" s="451" t="s">
        <v>2678</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8"/>
      <c r="Q19" s="1809" t="str">
        <f>B19</f>
        <v>办公集聚程度</v>
      </c>
      <c r="R19" s="774" t="s">
        <v>17</v>
      </c>
      <c r="S19" s="775">
        <f>F19</f>
        <v>100</v>
      </c>
      <c r="T19" s="774" t="s">
        <v>17</v>
      </c>
      <c r="U19" s="775">
        <f>H19</f>
        <v>100</v>
      </c>
      <c r="V19" s="774" t="s">
        <v>17</v>
      </c>
      <c r="W19" s="775">
        <f>J19</f>
        <v>100</v>
      </c>
      <c r="X19" s="1812"/>
      <c r="Y19" s="3238"/>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40"/>
      <c r="M20" s="1131"/>
      <c r="N20" s="1131"/>
      <c r="O20" s="1139"/>
      <c r="P20" s="3238"/>
      <c r="Q20" s="1809"/>
      <c r="R20" s="774"/>
      <c r="S20" s="775"/>
      <c r="T20" s="774"/>
      <c r="U20" s="775"/>
      <c r="V20" s="774"/>
      <c r="W20" s="775"/>
      <c r="X20" s="1812"/>
      <c r="Y20" s="3238"/>
      <c r="Z20" s="1813"/>
      <c r="AA20" s="1810">
        <v>1</v>
      </c>
      <c r="AB20" s="1810">
        <v>1</v>
      </c>
      <c r="AC20" s="1810">
        <v>1</v>
      </c>
    </row>
    <row r="21" spans="1:29" ht="96.6">
      <c r="A21" s="428"/>
      <c r="B21" s="451" t="s">
        <v>2700</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38"/>
      <c r="Q21" s="1809" t="str">
        <f>B21</f>
        <v>交通便捷度</v>
      </c>
      <c r="R21" s="774" t="s">
        <v>17</v>
      </c>
      <c r="S21" s="775">
        <f>F21</f>
        <v>100</v>
      </c>
      <c r="T21" s="774" t="s">
        <v>17</v>
      </c>
      <c r="U21" s="775">
        <f>H21</f>
        <v>100</v>
      </c>
      <c r="V21" s="774" t="s">
        <v>17</v>
      </c>
      <c r="W21" s="775">
        <f>J21</f>
        <v>100</v>
      </c>
      <c r="X21" s="1812"/>
      <c r="Y21" s="3238"/>
      <c r="Z21" s="1813" t="str">
        <f>Q21</f>
        <v>交通便捷度</v>
      </c>
      <c r="AA21" s="1810">
        <f t="shared" si="3"/>
        <v>1</v>
      </c>
      <c r="AB21" s="1810">
        <f t="shared" si="4"/>
        <v>1</v>
      </c>
      <c r="AC21" s="1810">
        <f t="shared" si="5"/>
        <v>1</v>
      </c>
    </row>
    <row r="22" spans="1:29" ht="15">
      <c r="A22" s="428"/>
      <c r="B22" s="1384"/>
      <c r="C22" s="447" t="s">
        <v>3207</v>
      </c>
      <c r="D22" s="450"/>
      <c r="E22" s="447" t="s">
        <v>3207</v>
      </c>
      <c r="F22" s="448"/>
      <c r="G22" s="447" t="s">
        <v>3207</v>
      </c>
      <c r="H22" s="448"/>
      <c r="I22" s="447" t="s">
        <v>3207</v>
      </c>
      <c r="J22" s="448"/>
      <c r="K22" s="672"/>
      <c r="L22" s="1140"/>
      <c r="M22" s="1131"/>
      <c r="N22" s="1131"/>
      <c r="O22" s="1139"/>
      <c r="P22" s="3238"/>
      <c r="Q22" s="1809"/>
      <c r="R22" s="774"/>
      <c r="S22" s="775"/>
      <c r="T22" s="774"/>
      <c r="U22" s="775"/>
      <c r="V22" s="774"/>
      <c r="W22" s="775"/>
      <c r="X22" s="1812"/>
      <c r="Y22" s="3238"/>
      <c r="Z22" s="1813"/>
      <c r="AA22" s="1810">
        <v>1</v>
      </c>
      <c r="AB22" s="1810">
        <v>1</v>
      </c>
      <c r="AC22" s="1810">
        <v>1</v>
      </c>
    </row>
    <row r="23" spans="1:29" ht="28.8">
      <c r="A23" s="404"/>
      <c r="B23" s="451" t="s">
        <v>2739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238"/>
      <c r="Q23" s="1809" t="str">
        <f t="shared" ref="Q23:Q37" si="8">B23</f>
        <v>区域土地利用方向</v>
      </c>
      <c r="R23" s="774" t="s">
        <v>17</v>
      </c>
      <c r="S23" s="775">
        <f>F23</f>
        <v>100</v>
      </c>
      <c r="T23" s="774" t="s">
        <v>17</v>
      </c>
      <c r="U23" s="775">
        <f>H23</f>
        <v>100</v>
      </c>
      <c r="V23" s="774" t="s">
        <v>17</v>
      </c>
      <c r="W23" s="775">
        <f>J23</f>
        <v>100</v>
      </c>
      <c r="X23" s="1812"/>
      <c r="Y23" s="3238"/>
      <c r="Z23" s="1813" t="str">
        <f>Q23</f>
        <v>区域土地利用方向</v>
      </c>
      <c r="AA23" s="1810">
        <f t="shared" si="3"/>
        <v>1</v>
      </c>
      <c r="AB23" s="1810">
        <f t="shared" si="4"/>
        <v>1</v>
      </c>
      <c r="AC23" s="1810">
        <f t="shared" si="5"/>
        <v>1</v>
      </c>
    </row>
    <row r="24" spans="1:29" ht="15">
      <c r="A24" s="404"/>
      <c r="B24" s="456"/>
      <c r="C24" s="616" t="s">
        <v>3207</v>
      </c>
      <c r="D24" s="448"/>
      <c r="E24" s="616" t="s">
        <v>3207</v>
      </c>
      <c r="F24" s="448"/>
      <c r="G24" s="616" t="s">
        <v>3207</v>
      </c>
      <c r="H24" s="448"/>
      <c r="I24" s="616" t="s">
        <v>3207</v>
      </c>
      <c r="J24" s="448"/>
      <c r="K24" s="812"/>
      <c r="L24" s="1140"/>
      <c r="M24" s="1131"/>
      <c r="N24" s="1131"/>
      <c r="O24" s="1139"/>
      <c r="P24" s="3238"/>
      <c r="Q24" s="1809"/>
      <c r="R24" s="774"/>
      <c r="S24" s="775"/>
      <c r="T24" s="774"/>
      <c r="U24" s="775"/>
      <c r="V24" s="774"/>
      <c r="W24" s="775"/>
      <c r="X24" s="1812"/>
      <c r="Y24" s="3238"/>
      <c r="Z24" s="1813"/>
      <c r="AA24" s="1810"/>
      <c r="AB24" s="1810"/>
      <c r="AC24" s="1810"/>
    </row>
    <row r="25" spans="1:29" ht="28.8">
      <c r="A25" s="404"/>
      <c r="B25" s="1384" t="s">
        <v>2740</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102</v>
      </c>
      <c r="K25" s="673">
        <v>2</v>
      </c>
      <c r="L25" s="1140"/>
      <c r="M25" s="1131"/>
      <c r="N25" s="1131"/>
      <c r="O25" s="1139"/>
      <c r="P25" s="3238"/>
      <c r="Q25" s="1809" t="str">
        <f t="shared" si="8"/>
        <v>自然及人文环境状况</v>
      </c>
      <c r="R25" s="774" t="s">
        <v>17</v>
      </c>
      <c r="S25" s="775">
        <f>F25</f>
        <v>100</v>
      </c>
      <c r="T25" s="774" t="s">
        <v>17</v>
      </c>
      <c r="U25" s="775">
        <f>H25</f>
        <v>100</v>
      </c>
      <c r="V25" s="774" t="s">
        <v>17</v>
      </c>
      <c r="W25" s="775">
        <f>J25</f>
        <v>102</v>
      </c>
      <c r="X25" s="1812"/>
      <c r="Y25" s="3238"/>
      <c r="Z25" s="1813" t="str">
        <f>Q25</f>
        <v>自然及人文环境状况</v>
      </c>
      <c r="AA25" s="1810">
        <f t="shared" si="3"/>
        <v>1</v>
      </c>
      <c r="AB25" s="1810">
        <f t="shared" si="4"/>
        <v>1</v>
      </c>
      <c r="AC25" s="1810">
        <f t="shared" si="5"/>
        <v>0.98039215686274506</v>
      </c>
    </row>
    <row r="26" spans="1:29" ht="15">
      <c r="A26" s="404"/>
      <c r="B26" s="456"/>
      <c r="C26" s="447" t="s">
        <v>3207</v>
      </c>
      <c r="D26" s="448"/>
      <c r="E26" s="447" t="s">
        <v>3207</v>
      </c>
      <c r="F26" s="448"/>
      <c r="G26" s="447" t="s">
        <v>3207</v>
      </c>
      <c r="H26" s="448"/>
      <c r="I26" s="447" t="s">
        <v>3205</v>
      </c>
      <c r="J26" s="448"/>
      <c r="K26" s="672"/>
      <c r="L26" s="1140"/>
      <c r="M26" s="1131"/>
      <c r="N26" s="1131"/>
      <c r="O26" s="1139"/>
      <c r="P26" s="3238"/>
      <c r="Q26" s="1809"/>
      <c r="R26" s="774"/>
      <c r="S26" s="775"/>
      <c r="T26" s="774"/>
      <c r="U26" s="775"/>
      <c r="V26" s="774"/>
      <c r="W26" s="775"/>
      <c r="X26" s="1812"/>
      <c r="Y26" s="3238"/>
      <c r="Z26" s="1813"/>
      <c r="AA26" s="1810">
        <v>1</v>
      </c>
      <c r="AB26" s="1810">
        <v>1</v>
      </c>
      <c r="AC26" s="1810">
        <v>1</v>
      </c>
    </row>
    <row r="27" spans="1:29" s="117" customFormat="1" ht="55.2">
      <c r="A27" s="649"/>
      <c r="B27" s="1384" t="s">
        <v>2645</v>
      </c>
      <c r="C27" s="2607"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38"/>
      <c r="Q27" s="1794" t="str">
        <f t="shared" si="8"/>
        <v>公共配套设施</v>
      </c>
      <c r="R27" s="770" t="s">
        <v>17</v>
      </c>
      <c r="S27" s="771">
        <f>F27</f>
        <v>100</v>
      </c>
      <c r="T27" s="770" t="s">
        <v>17</v>
      </c>
      <c r="U27" s="771">
        <f>H27</f>
        <v>100</v>
      </c>
      <c r="V27" s="770" t="s">
        <v>17</v>
      </c>
      <c r="W27" s="771">
        <f>J27</f>
        <v>100</v>
      </c>
      <c r="X27" s="772"/>
      <c r="Y27" s="3238"/>
      <c r="Z27" s="55" t="str">
        <f>Q27</f>
        <v>公共配套设施</v>
      </c>
      <c r="AA27" s="1810">
        <f>D27/F27</f>
        <v>1</v>
      </c>
      <c r="AB27" s="1810">
        <f>D27/H27</f>
        <v>1</v>
      </c>
      <c r="AC27" s="1810">
        <f>D27/J27</f>
        <v>1</v>
      </c>
    </row>
    <row r="28" spans="1:29" s="117" customFormat="1" ht="15">
      <c r="A28" s="649"/>
      <c r="B28" s="456"/>
      <c r="C28" s="2699" t="s">
        <v>3207</v>
      </c>
      <c r="D28" s="448"/>
      <c r="E28" s="2699" t="s">
        <v>3207</v>
      </c>
      <c r="F28" s="448"/>
      <c r="G28" s="2699" t="s">
        <v>3207</v>
      </c>
      <c r="H28" s="448"/>
      <c r="I28" s="2699" t="s">
        <v>3207</v>
      </c>
      <c r="J28" s="448"/>
      <c r="K28" s="672"/>
      <c r="L28" s="1132"/>
      <c r="M28" s="1133"/>
      <c r="N28" s="1133"/>
      <c r="O28" s="1134"/>
      <c r="P28" s="3238"/>
      <c r="Q28" s="1794"/>
      <c r="R28" s="770"/>
      <c r="S28" s="771"/>
      <c r="T28" s="770"/>
      <c r="U28" s="771"/>
      <c r="V28" s="770"/>
      <c r="W28" s="771"/>
      <c r="X28" s="772"/>
      <c r="Y28" s="3238"/>
      <c r="Z28" s="55"/>
      <c r="AA28" s="1810">
        <v>1</v>
      </c>
      <c r="AB28" s="1810">
        <v>1</v>
      </c>
      <c r="AC28" s="1810">
        <v>1</v>
      </c>
    </row>
    <row r="29" spans="1:29" s="117" customFormat="1" ht="15">
      <c r="A29" s="649"/>
      <c r="B29" s="1384" t="s">
        <v>2646</v>
      </c>
      <c r="C29" s="2607"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38"/>
      <c r="Q29" s="1794" t="str">
        <f t="shared" ref="Q29" si="9">B29</f>
        <v>基础设施水平</v>
      </c>
      <c r="R29" s="770" t="s">
        <v>17</v>
      </c>
      <c r="S29" s="771">
        <f>F29</f>
        <v>100</v>
      </c>
      <c r="T29" s="770" t="s">
        <v>17</v>
      </c>
      <c r="U29" s="771">
        <f>H29</f>
        <v>100</v>
      </c>
      <c r="V29" s="770" t="s">
        <v>17</v>
      </c>
      <c r="W29" s="771">
        <f>J29</f>
        <v>100</v>
      </c>
      <c r="X29" s="772"/>
      <c r="Y29" s="3238"/>
      <c r="Z29" s="55" t="str">
        <f>Q29</f>
        <v>基础设施水平</v>
      </c>
      <c r="AA29" s="1810">
        <f>D29/F29</f>
        <v>1</v>
      </c>
      <c r="AB29" s="1810">
        <f>D29/H29</f>
        <v>1</v>
      </c>
      <c r="AC29" s="1810">
        <f>D29/J29</f>
        <v>1</v>
      </c>
    </row>
    <row r="30" spans="1:29" s="117" customFormat="1" ht="15">
      <c r="A30" s="649"/>
      <c r="B30" s="456"/>
      <c r="C30" s="2699" t="s">
        <v>3197</v>
      </c>
      <c r="D30" s="448"/>
      <c r="E30" s="2699" t="s">
        <v>3197</v>
      </c>
      <c r="F30" s="448"/>
      <c r="G30" s="2699" t="s">
        <v>3197</v>
      </c>
      <c r="H30" s="448"/>
      <c r="I30" s="2699" t="s">
        <v>3197</v>
      </c>
      <c r="J30" s="448"/>
      <c r="K30" s="672"/>
      <c r="L30" s="1132"/>
      <c r="M30" s="1133"/>
      <c r="N30" s="1133"/>
      <c r="O30" s="1134"/>
      <c r="P30" s="3238"/>
      <c r="Q30" s="1794"/>
      <c r="R30" s="770"/>
      <c r="S30" s="771"/>
      <c r="T30" s="770"/>
      <c r="U30" s="771"/>
      <c r="V30" s="770"/>
      <c r="W30" s="771"/>
      <c r="X30" s="772"/>
      <c r="Y30" s="3238"/>
      <c r="Z30" s="55"/>
      <c r="AA30" s="1810">
        <v>1</v>
      </c>
      <c r="AB30" s="1810">
        <v>1</v>
      </c>
      <c r="AC30" s="1810">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38"/>
      <c r="Z31" s="1813" t="str">
        <f t="shared" ref="Z31:Z45" si="13">Q31</f>
        <v>临街状况</v>
      </c>
      <c r="AA31" s="1810">
        <f t="shared" si="3"/>
        <v>1</v>
      </c>
      <c r="AB31" s="1810">
        <f t="shared" si="4"/>
        <v>1</v>
      </c>
      <c r="AC31" s="1810">
        <f t="shared" si="5"/>
        <v>1</v>
      </c>
    </row>
    <row r="32" spans="1:29" ht="28.8">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8"/>
      <c r="Q32" s="1809" t="str">
        <f t="shared" si="8"/>
        <v>毗邻道路的类型与等级</v>
      </c>
      <c r="R32" s="774" t="s">
        <v>17</v>
      </c>
      <c r="S32" s="775">
        <f t="shared" si="10"/>
        <v>100</v>
      </c>
      <c r="T32" s="774" t="s">
        <v>17</v>
      </c>
      <c r="U32" s="775">
        <f t="shared" si="11"/>
        <v>100</v>
      </c>
      <c r="V32" s="774" t="s">
        <v>17</v>
      </c>
      <c r="W32" s="775">
        <f t="shared" si="12"/>
        <v>100</v>
      </c>
      <c r="X32" s="1812"/>
      <c r="Y32" s="3238"/>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238"/>
      <c r="Q33" s="1809"/>
      <c r="R33" s="774"/>
      <c r="S33" s="775"/>
      <c r="T33" s="774"/>
      <c r="U33" s="775"/>
      <c r="V33" s="774"/>
      <c r="W33" s="775"/>
      <c r="X33" s="1812"/>
      <c r="Y33" s="3238"/>
      <c r="Z33" s="1813"/>
      <c r="AA33" s="1810">
        <v>1</v>
      </c>
      <c r="AB33" s="1810">
        <v>1</v>
      </c>
      <c r="AC33" s="1810">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8"/>
      <c r="Q34" s="1809" t="str">
        <f t="shared" si="8"/>
        <v>土地级别</v>
      </c>
      <c r="R34" s="774" t="s">
        <v>17</v>
      </c>
      <c r="S34" s="775">
        <f t="shared" si="10"/>
        <v>100</v>
      </c>
      <c r="T34" s="774" t="s">
        <v>17</v>
      </c>
      <c r="U34" s="775">
        <f t="shared" si="11"/>
        <v>100</v>
      </c>
      <c r="V34" s="774" t="s">
        <v>17</v>
      </c>
      <c r="W34" s="775">
        <f t="shared" si="12"/>
        <v>100</v>
      </c>
      <c r="X34" s="1812"/>
      <c r="Y34" s="3238"/>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8"/>
      <c r="Q35" s="1809">
        <f t="shared" si="8"/>
        <v>111</v>
      </c>
      <c r="R35" s="774" t="s">
        <v>17</v>
      </c>
      <c r="S35" s="775">
        <f t="shared" si="10"/>
        <v>100</v>
      </c>
      <c r="T35" s="774" t="s">
        <v>17</v>
      </c>
      <c r="U35" s="775">
        <f t="shared" si="11"/>
        <v>100</v>
      </c>
      <c r="V35" s="774" t="s">
        <v>17</v>
      </c>
      <c r="W35" s="775">
        <f t="shared" si="12"/>
        <v>100</v>
      </c>
      <c r="X35" s="1812"/>
      <c r="Y35" s="3238"/>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9" t="s">
        <v>2556</v>
      </c>
      <c r="Q36" s="1809">
        <f t="shared" si="8"/>
        <v>111</v>
      </c>
      <c r="R36" s="774" t="s">
        <v>17</v>
      </c>
      <c r="S36" s="775">
        <f t="shared" si="10"/>
        <v>100</v>
      </c>
      <c r="T36" s="774" t="s">
        <v>17</v>
      </c>
      <c r="U36" s="775">
        <f t="shared" si="11"/>
        <v>100</v>
      </c>
      <c r="V36" s="774" t="s">
        <v>17</v>
      </c>
      <c r="W36" s="775">
        <f t="shared" si="12"/>
        <v>100</v>
      </c>
      <c r="X36" s="1812"/>
      <c r="Y36" s="3242" t="s">
        <v>2556</v>
      </c>
      <c r="Z36" s="1813">
        <f t="shared" si="13"/>
        <v>111</v>
      </c>
      <c r="AA36" s="1810">
        <f t="shared" si="3"/>
        <v>1</v>
      </c>
      <c r="AB36" s="1810">
        <f t="shared" si="4"/>
        <v>1</v>
      </c>
      <c r="AC36" s="1810">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2"/>
      <c r="Q37" s="1809">
        <f t="shared" si="8"/>
        <v>111</v>
      </c>
      <c r="R37" s="777" t="s">
        <v>17</v>
      </c>
      <c r="S37" s="778">
        <f t="shared" si="10"/>
        <v>100</v>
      </c>
      <c r="T37" s="777" t="s">
        <v>17</v>
      </c>
      <c r="U37" s="778">
        <f t="shared" si="11"/>
        <v>100</v>
      </c>
      <c r="V37" s="777" t="s">
        <v>17</v>
      </c>
      <c r="W37" s="778">
        <f t="shared" si="12"/>
        <v>100</v>
      </c>
      <c r="X37" s="779"/>
      <c r="Y37" s="3242"/>
      <c r="Z37" s="780">
        <f t="shared" si="13"/>
        <v>111</v>
      </c>
      <c r="AA37" s="1810">
        <f t="shared" si="3"/>
        <v>1</v>
      </c>
      <c r="AB37" s="1810">
        <f t="shared" si="4"/>
        <v>1</v>
      </c>
      <c r="AC37" s="1810">
        <f t="shared" si="5"/>
        <v>1</v>
      </c>
    </row>
    <row r="38" spans="1:29" ht="15.6">
      <c r="A38" s="472" t="s">
        <v>2554</v>
      </c>
      <c r="B38" s="456" t="s">
        <v>2742</v>
      </c>
      <c r="C38" s="679">
        <f>'数据-基础表'!A3</f>
        <v>26590</v>
      </c>
      <c r="D38" s="467">
        <v>100</v>
      </c>
      <c r="E38" s="679">
        <f>案例!J22</f>
        <v>31068</v>
      </c>
      <c r="F38" s="467">
        <f>LOOKUP(E38,117:117,118:118)-LOOKUP(C38,117:117,118:118)+100</f>
        <v>100</v>
      </c>
      <c r="G38" s="679">
        <f>案例!J23</f>
        <v>16939.7</v>
      </c>
      <c r="H38" s="467">
        <f>LOOKUP(G38,117:117,118:118)-LOOKUP(C38,117:117,118:118)+100</f>
        <v>99</v>
      </c>
      <c r="I38" s="530">
        <f>案例!J25</f>
        <v>34980</v>
      </c>
      <c r="J38" s="467">
        <f>LOOKUP(I38,117:117,118:118)-LOOKUP(C38,117:117,118:118)+100</f>
        <v>100</v>
      </c>
      <c r="K38" s="613"/>
      <c r="L38" s="1140"/>
      <c r="M38" s="1131"/>
      <c r="N38" s="1131"/>
      <c r="O38" s="1139"/>
      <c r="P38" s="3242"/>
      <c r="Q38" s="1809" t="str">
        <f>B38</f>
        <v>宗地面积</v>
      </c>
      <c r="R38" s="774" t="s">
        <v>17</v>
      </c>
      <c r="S38" s="775">
        <f t="shared" si="10"/>
        <v>100</v>
      </c>
      <c r="T38" s="774" t="s">
        <v>17</v>
      </c>
      <c r="U38" s="775">
        <f t="shared" si="11"/>
        <v>99</v>
      </c>
      <c r="V38" s="774" t="s">
        <v>17</v>
      </c>
      <c r="W38" s="775">
        <f t="shared" si="12"/>
        <v>100</v>
      </c>
      <c r="X38" s="1812"/>
      <c r="Y38" s="3242"/>
      <c r="Z38" s="1813" t="str">
        <f t="shared" si="13"/>
        <v>宗地面积</v>
      </c>
      <c r="AA38" s="1810">
        <f t="shared" si="3"/>
        <v>1</v>
      </c>
      <c r="AB38" s="1810">
        <f t="shared" si="4"/>
        <v>1.0101010101010102</v>
      </c>
      <c r="AC38" s="1810">
        <f t="shared" si="5"/>
        <v>1</v>
      </c>
    </row>
    <row r="39" spans="1:29" ht="15">
      <c r="A39" s="472"/>
      <c r="B39" s="422" t="s">
        <v>2743</v>
      </c>
      <c r="C39" s="2613" t="s">
        <v>3643</v>
      </c>
      <c r="D39" s="435">
        <v>100</v>
      </c>
      <c r="E39" s="2613" t="s">
        <v>3643</v>
      </c>
      <c r="F39" s="435">
        <f>SUMIF(119:119,E39,120:120)-SUMIF(119:119,C39,120:120)+100</f>
        <v>100</v>
      </c>
      <c r="G39" s="2613" t="s">
        <v>3643</v>
      </c>
      <c r="H39" s="435">
        <f>SUMIF(119:119,G39,120:120)-SUMIF(119:119,C39,120:120)+100</f>
        <v>100</v>
      </c>
      <c r="I39" s="2613" t="s">
        <v>3643</v>
      </c>
      <c r="J39" s="435">
        <f>SUMIF(119:119,I39,120:120)-SUMIF(119:119,C39,120:120)+100</f>
        <v>100</v>
      </c>
      <c r="K39" s="612">
        <v>1</v>
      </c>
      <c r="L39" s="1140"/>
      <c r="M39" s="1131"/>
      <c r="N39" s="1131"/>
      <c r="O39" s="1139"/>
      <c r="P39" s="3242"/>
      <c r="Q39" s="1809" t="str">
        <f t="shared" ref="Q39:Q45" si="14">B39</f>
        <v>宗地形状</v>
      </c>
      <c r="R39" s="774" t="s">
        <v>17</v>
      </c>
      <c r="S39" s="775">
        <f t="shared" si="10"/>
        <v>100</v>
      </c>
      <c r="T39" s="774" t="s">
        <v>17</v>
      </c>
      <c r="U39" s="775">
        <f t="shared" si="11"/>
        <v>100</v>
      </c>
      <c r="V39" s="774" t="s">
        <v>17</v>
      </c>
      <c r="W39" s="775">
        <f t="shared" si="12"/>
        <v>100</v>
      </c>
      <c r="X39" s="1812"/>
      <c r="Y39" s="3242"/>
      <c r="Z39" s="1813" t="str">
        <f t="shared" si="13"/>
        <v>宗地形状</v>
      </c>
      <c r="AA39" s="1810">
        <f t="shared" si="3"/>
        <v>1</v>
      </c>
      <c r="AB39" s="1810">
        <f t="shared" si="4"/>
        <v>1</v>
      </c>
      <c r="AC39" s="1810">
        <f t="shared" si="5"/>
        <v>1</v>
      </c>
    </row>
    <row r="40" spans="1:29" ht="15">
      <c r="A40" s="472"/>
      <c r="B40" s="422" t="s">
        <v>2744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v>1</v>
      </c>
      <c r="L40" s="1140"/>
      <c r="M40" s="1131"/>
      <c r="N40" s="1131"/>
      <c r="O40" s="1139"/>
      <c r="P40" s="3242"/>
      <c r="Q40" s="1809" t="str">
        <f t="shared" si="14"/>
        <v>临街宽度及深度</v>
      </c>
      <c r="R40" s="774" t="s">
        <v>17</v>
      </c>
      <c r="S40" s="775">
        <f t="shared" si="10"/>
        <v>100</v>
      </c>
      <c r="T40" s="774" t="s">
        <v>17</v>
      </c>
      <c r="U40" s="775">
        <f t="shared" si="11"/>
        <v>100</v>
      </c>
      <c r="V40" s="774" t="s">
        <v>17</v>
      </c>
      <c r="W40" s="775">
        <f t="shared" si="12"/>
        <v>100</v>
      </c>
      <c r="X40" s="1812"/>
      <c r="Y40" s="3242"/>
      <c r="Z40" s="1813" t="str">
        <f t="shared" si="13"/>
        <v>临街宽度及深度</v>
      </c>
      <c r="AA40" s="1810">
        <f t="shared" si="3"/>
        <v>1</v>
      </c>
      <c r="AB40" s="1810">
        <f t="shared" si="4"/>
        <v>1</v>
      </c>
      <c r="AC40" s="1810">
        <f t="shared" si="5"/>
        <v>1</v>
      </c>
    </row>
    <row r="41" spans="1:29" s="117" customFormat="1" ht="15">
      <c r="A41" s="473"/>
      <c r="B41" s="422" t="s">
        <v>2745</v>
      </c>
      <c r="C41" s="2701" t="s">
        <v>3197</v>
      </c>
      <c r="D41" s="136">
        <v>100</v>
      </c>
      <c r="E41" s="2701" t="s">
        <v>3199</v>
      </c>
      <c r="F41" s="435">
        <f>SUMIF(123:123,E41,124:124)-SUMIF(123:123,C41,124:124)+100</f>
        <v>99.5</v>
      </c>
      <c r="G41" s="2701" t="s">
        <v>3199</v>
      </c>
      <c r="H41" s="435">
        <f>SUMIF(123:123,G41,124:124)-SUMIF(123:123,C41,124:124)+100</f>
        <v>99.5</v>
      </c>
      <c r="I41" s="2701" t="s">
        <v>3199</v>
      </c>
      <c r="J41" s="435">
        <f>SUMIF(123:123,I41,124:124)-SUMIF(123:123,C41,124:124)+100</f>
        <v>99.5</v>
      </c>
      <c r="K41" s="612">
        <v>0.5</v>
      </c>
      <c r="L41" s="1132"/>
      <c r="M41" s="1133"/>
      <c r="N41" s="1133"/>
      <c r="O41" s="1134"/>
      <c r="P41" s="3242"/>
      <c r="Q41" s="1809" t="str">
        <f t="shared" si="14"/>
        <v>宗地开发程度</v>
      </c>
      <c r="R41" s="770" t="s">
        <v>17</v>
      </c>
      <c r="S41" s="771">
        <f t="shared" si="10"/>
        <v>99.5</v>
      </c>
      <c r="T41" s="770" t="s">
        <v>17</v>
      </c>
      <c r="U41" s="771">
        <f t="shared" si="11"/>
        <v>99.5</v>
      </c>
      <c r="V41" s="770" t="s">
        <v>17</v>
      </c>
      <c r="W41" s="771">
        <f t="shared" si="12"/>
        <v>99.5</v>
      </c>
      <c r="X41" s="772"/>
      <c r="Y41" s="3242"/>
      <c r="Z41" s="55" t="str">
        <f t="shared" si="13"/>
        <v>宗地开发程度</v>
      </c>
      <c r="AA41" s="773">
        <f t="shared" si="3"/>
        <v>1.0050251256281406</v>
      </c>
      <c r="AB41" s="773">
        <f t="shared" si="4"/>
        <v>1.0050251256281406</v>
      </c>
      <c r="AC41" s="773">
        <f t="shared" si="5"/>
        <v>1.0050251256281406</v>
      </c>
    </row>
    <row r="42" spans="1:29" ht="15">
      <c r="A42" s="472"/>
      <c r="B42" s="422" t="s">
        <v>2746</v>
      </c>
      <c r="C42" s="2613" t="s">
        <v>3207</v>
      </c>
      <c r="D42" s="435">
        <v>100</v>
      </c>
      <c r="E42" s="2613" t="s">
        <v>3207</v>
      </c>
      <c r="F42" s="435">
        <f>SUMIF(125:125,E42,126:126)-SUMIF(125:125,C42,126:126)+100</f>
        <v>100</v>
      </c>
      <c r="G42" s="2613" t="s">
        <v>3207</v>
      </c>
      <c r="H42" s="435">
        <f>SUMIF(125:125,G42,126:126)-SUMIF(125:125,C42,126:126)+100</f>
        <v>100</v>
      </c>
      <c r="I42" s="2613" t="s">
        <v>3207</v>
      </c>
      <c r="J42" s="435">
        <f>SUMIF(125:125,I42,126:126)-SUMIF(125:125,C42,126:126)+100</f>
        <v>100</v>
      </c>
      <c r="K42" s="612">
        <v>1</v>
      </c>
      <c r="L42" s="1140"/>
      <c r="M42" s="1131"/>
      <c r="N42" s="1131"/>
      <c r="O42" s="1139"/>
      <c r="P42" s="3242" t="s">
        <v>2556</v>
      </c>
      <c r="Q42" s="1809" t="str">
        <f t="shared" si="14"/>
        <v>工程地质条件</v>
      </c>
      <c r="R42" s="774" t="s">
        <v>17</v>
      </c>
      <c r="S42" s="775">
        <f t="shared" si="10"/>
        <v>100</v>
      </c>
      <c r="T42" s="774" t="s">
        <v>17</v>
      </c>
      <c r="U42" s="775">
        <f t="shared" si="11"/>
        <v>100</v>
      </c>
      <c r="V42" s="774" t="s">
        <v>17</v>
      </c>
      <c r="W42" s="775">
        <f t="shared" si="12"/>
        <v>100</v>
      </c>
      <c r="X42" s="1812"/>
      <c r="Y42" s="3242" t="s">
        <v>2556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2"/>
      <c r="Q43" s="1809">
        <f t="shared" si="14"/>
        <v>111</v>
      </c>
      <c r="R43" s="774" t="s">
        <v>17</v>
      </c>
      <c r="S43" s="775">
        <f t="shared" si="10"/>
        <v>100</v>
      </c>
      <c r="T43" s="774" t="s">
        <v>17</v>
      </c>
      <c r="U43" s="775">
        <f t="shared" si="11"/>
        <v>100</v>
      </c>
      <c r="V43" s="774" t="s">
        <v>17</v>
      </c>
      <c r="W43" s="775">
        <f t="shared" si="12"/>
        <v>100</v>
      </c>
      <c r="X43" s="1812"/>
      <c r="Y43" s="3242"/>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2"/>
      <c r="Q44" s="1809">
        <f t="shared" si="14"/>
        <v>111</v>
      </c>
      <c r="R44" s="774" t="s">
        <v>17</v>
      </c>
      <c r="S44" s="775">
        <f t="shared" si="10"/>
        <v>100</v>
      </c>
      <c r="T44" s="774" t="s">
        <v>17</v>
      </c>
      <c r="U44" s="775">
        <f t="shared" si="11"/>
        <v>100</v>
      </c>
      <c r="V44" s="774" t="s">
        <v>17</v>
      </c>
      <c r="W44" s="775">
        <f t="shared" si="12"/>
        <v>100</v>
      </c>
      <c r="X44" s="1812"/>
      <c r="Y44" s="3242"/>
      <c r="Z44" s="1813">
        <f t="shared" si="13"/>
        <v>111</v>
      </c>
      <c r="AA44" s="1810">
        <f t="shared" si="3"/>
        <v>1</v>
      </c>
      <c r="AB44" s="1810">
        <f t="shared" si="4"/>
        <v>1</v>
      </c>
      <c r="AC44" s="1810">
        <f t="shared" si="5"/>
        <v>1</v>
      </c>
    </row>
    <row r="45" spans="1:29" s="471" customFormat="1" ht="15.6"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2"/>
      <c r="Q45" s="1809">
        <f t="shared" si="14"/>
        <v>111</v>
      </c>
      <c r="R45" s="777" t="s">
        <v>17</v>
      </c>
      <c r="S45" s="778">
        <f t="shared" si="10"/>
        <v>100</v>
      </c>
      <c r="T45" s="777" t="s">
        <v>17</v>
      </c>
      <c r="U45" s="778">
        <f t="shared" si="11"/>
        <v>100</v>
      </c>
      <c r="V45" s="777" t="s">
        <v>17</v>
      </c>
      <c r="W45" s="778">
        <f t="shared" si="12"/>
        <v>100</v>
      </c>
      <c r="X45" s="779"/>
      <c r="Y45" s="3242"/>
      <c r="Z45" s="780">
        <f t="shared" si="13"/>
        <v>111</v>
      </c>
      <c r="AA45" s="1810">
        <f t="shared" si="3"/>
        <v>1</v>
      </c>
      <c r="AB45" s="1810">
        <f t="shared" si="4"/>
        <v>1</v>
      </c>
      <c r="AC45" s="1810">
        <f t="shared" si="5"/>
        <v>1</v>
      </c>
    </row>
    <row r="46" spans="1:29" ht="14.4">
      <c r="A46" s="479" t="s">
        <v>2711</v>
      </c>
      <c r="B46" s="2703" t="s">
        <v>2747</v>
      </c>
      <c r="C46" s="682" t="s">
        <v>1</v>
      </c>
      <c r="D46" s="481"/>
      <c r="E46" s="482">
        <f>案例!AM22</f>
        <v>42573</v>
      </c>
      <c r="F46" s="483"/>
      <c r="G46" s="484">
        <f>案例!AM23</f>
        <v>41582</v>
      </c>
      <c r="H46" s="485"/>
      <c r="I46" s="482">
        <f>案例!AM25</f>
        <v>45469</v>
      </c>
      <c r="J46" s="485"/>
      <c r="K46" s="783"/>
      <c r="L46" s="1143"/>
      <c r="M46" s="1144"/>
      <c r="N46" s="1131"/>
      <c r="O46" s="1144"/>
      <c r="P46" s="3235" t="str">
        <f>A46</f>
        <v>成交单价</v>
      </c>
      <c r="Q46" s="3235"/>
      <c r="R46" s="3230">
        <f>E46</f>
        <v>42573</v>
      </c>
      <c r="S46" s="3230"/>
      <c r="T46" s="3230">
        <f>G46</f>
        <v>41582</v>
      </c>
      <c r="U46" s="3230"/>
      <c r="V46" s="3230">
        <f>I46</f>
        <v>45469</v>
      </c>
      <c r="W46" s="3230"/>
      <c r="X46" s="759"/>
      <c r="Y46" s="781"/>
      <c r="Z46" s="759"/>
      <c r="AA46" s="759"/>
      <c r="AB46" s="759"/>
      <c r="AC46" s="759"/>
    </row>
    <row r="47" spans="1:29" ht="15" thickBot="1">
      <c r="A47" s="486" t="s">
        <v>2660</v>
      </c>
      <c r="B47" s="683"/>
      <c r="C47" s="490">
        <f>R48</f>
        <v>41554</v>
      </c>
      <c r="D47" s="489"/>
      <c r="E47" s="490">
        <f>R47</f>
        <v>40887</v>
      </c>
      <c r="F47" s="491"/>
      <c r="G47" s="488">
        <f>T47</f>
        <v>40746</v>
      </c>
      <c r="H47" s="489"/>
      <c r="I47" s="490">
        <f>V47</f>
        <v>43028</v>
      </c>
      <c r="J47" s="489"/>
      <c r="K47" s="784"/>
      <c r="L47" s="1143"/>
      <c r="M47" s="1144"/>
      <c r="N47" s="1144"/>
      <c r="O47" s="1144"/>
      <c r="P47" s="3235" t="str">
        <f>A47</f>
        <v>比较价值（元/平方米）</v>
      </c>
      <c r="Q47" s="3235"/>
      <c r="R47" s="3270">
        <f>ROUND(PRODUCT(R46,AA7:AA45),0)</f>
        <v>40887</v>
      </c>
      <c r="S47" s="3270"/>
      <c r="T47" s="3270">
        <f>ROUND(PRODUCT(T46,AB7:AB45),0)</f>
        <v>40746</v>
      </c>
      <c r="U47" s="3270"/>
      <c r="V47" s="3270">
        <f>ROUND(PRODUCT(V46,AC7:AC45),0)</f>
        <v>43028</v>
      </c>
      <c r="W47" s="3270"/>
      <c r="X47" s="759"/>
      <c r="Y47" s="759"/>
      <c r="Z47" s="759"/>
      <c r="AA47" s="759"/>
      <c r="AB47" s="759"/>
      <c r="AC47" s="759"/>
    </row>
    <row r="48" spans="1:29" ht="15" thickBot="1">
      <c r="A48" s="492" t="s">
        <v>2748</v>
      </c>
      <c r="B48" s="493"/>
      <c r="C48" s="494">
        <f>R48</f>
        <v>41554</v>
      </c>
      <c r="D48" s="494"/>
      <c r="E48" s="494"/>
      <c r="F48" s="494"/>
      <c r="G48" s="494"/>
      <c r="H48" s="494"/>
      <c r="I48" s="494"/>
      <c r="J48" s="494"/>
      <c r="K48" s="785"/>
      <c r="L48" s="1143"/>
      <c r="M48" s="1144"/>
      <c r="N48" s="1144"/>
      <c r="O48" s="1144"/>
      <c r="P48" s="3232" t="str">
        <f>A48</f>
        <v>估价对象XX用房的比较价值（楼面单价，元/平方米）</v>
      </c>
      <c r="Q48" s="3233"/>
      <c r="R48" s="3271">
        <f>ROUND(AVERAGE(R47:V47),0)</f>
        <v>41554</v>
      </c>
      <c r="S48" s="3271"/>
      <c r="T48" s="3271"/>
      <c r="U48" s="3271"/>
      <c r="V48" s="3271"/>
      <c r="W48" s="327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f>IF(E46&lt;E47,E47/E46-1,E46/E47-1)</f>
        <v>4.1235600557634422E-2</v>
      </c>
      <c r="F51" s="500" t="str">
        <f>IF(OR(E51&gt;=0.3,E51&lt;=-0.3),"超过30%","")</f>
        <v/>
      </c>
      <c r="G51" s="499">
        <f>IF(G46&lt;G47,G47/G46-1,G46/G47-1)</f>
        <v>2.0517351396456052E-2</v>
      </c>
      <c r="H51" s="500" t="str">
        <f>IF(OR(G51&gt;=0.3,G51&lt;=-0.3),"超过30%","")</f>
        <v/>
      </c>
      <c r="I51" s="499">
        <f>IF(I46&lt;I47,I47/I46-1,I46/I47-1)</f>
        <v>5.6730501069071293E-2</v>
      </c>
      <c r="J51" s="500" t="str">
        <f>IF(OR(I51&gt;=0.3,I51&lt;=-0.3),"超过30%","")</f>
        <v/>
      </c>
      <c r="K51" s="1105"/>
      <c r="L51" s="1106"/>
      <c r="M51" s="1144"/>
      <c r="N51" s="1144"/>
      <c r="O51" s="1144"/>
    </row>
    <row r="52" spans="1:15" ht="13.5" customHeight="1">
      <c r="A52" s="1144"/>
      <c r="B52" s="1144"/>
      <c r="C52" s="497" t="s">
        <v>2663</v>
      </c>
      <c r="D52" s="501"/>
      <c r="E52" s="499">
        <f>IF(E47&lt;G47,G47/E47-1,E47/G47-1)</f>
        <v>3.4604623766749665E-3</v>
      </c>
      <c r="F52" s="500" t="str">
        <f>IF(OR(E52&gt;=0.2,E52&lt;=-0.2),"超过20%","")</f>
        <v/>
      </c>
      <c r="G52" s="499">
        <f>IF(G47&lt;I47,I47/G47-1,G47/I47-1)</f>
        <v>5.600549747214445E-2</v>
      </c>
      <c r="H52" s="500" t="str">
        <f>IF(OR(G52&gt;=0.2,G52&lt;=-0.2),"超过20%","")</f>
        <v/>
      </c>
      <c r="I52" s="499">
        <f>IF(I47&lt;E47,E47/I47-1,I47/E47-1)</f>
        <v>5.2363832024848955E-2</v>
      </c>
      <c r="J52" s="500" t="str">
        <f>IF(OR(I52&gt;=0.2,I52&lt;=-0.2),"超过20%","")</f>
        <v/>
      </c>
      <c r="K52" s="1105"/>
      <c r="L52" s="1106"/>
      <c r="M52" s="1144"/>
      <c r="N52" s="1144"/>
      <c r="O52" s="1144"/>
    </row>
    <row r="53" spans="1:15" s="502" customFormat="1" ht="13.5" customHeight="1">
      <c r="A53" s="1145"/>
      <c r="B53" s="1145"/>
      <c r="C53" s="497" t="s">
        <v>2664</v>
      </c>
      <c r="D53" s="501"/>
      <c r="E53" s="499">
        <f>IF(E46&lt;G46,G46/E46-1,E46/G46-1)</f>
        <v>2.383242749266512E-2</v>
      </c>
      <c r="F53" s="500" t="str">
        <f>IF(OR(E53&gt;=0.3,E53&lt;=-0.3),"超过30%","")</f>
        <v/>
      </c>
      <c r="G53" s="499">
        <f>IF(G46&lt;I46,I46/G46-1,G46/I46-1)</f>
        <v>9.3477947188687516E-2</v>
      </c>
      <c r="H53" s="500" t="str">
        <f>IF(OR(G53&gt;=0.3,G53&lt;=-0.3),"超过30%","")</f>
        <v/>
      </c>
      <c r="I53" s="499">
        <f>IF(I46&lt;E46,E46/I46-1,I46/E46-1)</f>
        <v>6.8024334672210029E-2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704" t="s">
        <v>2751</v>
      </c>
      <c r="D55" s="2705" t="s">
        <v>2752</v>
      </c>
      <c r="E55" s="686" t="s">
        <v>2753</v>
      </c>
      <c r="F55" s="1107" t="s">
        <v>2754</v>
      </c>
      <c r="G55" s="3218" t="s">
        <v>2755</v>
      </c>
      <c r="H55" s="3272"/>
      <c r="I55" s="144" t="s">
        <v>2756</v>
      </c>
      <c r="J55" s="2706" t="str">
        <f>项目基本情况!F35</f>
        <v>广东省广州市</v>
      </c>
      <c r="K55" s="2707" t="s">
        <v>2757</v>
      </c>
      <c r="L55" s="1106"/>
      <c r="M55" s="1144"/>
      <c r="N55" s="1144"/>
      <c r="O55" s="1144"/>
    </row>
    <row r="56" spans="1:15" s="692" customFormat="1">
      <c r="A56" s="688" t="s">
        <v>2758</v>
      </c>
      <c r="B56" s="689">
        <f>C48</f>
        <v>41554</v>
      </c>
      <c r="C56" s="690">
        <v>1</v>
      </c>
      <c r="D56" s="1163">
        <v>1</v>
      </c>
      <c r="E56" s="690">
        <f>'数据-汇总表'!E8+'数据-汇总表'!E9</f>
        <v>41667.353900000002</v>
      </c>
      <c r="F56" s="1103">
        <f t="shared" ref="F56:F65" si="15">ROUND(B56*E56/10000,0)</f>
        <v>173145</v>
      </c>
      <c r="G56" s="3217"/>
      <c r="H56" s="3235"/>
      <c r="I56" s="1108">
        <v>1</v>
      </c>
      <c r="J56" s="1111">
        <v>1</v>
      </c>
      <c r="K56" s="1145"/>
      <c r="L56" s="941"/>
      <c r="M56" s="941"/>
      <c r="N56" s="941"/>
      <c r="O56" s="941"/>
    </row>
    <row r="57" spans="1:15" s="692" customFormat="1">
      <c r="A57" s="693" t="s">
        <v>2759</v>
      </c>
      <c r="B57" s="262">
        <f>ROUND($C$48*C57*D57,0)</f>
        <v>0</v>
      </c>
      <c r="C57" s="200">
        <f t="shared" ref="C57:C65" si="16">IF($C$55="北京市系数",I57,J57)</f>
        <v>0</v>
      </c>
      <c r="D57" s="1164">
        <v>0.25</v>
      </c>
      <c r="E57" s="694"/>
      <c r="F57" s="1103">
        <f t="shared" si="15"/>
        <v>0</v>
      </c>
      <c r="G57" s="3273" t="s">
        <v>2760</v>
      </c>
      <c r="H57" s="1104">
        <f>项目基本情况!B37</f>
        <v>0</v>
      </c>
      <c r="I57" s="1108">
        <f>SUMIF(修正!A45:A56,H57,修正!B45:B56)</f>
        <v>0</v>
      </c>
      <c r="J57" s="1112"/>
      <c r="K57" s="1144"/>
      <c r="L57" s="941"/>
      <c r="M57" s="941"/>
      <c r="N57" s="941"/>
      <c r="O57" s="941"/>
    </row>
    <row r="58" spans="1:15" s="692" customFormat="1">
      <c r="A58" s="693" t="s">
        <v>2761</v>
      </c>
      <c r="B58" s="262">
        <f t="shared" ref="B58:B65" si="17">ROUND($C$48*C58*D58,0)</f>
        <v>0</v>
      </c>
      <c r="C58" s="200">
        <f t="shared" si="16"/>
        <v>0</v>
      </c>
      <c r="D58" s="1164">
        <v>0.25</v>
      </c>
      <c r="E58" s="694"/>
      <c r="F58" s="1103">
        <f t="shared" si="15"/>
        <v>0</v>
      </c>
      <c r="G58" s="3273"/>
      <c r="H58" s="1104">
        <f>项目基本情况!B37</f>
        <v>0</v>
      </c>
      <c r="I58" s="1108">
        <f>SUMIF(修正!A45:A56,H58,修正!C45:C56)</f>
        <v>0</v>
      </c>
      <c r="J58" s="1112"/>
      <c r="K58" s="1145"/>
      <c r="L58" s="941"/>
      <c r="M58" s="941"/>
      <c r="N58" s="941"/>
      <c r="O58" s="941"/>
    </row>
    <row r="59" spans="1:15" s="692" customFormat="1">
      <c r="A59" s="693" t="s">
        <v>2762</v>
      </c>
      <c r="B59" s="262">
        <f t="shared" si="17"/>
        <v>0</v>
      </c>
      <c r="C59" s="200">
        <f t="shared" si="16"/>
        <v>0</v>
      </c>
      <c r="D59" s="1164">
        <v>0.25</v>
      </c>
      <c r="E59" s="694"/>
      <c r="F59" s="1103">
        <f t="shared" si="15"/>
        <v>0</v>
      </c>
      <c r="G59" s="3273"/>
      <c r="H59" s="1104">
        <f>项目基本情况!B37</f>
        <v>0</v>
      </c>
      <c r="I59" s="1108">
        <f>SUMIF(修正!A45:A56,H59,修正!D45:D56)</f>
        <v>0</v>
      </c>
      <c r="J59" s="1112"/>
      <c r="K59" s="1144"/>
      <c r="L59" s="941"/>
      <c r="M59" s="941"/>
      <c r="N59" s="941"/>
      <c r="O59" s="941"/>
    </row>
    <row r="60" spans="1:15" s="692" customFormat="1">
      <c r="A60" s="693" t="s">
        <v>2763</v>
      </c>
      <c r="B60" s="262">
        <f t="shared" si="17"/>
        <v>0</v>
      </c>
      <c r="C60" s="200">
        <f t="shared" si="16"/>
        <v>0</v>
      </c>
      <c r="D60" s="1164">
        <v>0.25</v>
      </c>
      <c r="E60" s="694"/>
      <c r="F60" s="1103">
        <f t="shared" si="15"/>
        <v>0</v>
      </c>
      <c r="G60" s="3273"/>
      <c r="H60" s="1104">
        <f>项目基本情况!B37</f>
        <v>0</v>
      </c>
      <c r="I60" s="1108">
        <f>SUMIF(修正!A45:A56,H60,修正!E45:E56)</f>
        <v>0</v>
      </c>
      <c r="J60" s="1112"/>
      <c r="K60" s="1145"/>
      <c r="L60" s="941"/>
      <c r="M60" s="941"/>
      <c r="N60" s="941"/>
      <c r="O60" s="941"/>
    </row>
    <row r="61" spans="1:15" s="692" customFormat="1">
      <c r="A61" s="693" t="s">
        <v>2764</v>
      </c>
      <c r="B61" s="262">
        <f t="shared" si="17"/>
        <v>0</v>
      </c>
      <c r="C61" s="200">
        <f t="shared" si="16"/>
        <v>0</v>
      </c>
      <c r="D61" s="1164">
        <v>0.25</v>
      </c>
      <c r="E61" s="261">
        <f>'数据-汇总表'!E11</f>
        <v>0</v>
      </c>
      <c r="F61" s="1103">
        <f t="shared" si="15"/>
        <v>0</v>
      </c>
      <c r="G61" s="2708" t="s">
        <v>2765</v>
      </c>
      <c r="H61" s="1104">
        <f>项目基本情况!C37</f>
        <v>0</v>
      </c>
      <c r="I61" s="1108">
        <f>SUMIF(修正!A45:A56,H61,修正!F45:F56)</f>
        <v>0</v>
      </c>
      <c r="J61" s="1112"/>
      <c r="K61" s="1144"/>
      <c r="L61" s="941"/>
      <c r="M61" s="941"/>
      <c r="N61" s="941"/>
      <c r="O61" s="941"/>
    </row>
    <row r="62" spans="1:15" s="692" customFormat="1">
      <c r="A62" s="693" t="s">
        <v>2766</v>
      </c>
      <c r="B62" s="262">
        <f t="shared" si="17"/>
        <v>0</v>
      </c>
      <c r="C62" s="200">
        <f t="shared" si="16"/>
        <v>0</v>
      </c>
      <c r="D62" s="1164">
        <v>0.25</v>
      </c>
      <c r="E62" s="261">
        <f>'数据-汇总表'!E12</f>
        <v>0</v>
      </c>
      <c r="F62" s="1103">
        <f t="shared" si="15"/>
        <v>0</v>
      </c>
      <c r="G62" s="1109" t="s">
        <v>2767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2768</v>
      </c>
      <c r="B63" s="262">
        <f t="shared" si="17"/>
        <v>0</v>
      </c>
      <c r="C63" s="200">
        <f t="shared" si="16"/>
        <v>0</v>
      </c>
      <c r="D63" s="1164">
        <v>0.25</v>
      </c>
      <c r="E63" s="261">
        <f>'数据-汇总表'!E13</f>
        <v>0</v>
      </c>
      <c r="F63" s="1103">
        <f t="shared" si="15"/>
        <v>0</v>
      </c>
      <c r="G63" s="1109" t="s">
        <v>2769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2770</v>
      </c>
      <c r="B64" s="262">
        <f t="shared" si="17"/>
        <v>0</v>
      </c>
      <c r="C64" s="200">
        <f t="shared" si="16"/>
        <v>0</v>
      </c>
      <c r="D64" s="1164">
        <v>0.25</v>
      </c>
      <c r="E64" s="261">
        <f>'数据-汇总表'!E14</f>
        <v>0</v>
      </c>
      <c r="F64" s="1103">
        <f t="shared" si="15"/>
        <v>0</v>
      </c>
      <c r="G64" s="2708" t="s">
        <v>2760</v>
      </c>
      <c r="H64" s="1104">
        <f>项目基本情况!B37</f>
        <v>0</v>
      </c>
      <c r="I64" s="1108">
        <f>SUMIF(修正!A45:A56,H64,修正!H45:H56)</f>
        <v>0</v>
      </c>
      <c r="J64" s="1112"/>
      <c r="K64" s="1145"/>
      <c r="L64" s="941"/>
      <c r="M64" s="941"/>
      <c r="N64" s="941"/>
      <c r="O64" s="941"/>
    </row>
    <row r="65" spans="1:17" s="692" customFormat="1" ht="14.4" thickBot="1">
      <c r="A65" s="693" t="s">
        <v>2771</v>
      </c>
      <c r="B65" s="262">
        <f t="shared" si="17"/>
        <v>0</v>
      </c>
      <c r="C65" s="200">
        <f t="shared" si="16"/>
        <v>0</v>
      </c>
      <c r="D65" s="1164">
        <v>0.25</v>
      </c>
      <c r="E65" s="261">
        <f>'数据-汇总表'!E15</f>
        <v>0</v>
      </c>
      <c r="F65" s="1103">
        <f t="shared" si="15"/>
        <v>0</v>
      </c>
      <c r="G65" s="2709" t="s">
        <v>2765</v>
      </c>
      <c r="H65" s="1114">
        <f>项目基本情况!C37</f>
        <v>0</v>
      </c>
      <c r="I65" s="1110">
        <f>SUMIF(修正!A45:A56,H65,修正!H45:H56)</f>
        <v>0</v>
      </c>
      <c r="J65" s="1113"/>
      <c r="K65" s="1144"/>
      <c r="L65" s="941"/>
      <c r="M65" s="941"/>
      <c r="N65" s="941"/>
      <c r="O65" s="941"/>
    </row>
    <row r="66" spans="1:17" s="692" customFormat="1" thickBot="1">
      <c r="A66" s="695" t="s">
        <v>2772</v>
      </c>
      <c r="B66" s="696" t="s">
        <v>28</v>
      </c>
      <c r="C66" s="696" t="s">
        <v>29</v>
      </c>
      <c r="D66" s="696" t="s">
        <v>1026</v>
      </c>
      <c r="E66" s="696">
        <f>IF(B46="楼面地价",SUM(E56:E65),'数据-汇总表'!D3)</f>
        <v>41667.353900000002</v>
      </c>
      <c r="F66" s="697">
        <f>IF(B46="楼面地价",SUM(F56:F65),ROUND(C48*E66/10000,0))</f>
        <v>173145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2.2" thickBot="1">
      <c r="A69" s="763" t="s">
        <v>2665</v>
      </c>
      <c r="B69" s="759"/>
      <c r="C69" s="764"/>
      <c r="D69" s="764"/>
      <c r="E69" s="764"/>
      <c r="F69" s="765"/>
      <c r="G69" s="765"/>
      <c r="H69" s="764"/>
      <c r="I69" s="764"/>
      <c r="J69" s="1159"/>
      <c r="K69" s="1160"/>
      <c r="L69" s="1161"/>
      <c r="M69" s="1159"/>
      <c r="N69" s="1159"/>
      <c r="O69" s="1159"/>
      <c r="P69" s="503"/>
      <c r="Q69" s="504"/>
    </row>
    <row r="70" spans="1:17" s="508" customFormat="1" ht="14.4">
      <c r="A70" s="2710" t="s">
        <v>2773</v>
      </c>
      <c r="B70" s="1359"/>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1" t="s">
        <v>2774</v>
      </c>
      <c r="B71" s="332" t="str">
        <f>"北京市平均增长率"&amp;TEXT(SUMIF(基准地价修正!N21:N25,A71,基准地价修正!P21:P25),"0.00%")</f>
        <v>北京市平均增长率2.23%</v>
      </c>
      <c r="C71" s="603">
        <v>100</v>
      </c>
      <c r="D71" s="595">
        <f>C71-0.2</f>
        <v>99.8</v>
      </c>
      <c r="E71" s="595">
        <f t="shared" ref="E71:O71" si="20">D71-0.2</f>
        <v>99.6</v>
      </c>
      <c r="F71" s="595">
        <f t="shared" si="20"/>
        <v>99.399999999999991</v>
      </c>
      <c r="G71" s="595">
        <f t="shared" si="20"/>
        <v>99.199999999999989</v>
      </c>
      <c r="H71" s="595">
        <f t="shared" si="20"/>
        <v>98.999999999999986</v>
      </c>
      <c r="I71" s="595">
        <f t="shared" si="20"/>
        <v>98.799999999999983</v>
      </c>
      <c r="J71" s="595">
        <f t="shared" si="20"/>
        <v>98.59999999999998</v>
      </c>
      <c r="K71" s="595">
        <f t="shared" si="20"/>
        <v>98.399999999999977</v>
      </c>
      <c r="L71" s="595">
        <f t="shared" si="20"/>
        <v>98.199999999999974</v>
      </c>
      <c r="M71" s="595">
        <f t="shared" si="20"/>
        <v>97.999999999999972</v>
      </c>
      <c r="N71" s="595">
        <f t="shared" si="20"/>
        <v>97.799999999999969</v>
      </c>
      <c r="O71" s="595">
        <f t="shared" si="20"/>
        <v>97.599999999999966</v>
      </c>
      <c r="P71" s="504"/>
    </row>
    <row r="72" spans="1:17" s="117" customFormat="1" ht="15" thickBot="1">
      <c r="A72" s="515" t="s">
        <v>2576</v>
      </c>
      <c r="B72" s="516"/>
      <c r="C72" s="517"/>
      <c r="D72" s="518"/>
      <c r="E72" s="518"/>
      <c r="F72" s="518"/>
      <c r="G72" s="518"/>
      <c r="H72" s="518"/>
      <c r="I72" s="518"/>
      <c r="J72" s="518"/>
      <c r="K72" s="518"/>
      <c r="L72" s="518"/>
      <c r="M72" s="519"/>
      <c r="N72" s="518"/>
      <c r="O72" s="1162"/>
      <c r="P72" s="504"/>
      <c r="Q72" s="504"/>
    </row>
    <row r="73" spans="1:17" s="117" customFormat="1" ht="14.4">
      <c r="A73" s="521" t="s">
        <v>2541</v>
      </c>
      <c r="B73" s="510"/>
      <c r="C73" s="522" t="s">
        <v>2643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2579</v>
      </c>
      <c r="B75" s="528" t="s">
        <v>2545</v>
      </c>
      <c r="C75" s="2974" t="s">
        <v>3641</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2548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2549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v>5</v>
      </c>
      <c r="I80" s="549">
        <v>6</v>
      </c>
      <c r="J80" s="549">
        <v>7</v>
      </c>
      <c r="K80" s="550"/>
      <c r="L80" s="551"/>
      <c r="M80" s="552"/>
      <c r="N80" s="1152"/>
      <c r="O80" s="1152"/>
      <c r="P80" s="45"/>
      <c r="Q80" s="504"/>
    </row>
    <row r="81" spans="1:17" ht="14.4" thickBot="1">
      <c r="A81" s="534"/>
      <c r="B81" s="535"/>
      <c r="C81" s="544">
        <v>100</v>
      </c>
      <c r="D81" s="544">
        <f t="shared" ref="D81:M81" si="22">IF($B$46="单位面积地价",C81+$K11,C81-$K11)</f>
        <v>99.5</v>
      </c>
      <c r="E81" s="544">
        <f t="shared" si="22"/>
        <v>99</v>
      </c>
      <c r="F81" s="544">
        <f t="shared" si="22"/>
        <v>98.5</v>
      </c>
      <c r="G81" s="544">
        <f t="shared" si="22"/>
        <v>98</v>
      </c>
      <c r="H81" s="544">
        <f t="shared" si="22"/>
        <v>97.5</v>
      </c>
      <c r="I81" s="544">
        <f t="shared" si="22"/>
        <v>97</v>
      </c>
      <c r="J81" s="544">
        <f t="shared" si="22"/>
        <v>96.5</v>
      </c>
      <c r="K81" s="544">
        <f t="shared" si="22"/>
        <v>96</v>
      </c>
      <c r="L81" s="544">
        <f t="shared" si="22"/>
        <v>95.5</v>
      </c>
      <c r="M81" s="544">
        <f t="shared" si="22"/>
        <v>95</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2682</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2741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2554</v>
      </c>
      <c r="B116" s="528" t="s">
        <v>2782</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f>C117+20000</f>
        <v>20000</v>
      </c>
      <c r="E117" s="595">
        <f t="shared" ref="E117:G117" si="27">D117+20000</f>
        <v>40000</v>
      </c>
      <c r="F117" s="595">
        <f t="shared" si="27"/>
        <v>60000</v>
      </c>
      <c r="G117" s="595">
        <f t="shared" si="27"/>
        <v>80000</v>
      </c>
      <c r="H117" s="595"/>
      <c r="I117" s="595"/>
      <c r="J117" s="596"/>
      <c r="K117" s="596"/>
      <c r="L117" s="597"/>
      <c r="M117" s="598"/>
      <c r="N117" s="1152"/>
      <c r="O117" s="1152"/>
      <c r="P117" s="45"/>
      <c r="Q117" s="504"/>
    </row>
    <row r="118" spans="1:17" ht="14.4" thickBot="1">
      <c r="A118" s="534"/>
      <c r="B118" s="543"/>
      <c r="C118" s="570">
        <v>100</v>
      </c>
      <c r="D118" s="591">
        <f>C118+1</f>
        <v>101</v>
      </c>
      <c r="E118" s="591">
        <f t="shared" ref="E118:G118" si="28">D118+1</f>
        <v>102</v>
      </c>
      <c r="F118" s="591">
        <f t="shared" si="28"/>
        <v>103</v>
      </c>
      <c r="G118" s="591">
        <f t="shared" si="28"/>
        <v>104</v>
      </c>
      <c r="H118" s="591"/>
      <c r="I118" s="591"/>
      <c r="J118" s="591"/>
      <c r="K118" s="591"/>
      <c r="L118" s="591"/>
      <c r="M118" s="592"/>
      <c r="N118" s="1153"/>
      <c r="O118" s="1153"/>
      <c r="P118" s="45"/>
      <c r="Q118" s="504"/>
    </row>
    <row r="119" spans="1:17" ht="15" thickTop="1">
      <c r="A119" s="599"/>
      <c r="B119" s="538" t="s">
        <v>2783</v>
      </c>
      <c r="C119" s="2976" t="s">
        <v>3642</v>
      </c>
      <c r="D119" s="2976" t="s">
        <v>3644</v>
      </c>
      <c r="E119" s="2976" t="s">
        <v>3646</v>
      </c>
      <c r="F119" s="2976" t="s">
        <v>3645</v>
      </c>
      <c r="G119" s="583"/>
      <c r="H119" s="583"/>
      <c r="I119" s="583"/>
      <c r="J119" s="583"/>
      <c r="K119" s="584"/>
      <c r="L119" s="585"/>
      <c r="M119" s="586"/>
      <c r="N119" s="1152"/>
      <c r="O119" s="1152"/>
      <c r="P119" s="45"/>
      <c r="Q119" s="504"/>
    </row>
    <row r="120" spans="1:17" ht="14.4" thickBot="1">
      <c r="A120" s="534"/>
      <c r="B120" s="543"/>
      <c r="C120" s="544">
        <v>100</v>
      </c>
      <c r="D120" s="544">
        <f t="shared" ref="D120:M120" si="29">C120-$K39</f>
        <v>99</v>
      </c>
      <c r="E120" s="544">
        <f t="shared" si="29"/>
        <v>98</v>
      </c>
      <c r="F120" s="544">
        <f t="shared" si="29"/>
        <v>97</v>
      </c>
      <c r="G120" s="544">
        <f t="shared" si="29"/>
        <v>96</v>
      </c>
      <c r="H120" s="544">
        <f t="shared" si="29"/>
        <v>95</v>
      </c>
      <c r="I120" s="544">
        <f t="shared" si="29"/>
        <v>94</v>
      </c>
      <c r="J120" s="544">
        <f t="shared" si="29"/>
        <v>93</v>
      </c>
      <c r="K120" s="544">
        <f t="shared" si="29"/>
        <v>92</v>
      </c>
      <c r="L120" s="544">
        <f t="shared" si="29"/>
        <v>91</v>
      </c>
      <c r="M120" s="545">
        <f t="shared" si="29"/>
        <v>90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30">C122-$K40</f>
        <v>99</v>
      </c>
      <c r="E122" s="544">
        <f t="shared" si="30"/>
        <v>98</v>
      </c>
      <c r="F122" s="544">
        <f t="shared" si="30"/>
        <v>97</v>
      </c>
      <c r="G122" s="544">
        <f t="shared" si="30"/>
        <v>96</v>
      </c>
      <c r="H122" s="544">
        <f t="shared" si="30"/>
        <v>95</v>
      </c>
      <c r="I122" s="544">
        <f t="shared" si="30"/>
        <v>94</v>
      </c>
      <c r="J122" s="544">
        <f t="shared" si="30"/>
        <v>93</v>
      </c>
      <c r="K122" s="544">
        <f t="shared" si="30"/>
        <v>92</v>
      </c>
      <c r="L122" s="544">
        <f t="shared" si="30"/>
        <v>91</v>
      </c>
      <c r="M122" s="545">
        <f t="shared" si="30"/>
        <v>90</v>
      </c>
      <c r="N122" s="1153"/>
      <c r="O122" s="1153"/>
      <c r="P122" s="45"/>
      <c r="Q122" s="504"/>
    </row>
    <row r="123" spans="1:17" s="471" customFormat="1" ht="15" thickTop="1">
      <c r="A123" s="593"/>
      <c r="B123" s="538" t="s">
        <v>2785</v>
      </c>
      <c r="C123" s="2975" t="s">
        <v>3647</v>
      </c>
      <c r="D123" s="2975" t="s">
        <v>3648</v>
      </c>
      <c r="E123" s="2975" t="s">
        <v>3649</v>
      </c>
      <c r="F123" s="2975" t="s">
        <v>3650</v>
      </c>
      <c r="G123" s="554"/>
      <c r="H123" s="583"/>
      <c r="I123" s="583"/>
      <c r="J123" s="583"/>
      <c r="K123" s="584"/>
      <c r="L123" s="585"/>
      <c r="M123" s="586"/>
      <c r="N123" s="1154"/>
      <c r="O123" s="1154"/>
      <c r="P123" s="558"/>
      <c r="Q123" s="559"/>
    </row>
    <row r="124" spans="1:17" s="471" customFormat="1" ht="14.4" thickBot="1">
      <c r="A124" s="553"/>
      <c r="B124" s="543"/>
      <c r="C124" s="544">
        <v>100</v>
      </c>
      <c r="D124" s="544">
        <f>C124-$K41</f>
        <v>99.5</v>
      </c>
      <c r="E124" s="544">
        <f t="shared" ref="E124:M124" si="31">D124-$K41</f>
        <v>99</v>
      </c>
      <c r="F124" s="544">
        <f t="shared" si="31"/>
        <v>98.5</v>
      </c>
      <c r="G124" s="544">
        <f t="shared" si="31"/>
        <v>98</v>
      </c>
      <c r="H124" s="544">
        <f t="shared" si="31"/>
        <v>97.5</v>
      </c>
      <c r="I124" s="544">
        <f t="shared" si="31"/>
        <v>97</v>
      </c>
      <c r="J124" s="544">
        <f t="shared" si="31"/>
        <v>96.5</v>
      </c>
      <c r="K124" s="544">
        <f t="shared" si="31"/>
        <v>96</v>
      </c>
      <c r="L124" s="544">
        <f t="shared" si="31"/>
        <v>95.5</v>
      </c>
      <c r="M124" s="545">
        <f t="shared" si="31"/>
        <v>95</v>
      </c>
      <c r="N124" s="1154"/>
      <c r="O124" s="1154"/>
      <c r="P124" s="558"/>
      <c r="Q124" s="559"/>
    </row>
    <row r="125" spans="1:17" ht="15" thickTop="1">
      <c r="A125" s="599"/>
      <c r="B125" s="538" t="s">
        <v>2786</v>
      </c>
      <c r="C125" s="2975" t="s">
        <v>3651</v>
      </c>
      <c r="D125" s="2975" t="s">
        <v>3652</v>
      </c>
      <c r="E125" s="2976" t="s">
        <v>3653</v>
      </c>
      <c r="F125" s="2976" t="s">
        <v>3654</v>
      </c>
      <c r="G125" s="2976" t="s">
        <v>3655</v>
      </c>
      <c r="H125" s="583"/>
      <c r="I125" s="583"/>
      <c r="J125" s="583"/>
      <c r="K125" s="584"/>
      <c r="L125" s="585"/>
      <c r="M125" s="586"/>
      <c r="N125" s="1152"/>
      <c r="O125" s="1152"/>
      <c r="P125" s="45"/>
      <c r="Q125" s="504"/>
    </row>
    <row r="126" spans="1:17" ht="14.4" thickBot="1">
      <c r="A126" s="534"/>
      <c r="B126" s="543"/>
      <c r="C126" s="544">
        <v>100</v>
      </c>
      <c r="D126" s="544">
        <f t="shared" ref="D126:M126" si="32">C126-$K42</f>
        <v>99</v>
      </c>
      <c r="E126" s="544">
        <f t="shared" si="32"/>
        <v>98</v>
      </c>
      <c r="F126" s="544">
        <f t="shared" si="32"/>
        <v>97</v>
      </c>
      <c r="G126" s="544">
        <f t="shared" si="32"/>
        <v>96</v>
      </c>
      <c r="H126" s="544">
        <f t="shared" si="32"/>
        <v>95</v>
      </c>
      <c r="I126" s="544">
        <f t="shared" si="32"/>
        <v>94</v>
      </c>
      <c r="J126" s="544">
        <f t="shared" si="32"/>
        <v>93</v>
      </c>
      <c r="K126" s="544">
        <f t="shared" si="32"/>
        <v>92</v>
      </c>
      <c r="L126" s="544">
        <f t="shared" si="32"/>
        <v>91</v>
      </c>
      <c r="M126" s="545">
        <f t="shared" si="32"/>
        <v>90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2636</v>
      </c>
      <c r="B4" s="402"/>
      <c r="C4" s="3218" t="s">
        <v>2637</v>
      </c>
      <c r="D4" s="3219"/>
      <c r="E4" s="3220" t="s">
        <v>2638</v>
      </c>
      <c r="F4" s="3221"/>
      <c r="G4" s="3218" t="s">
        <v>2639</v>
      </c>
      <c r="H4" s="3219"/>
      <c r="I4" s="3218" t="s">
        <v>2640</v>
      </c>
      <c r="J4" s="3219"/>
      <c r="K4" s="610" t="s">
        <v>2641</v>
      </c>
      <c r="L4" s="1130"/>
      <c r="M4" s="1131"/>
      <c r="N4" s="1131"/>
      <c r="O4" s="1131"/>
      <c r="P4" s="3222" t="s">
        <v>2642</v>
      </c>
      <c r="Q4" s="3223"/>
      <c r="R4" s="3207" t="s">
        <v>2638</v>
      </c>
      <c r="S4" s="3208"/>
      <c r="T4" s="3207" t="s">
        <v>2639</v>
      </c>
      <c r="U4" s="3208"/>
      <c r="V4" s="3230" t="s">
        <v>2640</v>
      </c>
      <c r="W4" s="3230"/>
      <c r="X4" s="1812"/>
      <c r="Y4" s="3207" t="s">
        <v>2642</v>
      </c>
      <c r="Z4" s="3208"/>
      <c r="AA4" s="3202" t="s">
        <v>2638</v>
      </c>
      <c r="AB4" s="3203" t="s">
        <v>2639</v>
      </c>
      <c r="AC4" s="3202" t="s">
        <v>2640</v>
      </c>
    </row>
    <row r="5" spans="1:29">
      <c r="A5" s="404"/>
      <c r="B5" s="405"/>
      <c r="C5" s="3248" t="s">
        <v>2533</v>
      </c>
      <c r="D5" s="3249"/>
      <c r="E5" s="3246" t="s">
        <v>2534</v>
      </c>
      <c r="F5" s="3247"/>
      <c r="G5" s="3248" t="s">
        <v>2535</v>
      </c>
      <c r="H5" s="3249"/>
      <c r="I5" s="3248" t="s">
        <v>2536</v>
      </c>
      <c r="J5" s="3249"/>
      <c r="K5" s="610"/>
      <c r="L5" s="1130"/>
      <c r="M5" s="1131"/>
      <c r="N5" s="1131"/>
      <c r="O5" s="1131"/>
      <c r="P5" s="3224"/>
      <c r="Q5" s="3225"/>
      <c r="R5" s="3209"/>
      <c r="S5" s="3210"/>
      <c r="T5" s="3209"/>
      <c r="U5" s="3210"/>
      <c r="V5" s="3230"/>
      <c r="W5" s="3230"/>
      <c r="X5" s="1812"/>
      <c r="Y5" s="3209"/>
      <c r="Z5" s="3210"/>
      <c r="AA5" s="3203"/>
      <c r="AB5" s="3203"/>
      <c r="AC5" s="3203"/>
    </row>
    <row r="6" spans="1:29" ht="15" thickBot="1">
      <c r="A6" s="406"/>
      <c r="B6" s="407"/>
      <c r="C6" s="3274" t="s">
        <v>2788</v>
      </c>
      <c r="D6" s="3275"/>
      <c r="E6" s="3276" t="s">
        <v>2788</v>
      </c>
      <c r="F6" s="3277"/>
      <c r="G6" s="3274" t="s">
        <v>2788</v>
      </c>
      <c r="H6" s="3275"/>
      <c r="I6" s="3274" t="s">
        <v>2788</v>
      </c>
      <c r="J6" s="3275"/>
      <c r="K6" s="610" t="s">
        <v>2538</v>
      </c>
      <c r="L6" s="1130"/>
      <c r="M6" s="1131"/>
      <c r="N6" s="1131"/>
      <c r="O6" s="1131"/>
      <c r="P6" s="3226"/>
      <c r="Q6" s="3227"/>
      <c r="R6" s="3209"/>
      <c r="S6" s="3210"/>
      <c r="T6" s="3228"/>
      <c r="U6" s="3229"/>
      <c r="V6" s="3230"/>
      <c r="W6" s="3230"/>
      <c r="X6" s="1812"/>
      <c r="Y6" s="3228"/>
      <c r="Z6" s="3229"/>
      <c r="AA6" s="3204"/>
      <c r="AB6" s="3204"/>
      <c r="AC6" s="3204"/>
    </row>
    <row r="7" spans="1:29" s="117" customFormat="1" ht="15" thickBot="1">
      <c r="A7" s="408" t="s">
        <v>2539</v>
      </c>
      <c r="B7" s="409"/>
      <c r="C7" s="410">
        <f>'数据-取费表'!B2</f>
        <v>43712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05" t="s">
        <v>2540</v>
      </c>
      <c r="Q7" s="3231"/>
      <c r="R7" s="770" t="s">
        <v>17</v>
      </c>
      <c r="S7" s="771">
        <f t="shared" ref="S7:S15" si="0">F7</f>
        <v>0</v>
      </c>
      <c r="T7" s="770" t="s">
        <v>17</v>
      </c>
      <c r="U7" s="771">
        <f t="shared" ref="U7:U15" si="1">H7</f>
        <v>0</v>
      </c>
      <c r="V7" s="770" t="s">
        <v>17</v>
      </c>
      <c r="W7" s="771">
        <f t="shared" ref="W7:W15" si="2">J7</f>
        <v>0</v>
      </c>
      <c r="X7" s="772"/>
      <c r="Y7" s="3205" t="s">
        <v>2540</v>
      </c>
      <c r="Z7" s="3206"/>
      <c r="AA7" s="773" t="e">
        <f>D7/F7</f>
        <v>#DIV/0!</v>
      </c>
      <c r="AB7" s="773" t="e">
        <f>D7/H7</f>
        <v>#DIV/0!</v>
      </c>
      <c r="AC7" s="773" t="e">
        <f>D7/J7</f>
        <v>#DIV/0!</v>
      </c>
    </row>
    <row r="8" spans="1:29" s="117" customFormat="1" ht="1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5" t="s">
        <v>2543</v>
      </c>
      <c r="Q8" s="3206"/>
      <c r="R8" s="770" t="s">
        <v>17</v>
      </c>
      <c r="S8" s="771">
        <f t="shared" si="0"/>
        <v>0</v>
      </c>
      <c r="T8" s="770" t="s">
        <v>17</v>
      </c>
      <c r="U8" s="771">
        <f t="shared" si="1"/>
        <v>0</v>
      </c>
      <c r="V8" s="770" t="s">
        <v>17</v>
      </c>
      <c r="W8" s="771">
        <f t="shared" si="2"/>
        <v>0</v>
      </c>
      <c r="X8" s="772"/>
      <c r="Y8" s="3205" t="s">
        <v>2543</v>
      </c>
      <c r="Z8" s="3206"/>
      <c r="AA8" s="773" t="e">
        <f t="shared" ref="AA8:AA40" si="3">D8/F8</f>
        <v>#DIV/0!</v>
      </c>
      <c r="AB8" s="773" t="e">
        <f t="shared" ref="AB8:AB40" si="4">D8/H8</f>
        <v>#DIV/0!</v>
      </c>
      <c r="AC8" s="773" t="e">
        <f t="shared" ref="AC8:AC40" si="5">D8/J8</f>
        <v>#DIV/0!</v>
      </c>
    </row>
    <row r="9" spans="1:29" s="117" customFormat="1" ht="14.4">
      <c r="A9" s="415" t="s">
        <v>2544</v>
      </c>
      <c r="B9" s="71" t="s">
        <v>2545</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35" t="s">
        <v>2546</v>
      </c>
      <c r="Q9" s="1794" t="str">
        <f t="shared" ref="Q9:Q15" si="6">B9</f>
        <v>用途</v>
      </c>
      <c r="R9" s="770" t="s">
        <v>17</v>
      </c>
      <c r="S9" s="771">
        <f t="shared" si="0"/>
        <v>100</v>
      </c>
      <c r="T9" s="770" t="s">
        <v>17</v>
      </c>
      <c r="U9" s="771">
        <f t="shared" si="1"/>
        <v>100</v>
      </c>
      <c r="V9" s="770" t="s">
        <v>17</v>
      </c>
      <c r="W9" s="771">
        <f t="shared" si="2"/>
        <v>100</v>
      </c>
      <c r="X9" s="772"/>
      <c r="Y9" s="3052" t="s">
        <v>2547</v>
      </c>
      <c r="Z9" s="55" t="str">
        <f t="shared" ref="Z9:Z15" si="7">Q9</f>
        <v>用途</v>
      </c>
      <c r="AA9" s="773">
        <f t="shared" si="3"/>
        <v>1</v>
      </c>
      <c r="AB9" s="773">
        <f t="shared" si="4"/>
        <v>1</v>
      </c>
      <c r="AC9" s="773">
        <f t="shared" si="5"/>
        <v>1</v>
      </c>
    </row>
    <row r="10" spans="1:29" s="427" customFormat="1" ht="28.8">
      <c r="A10" s="421"/>
      <c r="B10" s="422" t="s">
        <v>2548</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35"/>
      <c r="Q10" s="1794" t="str">
        <f t="shared" si="6"/>
        <v>土地使用年限（年）</v>
      </c>
      <c r="R10" s="770" t="s">
        <v>17</v>
      </c>
      <c r="S10" s="771">
        <f t="shared" si="0"/>
        <v>107</v>
      </c>
      <c r="T10" s="770" t="s">
        <v>17</v>
      </c>
      <c r="U10" s="771">
        <f t="shared" si="1"/>
        <v>107</v>
      </c>
      <c r="V10" s="770" t="s">
        <v>17</v>
      </c>
      <c r="W10" s="771">
        <f t="shared" si="2"/>
        <v>107</v>
      </c>
      <c r="X10" s="772"/>
      <c r="Y10" s="3052"/>
      <c r="Z10" s="55" t="str">
        <f t="shared" si="7"/>
        <v>土地使用年限（年）</v>
      </c>
      <c r="AA10" s="773">
        <f t="shared" si="3"/>
        <v>0.93457943925233644</v>
      </c>
      <c r="AB10" s="773">
        <f t="shared" si="4"/>
        <v>0.93457943925233644</v>
      </c>
      <c r="AC10" s="773">
        <f t="shared" si="5"/>
        <v>0.93457943925233644</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5"/>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5"/>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5"/>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5"/>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69">
      <c r="A15" s="440" t="s">
        <v>2550</v>
      </c>
      <c r="B15" s="629" t="s">
        <v>2789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7" t="s">
        <v>2551</v>
      </c>
      <c r="Q15" s="1809" t="str">
        <f t="shared" si="6"/>
        <v>产业集聚程度</v>
      </c>
      <c r="R15" s="774" t="s">
        <v>17</v>
      </c>
      <c r="S15" s="775">
        <f t="shared" si="0"/>
        <v>100</v>
      </c>
      <c r="T15" s="774" t="s">
        <v>17</v>
      </c>
      <c r="U15" s="775">
        <f t="shared" si="1"/>
        <v>100</v>
      </c>
      <c r="V15" s="774" t="s">
        <v>17</v>
      </c>
      <c r="W15" s="775">
        <f t="shared" si="2"/>
        <v>100</v>
      </c>
      <c r="X15" s="1812"/>
      <c r="Y15" s="3237" t="s">
        <v>2551</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38"/>
      <c r="Q16" s="1809"/>
      <c r="R16" s="774"/>
      <c r="S16" s="775"/>
      <c r="T16" s="774"/>
      <c r="U16" s="775"/>
      <c r="V16" s="774"/>
      <c r="W16" s="775"/>
      <c r="X16" s="1812"/>
      <c r="Y16" s="3238"/>
      <c r="Z16" s="1813"/>
      <c r="AA16" s="1810">
        <v>1</v>
      </c>
      <c r="AB16" s="1810">
        <v>1</v>
      </c>
      <c r="AC16" s="1810">
        <v>1</v>
      </c>
    </row>
    <row r="17" spans="1:29" ht="96.6">
      <c r="A17" s="428"/>
      <c r="B17" s="631" t="s">
        <v>2700</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8"/>
      <c r="Q17" s="1809" t="str">
        <f>B17</f>
        <v>交通便捷度</v>
      </c>
      <c r="R17" s="774" t="s">
        <v>17</v>
      </c>
      <c r="S17" s="775">
        <f>F17</f>
        <v>100</v>
      </c>
      <c r="T17" s="774" t="s">
        <v>17</v>
      </c>
      <c r="U17" s="775">
        <f>H17</f>
        <v>100</v>
      </c>
      <c r="V17" s="774" t="s">
        <v>17</v>
      </c>
      <c r="W17" s="775">
        <f>J17</f>
        <v>100</v>
      </c>
      <c r="X17" s="1812"/>
      <c r="Y17" s="3238"/>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38"/>
      <c r="Q18" s="1809"/>
      <c r="R18" s="774"/>
      <c r="S18" s="775"/>
      <c r="T18" s="774"/>
      <c r="U18" s="775"/>
      <c r="V18" s="774"/>
      <c r="W18" s="775"/>
      <c r="X18" s="1812"/>
      <c r="Y18" s="3238"/>
      <c r="Z18" s="1813"/>
      <c r="AA18" s="1810">
        <v>1</v>
      </c>
      <c r="AB18" s="1810">
        <v>1</v>
      </c>
      <c r="AC18" s="1810">
        <v>1</v>
      </c>
    </row>
    <row r="19" spans="1:29" ht="28.8">
      <c r="A19" s="428"/>
      <c r="B19" s="631" t="s">
        <v>2739</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8"/>
      <c r="Q19" s="1809" t="str">
        <f t="shared" ref="Q19:Q33" si="8">B19</f>
        <v>区域土地利用方向</v>
      </c>
      <c r="R19" s="774" t="s">
        <v>17</v>
      </c>
      <c r="S19" s="775">
        <f>F19</f>
        <v>100</v>
      </c>
      <c r="T19" s="774" t="s">
        <v>17</v>
      </c>
      <c r="U19" s="775">
        <f>H19</f>
        <v>100</v>
      </c>
      <c r="V19" s="774" t="s">
        <v>17</v>
      </c>
      <c r="W19" s="775">
        <f>J19</f>
        <v>100</v>
      </c>
      <c r="X19" s="1812"/>
      <c r="Y19" s="3238"/>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38"/>
      <c r="Q20" s="1809"/>
      <c r="R20" s="774"/>
      <c r="S20" s="775"/>
      <c r="T20" s="774"/>
      <c r="U20" s="775"/>
      <c r="V20" s="774"/>
      <c r="W20" s="775"/>
      <c r="X20" s="1812"/>
      <c r="Y20" s="3238"/>
      <c r="Z20" s="1813"/>
      <c r="AA20" s="1810"/>
      <c r="AB20" s="1810"/>
      <c r="AC20" s="1810"/>
    </row>
    <row r="21" spans="1:29" ht="82.8">
      <c r="A21" s="404"/>
      <c r="B21" s="631" t="s">
        <v>2790</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8"/>
      <c r="Q21" s="1809" t="str">
        <f t="shared" si="8"/>
        <v>环境状况</v>
      </c>
      <c r="R21" s="774" t="s">
        <v>17</v>
      </c>
      <c r="S21" s="775">
        <f>F21</f>
        <v>100</v>
      </c>
      <c r="T21" s="774" t="s">
        <v>17</v>
      </c>
      <c r="U21" s="775">
        <f>H21</f>
        <v>100</v>
      </c>
      <c r="V21" s="774" t="s">
        <v>17</v>
      </c>
      <c r="W21" s="775">
        <f>J21</f>
        <v>100</v>
      </c>
      <c r="X21" s="1812"/>
      <c r="Y21" s="3238"/>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38"/>
      <c r="Q22" s="1809"/>
      <c r="R22" s="774"/>
      <c r="S22" s="775"/>
      <c r="T22" s="774"/>
      <c r="U22" s="775"/>
      <c r="V22" s="774"/>
      <c r="W22" s="775"/>
      <c r="X22" s="1812"/>
      <c r="Y22" s="3238"/>
      <c r="Z22" s="1813"/>
      <c r="AA22" s="1810">
        <v>1</v>
      </c>
      <c r="AB22" s="1810">
        <v>1</v>
      </c>
      <c r="AC22" s="1810">
        <v>1</v>
      </c>
    </row>
    <row r="23" spans="1:29" s="117" customFormat="1" ht="41.4">
      <c r="A23" s="649"/>
      <c r="B23" s="633" t="s">
        <v>2645</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8"/>
      <c r="Q23" s="1794" t="str">
        <f t="shared" si="8"/>
        <v>公共配套设施</v>
      </c>
      <c r="R23" s="770" t="s">
        <v>17</v>
      </c>
      <c r="S23" s="771">
        <f>F23</f>
        <v>100</v>
      </c>
      <c r="T23" s="770" t="s">
        <v>17</v>
      </c>
      <c r="U23" s="771">
        <f>H23</f>
        <v>100</v>
      </c>
      <c r="V23" s="770" t="s">
        <v>17</v>
      </c>
      <c r="W23" s="771">
        <f>J23</f>
        <v>100</v>
      </c>
      <c r="X23" s="772"/>
      <c r="Y23" s="3238"/>
      <c r="Z23" s="55" t="str">
        <f>Q23</f>
        <v>公共配套设施</v>
      </c>
      <c r="AA23" s="1810">
        <f>D23/F23</f>
        <v>1</v>
      </c>
      <c r="AB23" s="1810">
        <f>D23/H23</f>
        <v>1</v>
      </c>
      <c r="AC23" s="1810">
        <f>D23/J23</f>
        <v>1</v>
      </c>
    </row>
    <row r="24" spans="1:29" s="117" customFormat="1" ht="15">
      <c r="A24" s="649"/>
      <c r="B24" s="632"/>
      <c r="C24" s="2699"/>
      <c r="D24" s="448"/>
      <c r="E24" s="2611"/>
      <c r="F24" s="448"/>
      <c r="G24" s="2611"/>
      <c r="H24" s="448"/>
      <c r="I24" s="447"/>
      <c r="J24" s="448"/>
      <c r="K24" s="672"/>
      <c r="L24" s="1132"/>
      <c r="M24" s="1133"/>
      <c r="N24" s="1133"/>
      <c r="O24" s="1134"/>
      <c r="P24" s="3238"/>
      <c r="Q24" s="1794"/>
      <c r="R24" s="770"/>
      <c r="S24" s="771"/>
      <c r="T24" s="770"/>
      <c r="U24" s="771"/>
      <c r="V24" s="770"/>
      <c r="W24" s="771"/>
      <c r="X24" s="772"/>
      <c r="Y24" s="3238"/>
      <c r="Z24" s="55"/>
      <c r="AA24" s="773">
        <v>1</v>
      </c>
      <c r="AB24" s="773">
        <v>1</v>
      </c>
      <c r="AC24" s="773">
        <v>1</v>
      </c>
    </row>
    <row r="25" spans="1:29" s="117" customFormat="1" ht="41.4">
      <c r="A25" s="649"/>
      <c r="B25" s="633" t="s">
        <v>2646</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8"/>
      <c r="Q25" s="1794" t="str">
        <f t="shared" ref="Q25" si="9">B25</f>
        <v>基础设施水平</v>
      </c>
      <c r="R25" s="770" t="s">
        <v>17</v>
      </c>
      <c r="S25" s="771">
        <f>F25</f>
        <v>100</v>
      </c>
      <c r="T25" s="770" t="s">
        <v>17</v>
      </c>
      <c r="U25" s="771">
        <f>H25</f>
        <v>100</v>
      </c>
      <c r="V25" s="770" t="s">
        <v>17</v>
      </c>
      <c r="W25" s="771">
        <f>J25</f>
        <v>100</v>
      </c>
      <c r="X25" s="772"/>
      <c r="Y25" s="3238"/>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38"/>
      <c r="Q26" s="1794"/>
      <c r="R26" s="770"/>
      <c r="S26" s="771"/>
      <c r="T26" s="770"/>
      <c r="U26" s="771"/>
      <c r="V26" s="770"/>
      <c r="W26" s="771"/>
      <c r="X26" s="772"/>
      <c r="Y26" s="3238"/>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38"/>
      <c r="Z27" s="1813" t="str">
        <f t="shared" ref="Z27:Z40" si="13">Q27</f>
        <v>临街状况</v>
      </c>
      <c r="AA27" s="1810">
        <f t="shared" si="3"/>
        <v>1</v>
      </c>
      <c r="AB27" s="1810">
        <f t="shared" si="4"/>
        <v>1</v>
      </c>
      <c r="AC27" s="1810">
        <f t="shared" si="5"/>
        <v>1</v>
      </c>
    </row>
    <row r="28" spans="1:29" ht="28.8">
      <c r="A28" s="428"/>
      <c r="B28" s="633" t="s">
        <v>2682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8"/>
      <c r="Q28" s="1809" t="str">
        <f t="shared" si="8"/>
        <v>毗邻道路的类型与等级</v>
      </c>
      <c r="R28" s="774" t="s">
        <v>17</v>
      </c>
      <c r="S28" s="775">
        <f t="shared" si="10"/>
        <v>100</v>
      </c>
      <c r="T28" s="774" t="s">
        <v>17</v>
      </c>
      <c r="U28" s="775">
        <f t="shared" si="11"/>
        <v>100</v>
      </c>
      <c r="V28" s="774" t="s">
        <v>17</v>
      </c>
      <c r="W28" s="775">
        <f t="shared" si="12"/>
        <v>100</v>
      </c>
      <c r="X28" s="1812"/>
      <c r="Y28" s="3238"/>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38"/>
      <c r="Q29" s="1809"/>
      <c r="R29" s="774"/>
      <c r="S29" s="775"/>
      <c r="T29" s="774"/>
      <c r="U29" s="775"/>
      <c r="V29" s="774"/>
      <c r="W29" s="775"/>
      <c r="X29" s="1812"/>
      <c r="Y29" s="3238"/>
      <c r="Z29" s="1813"/>
      <c r="AA29" s="1810">
        <v>1</v>
      </c>
      <c r="AB29" s="1810">
        <v>1</v>
      </c>
      <c r="AC29" s="1810">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8"/>
      <c r="Q30" s="1809" t="str">
        <f t="shared" si="8"/>
        <v>土地级别</v>
      </c>
      <c r="R30" s="774" t="s">
        <v>17</v>
      </c>
      <c r="S30" s="775">
        <f t="shared" si="10"/>
        <v>100</v>
      </c>
      <c r="T30" s="774" t="s">
        <v>17</v>
      </c>
      <c r="U30" s="775">
        <f t="shared" si="11"/>
        <v>100</v>
      </c>
      <c r="V30" s="774" t="s">
        <v>17</v>
      </c>
      <c r="W30" s="775">
        <f t="shared" si="12"/>
        <v>100</v>
      </c>
      <c r="X30" s="1812"/>
      <c r="Y30" s="3238"/>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8"/>
      <c r="Q31" s="1809">
        <f t="shared" si="8"/>
        <v>111</v>
      </c>
      <c r="R31" s="774" t="s">
        <v>17</v>
      </c>
      <c r="S31" s="775">
        <f t="shared" si="10"/>
        <v>100</v>
      </c>
      <c r="T31" s="774" t="s">
        <v>17</v>
      </c>
      <c r="U31" s="775">
        <f t="shared" si="11"/>
        <v>100</v>
      </c>
      <c r="V31" s="774" t="s">
        <v>17</v>
      </c>
      <c r="W31" s="775">
        <f t="shared" si="12"/>
        <v>100</v>
      </c>
      <c r="X31" s="1812"/>
      <c r="Y31" s="3238"/>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9" t="s">
        <v>2556</v>
      </c>
      <c r="Q32" s="1809">
        <f t="shared" si="8"/>
        <v>111</v>
      </c>
      <c r="R32" s="774" t="s">
        <v>17</v>
      </c>
      <c r="S32" s="775">
        <f t="shared" si="10"/>
        <v>100</v>
      </c>
      <c r="T32" s="774" t="s">
        <v>17</v>
      </c>
      <c r="U32" s="775">
        <f t="shared" si="11"/>
        <v>100</v>
      </c>
      <c r="V32" s="774" t="s">
        <v>17</v>
      </c>
      <c r="W32" s="775">
        <f t="shared" si="12"/>
        <v>100</v>
      </c>
      <c r="X32" s="1812"/>
      <c r="Y32" s="3242" t="s">
        <v>2556</v>
      </c>
      <c r="Z32" s="1813">
        <f t="shared" si="13"/>
        <v>111</v>
      </c>
      <c r="AA32" s="1810">
        <f t="shared" si="3"/>
        <v>1</v>
      </c>
      <c r="AB32" s="1810">
        <f t="shared" si="4"/>
        <v>1</v>
      </c>
      <c r="AC32" s="1810">
        <f t="shared" si="5"/>
        <v>1</v>
      </c>
    </row>
    <row r="33" spans="1:29" s="471" customFormat="1" ht="15.6"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2"/>
      <c r="Q33" s="1809">
        <f t="shared" si="8"/>
        <v>111</v>
      </c>
      <c r="R33" s="777" t="s">
        <v>17</v>
      </c>
      <c r="S33" s="778">
        <f t="shared" si="10"/>
        <v>100</v>
      </c>
      <c r="T33" s="777" t="s">
        <v>17</v>
      </c>
      <c r="U33" s="778">
        <f t="shared" si="11"/>
        <v>100</v>
      </c>
      <c r="V33" s="777" t="s">
        <v>17</v>
      </c>
      <c r="W33" s="778">
        <f t="shared" si="12"/>
        <v>100</v>
      </c>
      <c r="X33" s="779"/>
      <c r="Y33" s="3242"/>
      <c r="Z33" s="780">
        <f t="shared" si="13"/>
        <v>111</v>
      </c>
      <c r="AA33" s="1810">
        <f t="shared" si="3"/>
        <v>1</v>
      </c>
      <c r="AB33" s="1810">
        <f t="shared" si="4"/>
        <v>1</v>
      </c>
      <c r="AC33" s="1810">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2"/>
      <c r="Q34" s="1809" t="str">
        <f>B34</f>
        <v>宗地面积</v>
      </c>
      <c r="R34" s="774" t="s">
        <v>17</v>
      </c>
      <c r="S34" s="775" t="e">
        <f t="shared" si="10"/>
        <v>#N/A</v>
      </c>
      <c r="T34" s="774" t="s">
        <v>17</v>
      </c>
      <c r="U34" s="775" t="e">
        <f t="shared" si="11"/>
        <v>#N/A</v>
      </c>
      <c r="V34" s="774" t="s">
        <v>17</v>
      </c>
      <c r="W34" s="775" t="e">
        <f t="shared" si="12"/>
        <v>#N/A</v>
      </c>
      <c r="X34" s="1812"/>
      <c r="Y34" s="3242"/>
      <c r="Z34" s="1813" t="str">
        <f t="shared" si="13"/>
        <v>宗地面积</v>
      </c>
      <c r="AA34" s="1810" t="e">
        <f t="shared" si="3"/>
        <v>#N/A</v>
      </c>
      <c r="AB34" s="1810" t="e">
        <f t="shared" si="4"/>
        <v>#N/A</v>
      </c>
      <c r="AC34" s="1810" t="e">
        <f t="shared" si="5"/>
        <v>#N/A</v>
      </c>
    </row>
    <row r="35" spans="1:29" ht="15">
      <c r="A35" s="472"/>
      <c r="B35" s="422" t="s">
        <v>2743</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42"/>
      <c r="Q35" s="1809" t="str">
        <f t="shared" ref="Q35:Q40" si="14">B35</f>
        <v>宗地形状</v>
      </c>
      <c r="R35" s="774" t="s">
        <v>17</v>
      </c>
      <c r="S35" s="775">
        <f t="shared" si="10"/>
        <v>100</v>
      </c>
      <c r="T35" s="774" t="s">
        <v>17</v>
      </c>
      <c r="U35" s="775">
        <f t="shared" si="11"/>
        <v>100</v>
      </c>
      <c r="V35" s="774" t="s">
        <v>17</v>
      </c>
      <c r="W35" s="775">
        <f t="shared" si="12"/>
        <v>100</v>
      </c>
      <c r="X35" s="1812"/>
      <c r="Y35" s="3242"/>
      <c r="Z35" s="1813" t="str">
        <f t="shared" si="13"/>
        <v>宗地形状</v>
      </c>
      <c r="AA35" s="1810">
        <f t="shared" si="3"/>
        <v>1</v>
      </c>
      <c r="AB35" s="1810">
        <f t="shared" si="4"/>
        <v>1</v>
      </c>
      <c r="AC35" s="1810">
        <f t="shared" si="5"/>
        <v>1</v>
      </c>
    </row>
    <row r="36" spans="1:29" s="117" customFormat="1" ht="15">
      <c r="A36" s="473"/>
      <c r="B36" s="422" t="s">
        <v>2745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42"/>
      <c r="Q36" s="1809" t="str">
        <f t="shared" si="14"/>
        <v>宗地开发程度</v>
      </c>
      <c r="R36" s="770" t="s">
        <v>17</v>
      </c>
      <c r="S36" s="771">
        <f t="shared" si="10"/>
        <v>100</v>
      </c>
      <c r="T36" s="770" t="s">
        <v>17</v>
      </c>
      <c r="U36" s="771">
        <f t="shared" si="11"/>
        <v>100</v>
      </c>
      <c r="V36" s="770" t="s">
        <v>17</v>
      </c>
      <c r="W36" s="771">
        <f t="shared" si="12"/>
        <v>100</v>
      </c>
      <c r="X36" s="772"/>
      <c r="Y36" s="3242"/>
      <c r="Z36" s="55" t="str">
        <f t="shared" si="13"/>
        <v>宗地开发程度</v>
      </c>
      <c r="AA36" s="773">
        <f t="shared" si="3"/>
        <v>1</v>
      </c>
      <c r="AB36" s="773">
        <f t="shared" si="4"/>
        <v>1</v>
      </c>
      <c r="AC36" s="773">
        <f t="shared" si="5"/>
        <v>1</v>
      </c>
    </row>
    <row r="37" spans="1:29" ht="15">
      <c r="A37" s="472"/>
      <c r="B37" s="422" t="s">
        <v>2746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42" t="s">
        <v>2556</v>
      </c>
      <c r="Q37" s="1809" t="str">
        <f t="shared" si="14"/>
        <v>工程地质条件</v>
      </c>
      <c r="R37" s="774" t="s">
        <v>17</v>
      </c>
      <c r="S37" s="775">
        <f t="shared" si="10"/>
        <v>100</v>
      </c>
      <c r="T37" s="774" t="s">
        <v>17</v>
      </c>
      <c r="U37" s="775">
        <f t="shared" si="11"/>
        <v>100</v>
      </c>
      <c r="V37" s="774" t="s">
        <v>17</v>
      </c>
      <c r="W37" s="775">
        <f t="shared" si="12"/>
        <v>100</v>
      </c>
      <c r="X37" s="1812"/>
      <c r="Y37" s="3242" t="s">
        <v>2556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2"/>
      <c r="Q38" s="1809">
        <f t="shared" si="14"/>
        <v>111</v>
      </c>
      <c r="R38" s="774" t="s">
        <v>17</v>
      </c>
      <c r="S38" s="775">
        <f t="shared" si="10"/>
        <v>100</v>
      </c>
      <c r="T38" s="774" t="s">
        <v>17</v>
      </c>
      <c r="U38" s="775">
        <f t="shared" si="11"/>
        <v>100</v>
      </c>
      <c r="V38" s="774" t="s">
        <v>17</v>
      </c>
      <c r="W38" s="775">
        <f t="shared" si="12"/>
        <v>100</v>
      </c>
      <c r="X38" s="1812"/>
      <c r="Y38" s="324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2"/>
      <c r="Q39" s="1809">
        <f t="shared" si="14"/>
        <v>111</v>
      </c>
      <c r="R39" s="774" t="s">
        <v>17</v>
      </c>
      <c r="S39" s="775">
        <f t="shared" si="10"/>
        <v>100</v>
      </c>
      <c r="T39" s="774" t="s">
        <v>17</v>
      </c>
      <c r="U39" s="775">
        <f t="shared" si="11"/>
        <v>100</v>
      </c>
      <c r="V39" s="774" t="s">
        <v>17</v>
      </c>
      <c r="W39" s="775">
        <f t="shared" si="12"/>
        <v>100</v>
      </c>
      <c r="X39" s="1812"/>
      <c r="Y39" s="3242"/>
      <c r="Z39" s="1813">
        <f t="shared" si="13"/>
        <v>111</v>
      </c>
      <c r="AA39" s="1810">
        <f t="shared" si="3"/>
        <v>1</v>
      </c>
      <c r="AB39" s="1810">
        <f t="shared" si="4"/>
        <v>1</v>
      </c>
      <c r="AC39" s="1810">
        <f t="shared" si="5"/>
        <v>1</v>
      </c>
    </row>
    <row r="40" spans="1:29" s="471" customFormat="1" ht="15.6"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2"/>
      <c r="Q40" s="1809">
        <f t="shared" si="14"/>
        <v>111</v>
      </c>
      <c r="R40" s="777" t="s">
        <v>17</v>
      </c>
      <c r="S40" s="778">
        <f t="shared" si="10"/>
        <v>100</v>
      </c>
      <c r="T40" s="777" t="s">
        <v>17</v>
      </c>
      <c r="U40" s="778">
        <f t="shared" si="11"/>
        <v>100</v>
      </c>
      <c r="V40" s="777" t="s">
        <v>17</v>
      </c>
      <c r="W40" s="778">
        <f t="shared" si="12"/>
        <v>100</v>
      </c>
      <c r="X40" s="779"/>
      <c r="Y40" s="3242"/>
      <c r="Z40" s="780">
        <f t="shared" si="13"/>
        <v>111</v>
      </c>
      <c r="AA40" s="1810">
        <f t="shared" si="3"/>
        <v>1</v>
      </c>
      <c r="AB40" s="1810">
        <f t="shared" si="4"/>
        <v>1</v>
      </c>
      <c r="AC40" s="1810">
        <f t="shared" si="5"/>
        <v>1</v>
      </c>
    </row>
    <row r="41" spans="1:29" ht="14.4">
      <c r="A41" s="479" t="s">
        <v>2711</v>
      </c>
      <c r="B41" s="2703" t="s">
        <v>2791</v>
      </c>
      <c r="C41" s="682" t="s">
        <v>1</v>
      </c>
      <c r="D41" s="481"/>
      <c r="E41" s="482"/>
      <c r="F41" s="483"/>
      <c r="G41" s="484"/>
      <c r="H41" s="485"/>
      <c r="I41" s="482"/>
      <c r="J41" s="485"/>
      <c r="K41" s="783"/>
      <c r="L41" s="1143"/>
      <c r="M41" s="1131"/>
      <c r="N41" s="1131"/>
      <c r="O41" s="1144"/>
      <c r="P41" s="3235" t="str">
        <f>A41</f>
        <v>成交单价</v>
      </c>
      <c r="Q41" s="3235"/>
      <c r="R41" s="3230">
        <f>E41</f>
        <v>0</v>
      </c>
      <c r="S41" s="3230"/>
      <c r="T41" s="3230">
        <f>G41</f>
        <v>0</v>
      </c>
      <c r="U41" s="3230"/>
      <c r="V41" s="3230">
        <f>I41</f>
        <v>0</v>
      </c>
      <c r="W41" s="3230"/>
      <c r="X41" s="759"/>
      <c r="Y41" s="781"/>
      <c r="Z41" s="759"/>
      <c r="AA41" s="759"/>
      <c r="AB41" s="759"/>
      <c r="AC41" s="759"/>
    </row>
    <row r="42" spans="1:29" ht="1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35" t="str">
        <f>A42</f>
        <v>比较价值（元/平方米）</v>
      </c>
      <c r="Q42" s="3235"/>
      <c r="R42" s="3270" t="e">
        <f>ROUND(PRODUCT(R41,AA7:AA40),0)</f>
        <v>#DIV/0!</v>
      </c>
      <c r="S42" s="3270"/>
      <c r="T42" s="3270" t="e">
        <f>ROUND(PRODUCT(T41,AB7:AB40),0)</f>
        <v>#DIV/0!</v>
      </c>
      <c r="U42" s="3270"/>
      <c r="V42" s="3270" t="e">
        <f>ROUND(PRODUCT(V41,AC7:AC40),0)</f>
        <v>#DIV/0!</v>
      </c>
      <c r="W42" s="3270"/>
      <c r="X42" s="759"/>
      <c r="Y42" s="759"/>
      <c r="Z42" s="759"/>
      <c r="AA42" s="759"/>
      <c r="AB42" s="759"/>
      <c r="AC42" s="759"/>
    </row>
    <row r="43" spans="1:29" ht="15" thickBot="1">
      <c r="A43" s="492" t="s">
        <v>2661</v>
      </c>
      <c r="B43" s="493"/>
      <c r="C43" s="494" t="e">
        <f>R43</f>
        <v>#DIV/0!</v>
      </c>
      <c r="D43" s="494"/>
      <c r="E43" s="494"/>
      <c r="F43" s="494"/>
      <c r="G43" s="494"/>
      <c r="H43" s="494"/>
      <c r="I43" s="494"/>
      <c r="J43" s="494"/>
      <c r="K43" s="785"/>
      <c r="L43" s="1143"/>
      <c r="M43" s="1131"/>
      <c r="N43" s="1131"/>
      <c r="O43" s="1144"/>
      <c r="P43" s="3232" t="str">
        <f>A43</f>
        <v>估价对象XX用房的比较价值（楼面单价，元/平方米）</v>
      </c>
      <c r="Q43" s="3233"/>
      <c r="R43" s="3271" t="e">
        <f>ROUND(AVERAGE(R42:V42),0)</f>
        <v>#DIV/0!</v>
      </c>
      <c r="S43" s="3271"/>
      <c r="T43" s="3271"/>
      <c r="U43" s="3271"/>
      <c r="V43" s="3271"/>
      <c r="W43" s="327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2749</v>
      </c>
      <c r="B50" s="685" t="s">
        <v>2750</v>
      </c>
      <c r="C50" s="2704" t="s">
        <v>2751</v>
      </c>
      <c r="D50" s="2705" t="s">
        <v>2752</v>
      </c>
      <c r="E50" s="686" t="s">
        <v>2753</v>
      </c>
      <c r="F50" s="687" t="s">
        <v>2754</v>
      </c>
      <c r="G50" s="3218" t="s">
        <v>2755</v>
      </c>
      <c r="H50" s="3272"/>
      <c r="I50" s="1813" t="s">
        <v>2792</v>
      </c>
      <c r="J50" s="1813" t="str">
        <f>项目基本情况!F35</f>
        <v>广东省广州市</v>
      </c>
      <c r="K50" s="2707" t="s">
        <v>2757</v>
      </c>
      <c r="L50" s="1106"/>
      <c r="M50" s="1144"/>
      <c r="N50" s="1144"/>
      <c r="O50" s="1144"/>
    </row>
    <row r="51" spans="1:17" s="692" customFormat="1">
      <c r="A51" s="688" t="s">
        <v>2758</v>
      </c>
      <c r="B51" s="689" t="e">
        <f>C43</f>
        <v>#DIV/0!</v>
      </c>
      <c r="C51" s="690">
        <v>1</v>
      </c>
      <c r="D51" s="1163">
        <v>1</v>
      </c>
      <c r="E51" s="690">
        <f>'数据-汇总表'!E8+'数据-汇总表'!E9</f>
        <v>41667.353900000002</v>
      </c>
      <c r="F51" s="691" t="e">
        <f t="shared" ref="F51:F60" si="15">ROUND(B51*E51/10000,0)</f>
        <v>#DIV/0!</v>
      </c>
      <c r="G51" s="3217"/>
      <c r="H51" s="3235"/>
      <c r="I51" s="942">
        <v>1</v>
      </c>
      <c r="J51" s="942">
        <v>1</v>
      </c>
      <c r="K51" s="1145"/>
      <c r="L51" s="941"/>
      <c r="M51" s="941"/>
      <c r="N51" s="941"/>
      <c r="O51" s="941"/>
    </row>
    <row r="52" spans="1:17" s="692" customFormat="1">
      <c r="A52" s="693" t="s">
        <v>2759</v>
      </c>
      <c r="B52" s="262" t="e">
        <f>ROUND($C$43*C52*D52,0)</f>
        <v>#DIV/0!</v>
      </c>
      <c r="C52" s="200">
        <f t="shared" ref="C52:C60" si="16">IF($C$50="北京市系数",I52,J52)</f>
        <v>0</v>
      </c>
      <c r="D52" s="1164">
        <v>0.25</v>
      </c>
      <c r="E52" s="694"/>
      <c r="F52" s="691" t="e">
        <f t="shared" si="15"/>
        <v>#DIV/0!</v>
      </c>
      <c r="G52" s="3273" t="s">
        <v>2760</v>
      </c>
      <c r="H52" s="1104">
        <f>项目基本情况!B37</f>
        <v>0</v>
      </c>
      <c r="I52" s="942">
        <f>SUMIF(修正!A45:A56,H52,修正!B45:B56)</f>
        <v>0</v>
      </c>
      <c r="J52" s="943"/>
      <c r="K52" s="1144"/>
      <c r="L52" s="941"/>
      <c r="M52" s="941"/>
      <c r="N52" s="941"/>
      <c r="O52" s="941"/>
    </row>
    <row r="53" spans="1:17" s="692" customFormat="1">
      <c r="A53" s="693" t="s">
        <v>2761</v>
      </c>
      <c r="B53" s="262" t="e">
        <f t="shared" ref="B53:B60" si="17">ROUND($C$43*C53*D53,0)</f>
        <v>#DIV/0!</v>
      </c>
      <c r="C53" s="200">
        <f t="shared" si="16"/>
        <v>0</v>
      </c>
      <c r="D53" s="1164">
        <v>0.25</v>
      </c>
      <c r="E53" s="694"/>
      <c r="F53" s="691" t="e">
        <f t="shared" si="15"/>
        <v>#DIV/0!</v>
      </c>
      <c r="G53" s="3273"/>
      <c r="H53" s="1104">
        <f>项目基本情况!B37</f>
        <v>0</v>
      </c>
      <c r="I53" s="942">
        <f>SUMIF(修正!A45:A56,H53,修正!C45:C56)</f>
        <v>0</v>
      </c>
      <c r="J53" s="943"/>
      <c r="K53" s="1145"/>
      <c r="L53" s="941"/>
      <c r="M53" s="941"/>
      <c r="N53" s="941"/>
      <c r="O53" s="941"/>
    </row>
    <row r="54" spans="1:17" s="692" customFormat="1">
      <c r="A54" s="693" t="s">
        <v>2762</v>
      </c>
      <c r="B54" s="262" t="e">
        <f t="shared" si="17"/>
        <v>#DIV/0!</v>
      </c>
      <c r="C54" s="200">
        <f t="shared" si="16"/>
        <v>0</v>
      </c>
      <c r="D54" s="1164">
        <v>0.25</v>
      </c>
      <c r="E54" s="694"/>
      <c r="F54" s="691" t="e">
        <f t="shared" si="15"/>
        <v>#DIV/0!</v>
      </c>
      <c r="G54" s="3273"/>
      <c r="H54" s="1104">
        <f>项目基本情况!B37</f>
        <v>0</v>
      </c>
      <c r="I54" s="942">
        <f>SUMIF(修正!A45:A56,H54,修正!D45:D56)</f>
        <v>0</v>
      </c>
      <c r="J54" s="943"/>
      <c r="K54" s="1144"/>
      <c r="L54" s="941"/>
      <c r="M54" s="941"/>
      <c r="N54" s="941"/>
      <c r="O54" s="941"/>
    </row>
    <row r="55" spans="1:17" s="692" customFormat="1">
      <c r="A55" s="693" t="s">
        <v>2763</v>
      </c>
      <c r="B55" s="262" t="e">
        <f t="shared" si="17"/>
        <v>#DIV/0!</v>
      </c>
      <c r="C55" s="200">
        <f t="shared" si="16"/>
        <v>0</v>
      </c>
      <c r="D55" s="1164">
        <v>0.25</v>
      </c>
      <c r="E55" s="694"/>
      <c r="F55" s="691" t="e">
        <f t="shared" si="15"/>
        <v>#DIV/0!</v>
      </c>
      <c r="G55" s="3273"/>
      <c r="H55" s="1104">
        <f>项目基本情况!B37</f>
        <v>0</v>
      </c>
      <c r="I55" s="942">
        <f>SUMIF(修正!A45:A56,H55,修正!E45:E56)</f>
        <v>0</v>
      </c>
      <c r="J55" s="943"/>
      <c r="K55" s="1145"/>
      <c r="L55" s="941"/>
      <c r="M55" s="941"/>
      <c r="N55" s="941"/>
      <c r="O55" s="941"/>
    </row>
    <row r="56" spans="1:17" s="692" customFormat="1">
      <c r="A56" s="693" t="s">
        <v>2764</v>
      </c>
      <c r="B56" s="262" t="e">
        <f t="shared" si="17"/>
        <v>#DIV/0!</v>
      </c>
      <c r="C56" s="200">
        <f t="shared" si="16"/>
        <v>0</v>
      </c>
      <c r="D56" s="1164">
        <v>0.25</v>
      </c>
      <c r="E56" s="261">
        <f>'数据-汇总表'!E11</f>
        <v>0</v>
      </c>
      <c r="F56" s="691" t="e">
        <f t="shared" si="15"/>
        <v>#DIV/0!</v>
      </c>
      <c r="G56" s="2708" t="s">
        <v>2765</v>
      </c>
      <c r="H56" s="1104">
        <f>项目基本情况!C37</f>
        <v>0</v>
      </c>
      <c r="I56" s="942">
        <f>SUMIF(修正!A45:A56,H56,修正!F45:F56)</f>
        <v>0</v>
      </c>
      <c r="J56" s="943"/>
      <c r="K56" s="1144"/>
      <c r="L56" s="941"/>
      <c r="M56" s="941"/>
      <c r="N56" s="941"/>
      <c r="O56" s="941"/>
    </row>
    <row r="57" spans="1:17" s="692" customFormat="1">
      <c r="A57" s="693" t="s">
        <v>2766</v>
      </c>
      <c r="B57" s="262" t="e">
        <f t="shared" si="17"/>
        <v>#DIV/0!</v>
      </c>
      <c r="C57" s="200">
        <f t="shared" si="16"/>
        <v>0</v>
      </c>
      <c r="D57" s="1164">
        <v>0.25</v>
      </c>
      <c r="E57" s="261">
        <f>'数据-汇总表'!E12</f>
        <v>0</v>
      </c>
      <c r="F57" s="691" t="e">
        <f t="shared" si="15"/>
        <v>#DIV/0!</v>
      </c>
      <c r="G57" s="1109" t="s">
        <v>2767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2768</v>
      </c>
      <c r="B58" s="262" t="e">
        <f t="shared" si="17"/>
        <v>#DIV/0!</v>
      </c>
      <c r="C58" s="200">
        <f t="shared" si="16"/>
        <v>0</v>
      </c>
      <c r="D58" s="1164">
        <v>0.25</v>
      </c>
      <c r="E58" s="261">
        <f>'数据-汇总表'!E13</f>
        <v>0</v>
      </c>
      <c r="F58" s="691" t="e">
        <f t="shared" si="15"/>
        <v>#DIV/0!</v>
      </c>
      <c r="G58" s="1109" t="s">
        <v>2769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2770</v>
      </c>
      <c r="B59" s="262" t="e">
        <f t="shared" si="17"/>
        <v>#DIV/0!</v>
      </c>
      <c r="C59" s="200">
        <f t="shared" si="16"/>
        <v>0</v>
      </c>
      <c r="D59" s="1164">
        <v>0.25</v>
      </c>
      <c r="E59" s="261">
        <f>'数据-汇总表'!E14</f>
        <v>0</v>
      </c>
      <c r="F59" s="691" t="e">
        <f t="shared" si="15"/>
        <v>#DIV/0!</v>
      </c>
      <c r="G59" s="2708" t="s">
        <v>2760</v>
      </c>
      <c r="H59" s="1104">
        <f>项目基本情况!B37</f>
        <v>0</v>
      </c>
      <c r="I59" s="942">
        <f>SUMIF(修正!A45:A56,H59,修正!H45:H56)</f>
        <v>0</v>
      </c>
      <c r="J59" s="943"/>
      <c r="K59" s="1145"/>
      <c r="L59" s="941"/>
      <c r="M59" s="941"/>
      <c r="N59" s="941"/>
      <c r="O59" s="941"/>
    </row>
    <row r="60" spans="1:17" s="692" customFormat="1" ht="14.4" thickBot="1">
      <c r="A60" s="693" t="s">
        <v>2771</v>
      </c>
      <c r="B60" s="262" t="e">
        <f t="shared" si="17"/>
        <v>#DIV/0!</v>
      </c>
      <c r="C60" s="200">
        <f t="shared" si="16"/>
        <v>0</v>
      </c>
      <c r="D60" s="1164">
        <v>0.25</v>
      </c>
      <c r="E60" s="261">
        <f>'数据-汇总表'!E15</f>
        <v>0</v>
      </c>
      <c r="F60" s="691" t="e">
        <f t="shared" si="15"/>
        <v>#DIV/0!</v>
      </c>
      <c r="G60" s="2709" t="s">
        <v>2765</v>
      </c>
      <c r="H60" s="1114">
        <f>项目基本情况!C37</f>
        <v>0</v>
      </c>
      <c r="I60" s="942">
        <f>SUMIF(修正!A45:A56,H60,修正!H45:H56)</f>
        <v>0</v>
      </c>
      <c r="J60" s="943"/>
      <c r="K60" s="1144"/>
      <c r="L60" s="941"/>
      <c r="M60" s="941"/>
      <c r="N60" s="941"/>
      <c r="O60" s="941"/>
    </row>
    <row r="61" spans="1:17" s="692" customFormat="1" ht="14.4" thickBot="1">
      <c r="A61" s="695" t="s">
        <v>2772</v>
      </c>
      <c r="B61" s="696" t="s">
        <v>28</v>
      </c>
      <c r="C61" s="696" t="s">
        <v>29</v>
      </c>
      <c r="D61" s="696" t="s">
        <v>1026</v>
      </c>
      <c r="E61" s="696">
        <f>IF(B41="楼面地价",SUM(E51:E60),'数据-汇总表'!D3)</f>
        <v>19349.7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2.2" thickBot="1">
      <c r="A64" s="763" t="s">
        <v>2665</v>
      </c>
      <c r="B64" s="759"/>
      <c r="C64" s="764"/>
      <c r="D64" s="764"/>
      <c r="E64" s="764"/>
      <c r="F64" s="765"/>
      <c r="G64" s="765"/>
      <c r="H64" s="764"/>
      <c r="I64" s="764"/>
      <c r="J64" s="764"/>
      <c r="K64" s="766"/>
      <c r="L64" s="767"/>
      <c r="M64" s="764"/>
      <c r="N64" s="764"/>
      <c r="O64" s="1159"/>
      <c r="P64" s="503"/>
      <c r="Q64" s="504"/>
    </row>
    <row r="65" spans="1:17" s="508" customFormat="1" ht="14.4">
      <c r="A65" s="2710" t="s">
        <v>2773</v>
      </c>
      <c r="B65" s="1359"/>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5" t="s">
        <v>2793</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 thickBot="1">
      <c r="A67" s="515" t="s">
        <v>2576</v>
      </c>
      <c r="B67" s="516"/>
      <c r="C67" s="517"/>
      <c r="D67" s="518"/>
      <c r="E67" s="518"/>
      <c r="F67" s="518"/>
      <c r="G67" s="518"/>
      <c r="H67" s="518"/>
      <c r="I67" s="518"/>
      <c r="J67" s="518"/>
      <c r="K67" s="518"/>
      <c r="L67" s="518"/>
      <c r="M67" s="519"/>
      <c r="N67" s="519"/>
      <c r="O67" s="520"/>
      <c r="P67" s="504"/>
      <c r="Q67" s="504"/>
    </row>
    <row r="68" spans="1:17" s="117" customFormat="1" ht="14.4">
      <c r="A68" s="521" t="s">
        <v>2541</v>
      </c>
      <c r="B68" s="510"/>
      <c r="C68" s="522" t="s">
        <v>2643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2579</v>
      </c>
      <c r="B70" s="528" t="s">
        <v>2545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2548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72" customWidth="1"/>
    <col min="33" max="36" width="9.33203125" style="2787" customWidth="1"/>
    <col min="37" max="38" width="9.33203125" style="2719" customWidth="1"/>
    <col min="39" max="16384" width="12" style="2719"/>
  </cols>
  <sheetData>
    <row r="1" spans="1:36" ht="31.2">
      <c r="A1" s="240" t="s">
        <v>2795</v>
      </c>
      <c r="B1" s="241"/>
      <c r="C1" s="245" t="s">
        <v>2796</v>
      </c>
      <c r="D1" s="388">
        <f>SUM(D29:D30,D33:D39)</f>
        <v>0</v>
      </c>
      <c r="E1" s="2716"/>
      <c r="F1" s="2716"/>
      <c r="G1" s="2716"/>
      <c r="H1" s="2716"/>
      <c r="I1" s="2716"/>
      <c r="J1" s="2716"/>
      <c r="K1" s="1370"/>
      <c r="L1" s="2717" t="s">
        <v>2797</v>
      </c>
      <c r="M1" s="1080">
        <f>SUMPRODUCT((区片价!B5:B9=I2)*(区片价!C3:F3=E2)*(区片价!C5:F9))</f>
        <v>0</v>
      </c>
      <c r="N1" s="1083">
        <f>SUMPRODUCT((因素修正幅度!B5:B9=I2)*(因素修正幅度!C3:F3=E2)*(因素修正幅度!C5:F9))</f>
        <v>0</v>
      </c>
      <c r="O1" s="2718"/>
      <c r="P1" s="2718"/>
      <c r="Q1" s="1370"/>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6">
      <c r="A2" s="245" t="s">
        <v>2803</v>
      </c>
      <c r="B2" s="248" t="e">
        <f>C26</f>
        <v>#DIV/0!</v>
      </c>
      <c r="C2" s="2720" t="s">
        <v>2804</v>
      </c>
      <c r="D2" s="2721" t="s">
        <v>2805</v>
      </c>
      <c r="E2" s="2722"/>
      <c r="F2" s="2721" t="s">
        <v>2806</v>
      </c>
      <c r="G2" s="2723">
        <f>IF(E2="商业",项目基本情况!B37,IF(E2="办公",项目基本情况!C37,IF(E2="住宅",项目基本情况!D37,项目基本情况!E37)))</f>
        <v>0</v>
      </c>
      <c r="H2" s="2721" t="s">
        <v>2807</v>
      </c>
      <c r="I2" s="2723">
        <f>IF(E2="商业",项目基本情况!B38,IF(E2="办公",项目基本情况!C38,IF(E2="住宅",项目基本情况!D38,项目基本情况!E38)))</f>
        <v>0</v>
      </c>
      <c r="J2" s="2724"/>
      <c r="K2" s="1370"/>
      <c r="L2" s="2725" t="s">
        <v>2808</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2809</v>
      </c>
      <c r="B3" s="248" t="e">
        <f>ROUND(B2*10000/D1,0)</f>
        <v>#DIV/0!</v>
      </c>
      <c r="C3" s="2720" t="s">
        <v>2810</v>
      </c>
      <c r="D3" s="2721" t="s">
        <v>2811</v>
      </c>
      <c r="E3" s="2726"/>
      <c r="F3" s="2727" t="s">
        <v>2812</v>
      </c>
      <c r="G3" s="916">
        <f>IF(F3="宗地容积率",'数据-汇总表'!I4,IF(F3="估价对象容积率",'数据-汇总表'!I6,'数据-汇总表'!I7))</f>
        <v>1.91</v>
      </c>
      <c r="H3" s="198" t="s">
        <v>2813</v>
      </c>
      <c r="I3" s="944"/>
      <c r="J3" s="2724" t="s">
        <v>2814</v>
      </c>
      <c r="K3" s="1370"/>
      <c r="L3" s="2725" t="s">
        <v>2815</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94"/>
      <c r="B4" s="3295"/>
      <c r="C4" s="3295"/>
      <c r="D4" s="3296"/>
      <c r="E4" s="3296"/>
      <c r="F4" s="3296"/>
      <c r="G4" s="3296"/>
      <c r="H4" s="3296"/>
      <c r="I4" s="3296"/>
      <c r="J4" s="3297"/>
      <c r="K4" s="1370"/>
      <c r="L4" s="2725" t="s">
        <v>2816</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6" thickBot="1">
      <c r="A5" s="2728" t="s">
        <v>807</v>
      </c>
      <c r="B5" s="2729" t="s">
        <v>2817</v>
      </c>
      <c r="C5" s="917" t="e">
        <f>ROUND(IF(E2="商业",C6*C7+C16,(IF(E2="住宅",C6*C12+C16,C6+C16))),0)</f>
        <v>#DIV/0!</v>
      </c>
      <c r="D5" s="1786" t="e">
        <f>ROUND(C6+C16,0)</f>
        <v>#DIV/0!</v>
      </c>
      <c r="E5" s="1786"/>
      <c r="F5" s="2730"/>
      <c r="G5" s="2731"/>
      <c r="H5" s="2731"/>
      <c r="I5" s="2731"/>
      <c r="J5" s="2732"/>
      <c r="K5" s="2733"/>
      <c r="L5" s="2725" t="s">
        <v>2818</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6" thickBot="1">
      <c r="A6" s="2738" t="s">
        <v>2819</v>
      </c>
      <c r="B6" s="2739" t="s">
        <v>2820</v>
      </c>
      <c r="C6" s="918">
        <f>SUMIF(L1:L12,G2,M1:M12)</f>
        <v>0</v>
      </c>
      <c r="D6" s="2740" t="s">
        <v>2821</v>
      </c>
      <c r="E6" s="2741"/>
      <c r="F6" s="2741"/>
      <c r="G6" s="2742"/>
      <c r="H6" s="2742"/>
      <c r="I6" s="2742"/>
      <c r="J6" s="2743"/>
      <c r="K6" s="1841"/>
      <c r="L6" s="2725" t="s">
        <v>2822</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78" t="str">
        <f>IF(E2="商业",IF(C8="不临58条商业街","",2),"")</f>
        <v/>
      </c>
      <c r="B7" s="2744" t="s">
        <v>2823</v>
      </c>
      <c r="C7" s="919" t="e">
        <f>IF(C8="不临58条商业街",1,ROUND(1+(1.6*E8+1.2*E9+0.8*E10+0.4*E11)*C9,4))</f>
        <v>#DIV/0!</v>
      </c>
      <c r="D7" s="2745" t="s">
        <v>2824</v>
      </c>
      <c r="E7" s="945"/>
      <c r="F7" s="2746"/>
      <c r="G7" s="2747"/>
      <c r="H7" s="2747"/>
      <c r="I7" s="2747"/>
      <c r="J7" s="2748"/>
      <c r="K7" s="1841"/>
      <c r="L7" s="2725" t="s">
        <v>2825</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2826</v>
      </c>
      <c r="X7" s="1603">
        <f>G2</f>
        <v>0</v>
      </c>
      <c r="Y7" s="1603" t="s">
        <v>2827</v>
      </c>
      <c r="Z7" s="1604">
        <f>G3</f>
        <v>1.91</v>
      </c>
      <c r="AA7" s="1605"/>
      <c r="AB7" s="1605"/>
      <c r="AC7" s="1606"/>
      <c r="AD7" s="1607"/>
      <c r="AE7" s="1607"/>
      <c r="AF7" s="1607"/>
      <c r="AG7" s="1607"/>
      <c r="AH7" s="1607"/>
      <c r="AI7" s="1607"/>
      <c r="AJ7" s="1608"/>
    </row>
    <row r="8" spans="1:36" ht="15">
      <c r="A8" s="3298"/>
      <c r="B8" s="198" t="s">
        <v>2828</v>
      </c>
      <c r="C8" s="2749"/>
      <c r="D8" s="920" t="s">
        <v>139</v>
      </c>
      <c r="E8" s="921" t="e">
        <f>ROUND(C11/E7,4)</f>
        <v>#DIV/0!</v>
      </c>
      <c r="F8" s="2750" t="s">
        <v>2829</v>
      </c>
      <c r="G8" s="2751"/>
      <c r="H8" s="2751"/>
      <c r="I8" s="2751"/>
      <c r="J8" s="2752"/>
      <c r="K8" s="1370"/>
      <c r="L8" s="2725" t="s">
        <v>2830</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1" t="s">
        <v>2831</v>
      </c>
      <c r="X8" s="3292"/>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298"/>
      <c r="B9" s="198" t="s">
        <v>2844</v>
      </c>
      <c r="C9" s="922">
        <f>SUMIF(修正!C59:C119,C8,修正!E59:E119)</f>
        <v>0</v>
      </c>
      <c r="D9" s="200" t="s">
        <v>140</v>
      </c>
      <c r="E9" s="200" t="e">
        <f>ROUND(C11/E7,4)</f>
        <v>#DIV/0!</v>
      </c>
      <c r="F9" s="2750" t="s">
        <v>2845</v>
      </c>
      <c r="G9" s="2751"/>
      <c r="H9" s="2751"/>
      <c r="I9" s="2751"/>
      <c r="J9" s="2752"/>
      <c r="K9" s="1370"/>
      <c r="L9" s="2725" t="s">
        <v>2846</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3" t="s">
        <v>2847</v>
      </c>
      <c r="X9" s="1610" t="s">
        <v>2848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8"/>
      <c r="B10" s="198" t="s">
        <v>2849</v>
      </c>
      <c r="C10" s="200">
        <f>SUMIF(修正!C59:C119,C8,修正!F59:F119)</f>
        <v>0</v>
      </c>
      <c r="D10" s="200" t="s">
        <v>141</v>
      </c>
      <c r="E10" s="200" t="e">
        <f>ROUND(C11/E7,4)</f>
        <v>#DIV/0!</v>
      </c>
      <c r="F10" s="2750" t="s">
        <v>2850</v>
      </c>
      <c r="G10" s="2751"/>
      <c r="H10" s="2751"/>
      <c r="I10" s="2751"/>
      <c r="J10" s="2752"/>
      <c r="K10" s="1370"/>
      <c r="L10" s="2725" t="s">
        <v>2851</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98"/>
      <c r="B11" s="2753" t="s">
        <v>2852</v>
      </c>
      <c r="C11" s="923">
        <f>C10/4</f>
        <v>0</v>
      </c>
      <c r="D11" s="923" t="s">
        <v>142</v>
      </c>
      <c r="E11" s="923" t="e">
        <f>ROUND(C11/E7,4)</f>
        <v>#DIV/0!</v>
      </c>
      <c r="F11" s="2754" t="s">
        <v>2853</v>
      </c>
      <c r="G11" s="2755"/>
      <c r="H11" s="2755"/>
      <c r="I11" s="2755"/>
      <c r="J11" s="2756"/>
      <c r="K11" s="1370"/>
      <c r="L11" s="2725" t="s">
        <v>2854</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3" t="s">
        <v>2855</v>
      </c>
      <c r="X11" s="1613" t="s">
        <v>2856</v>
      </c>
      <c r="Y11" s="1614">
        <f>$G$3</f>
        <v>1.91</v>
      </c>
      <c r="Z11" s="1614">
        <f t="shared" ref="Z11:AJ11" si="3">$G$3</f>
        <v>1.91</v>
      </c>
      <c r="AA11" s="1614">
        <f t="shared" si="3"/>
        <v>1.91</v>
      </c>
      <c r="AB11" s="1614">
        <f t="shared" si="3"/>
        <v>1.91</v>
      </c>
      <c r="AC11" s="1614">
        <f t="shared" si="3"/>
        <v>1.91</v>
      </c>
      <c r="AD11" s="1614">
        <f t="shared" si="3"/>
        <v>1.91</v>
      </c>
      <c r="AE11" s="1614">
        <f t="shared" si="3"/>
        <v>1.91</v>
      </c>
      <c r="AF11" s="1614">
        <f t="shared" si="3"/>
        <v>1.91</v>
      </c>
      <c r="AG11" s="1614">
        <f t="shared" si="3"/>
        <v>1.91</v>
      </c>
      <c r="AH11" s="1614">
        <f t="shared" si="3"/>
        <v>1.91</v>
      </c>
      <c r="AI11" s="1614">
        <f t="shared" si="3"/>
        <v>1.91</v>
      </c>
      <c r="AJ11" s="1614">
        <f t="shared" si="3"/>
        <v>1.91</v>
      </c>
    </row>
    <row r="12" spans="1:36" ht="25.8" thickBot="1">
      <c r="A12" s="3278" t="s">
        <v>2857</v>
      </c>
      <c r="B12" s="2757" t="s">
        <v>2858</v>
      </c>
      <c r="C12" s="919">
        <f>ROUND(C15*D15*E15*F15*G15*H15*I15*J15,4)</f>
        <v>1</v>
      </c>
      <c r="D12" s="2758" t="s">
        <v>2859</v>
      </c>
      <c r="E12" s="2759"/>
      <c r="F12" s="2759"/>
      <c r="G12" s="2760"/>
      <c r="H12" s="2760"/>
      <c r="I12" s="2760"/>
      <c r="J12" s="2761"/>
      <c r="K12" s="1370"/>
      <c r="L12" s="2762" t="s">
        <v>2860</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3"/>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9"/>
      <c r="B13" s="2763" t="s">
        <v>2862</v>
      </c>
      <c r="C13" s="2764" t="s">
        <v>2863</v>
      </c>
      <c r="D13" s="1807" t="s">
        <v>2864</v>
      </c>
      <c r="E13" s="1807" t="s">
        <v>2865</v>
      </c>
      <c r="F13" s="30" t="s">
        <v>2866</v>
      </c>
      <c r="G13" s="2765" t="s">
        <v>2867</v>
      </c>
      <c r="H13" s="2765" t="s">
        <v>2867</v>
      </c>
      <c r="I13" s="2765" t="s">
        <v>2867</v>
      </c>
      <c r="J13" s="2766" t="s">
        <v>2867</v>
      </c>
      <c r="K13" s="1370"/>
      <c r="L13" s="1370"/>
      <c r="M13" s="1370"/>
      <c r="N13" s="1370"/>
      <c r="O13" s="1370"/>
      <c r="P13" s="1370"/>
      <c r="Q13" s="1370"/>
      <c r="R13" s="1601">
        <v>12</v>
      </c>
      <c r="S13" s="1602"/>
      <c r="T13" s="1601" t="e">
        <f t="shared" si="0"/>
        <v>#DIV/0!</v>
      </c>
      <c r="U13" s="1602"/>
      <c r="V13" s="1601" t="e">
        <f t="shared" si="1"/>
        <v>#DIV/0!</v>
      </c>
      <c r="W13" s="3293"/>
      <c r="X13" s="1615"/>
      <c r="Y13" s="1612">
        <f>(-0.163*(Y12^2)-0.59*Y12+7617)*(10^(-4))/Y11</f>
        <v>0.39879581151832466</v>
      </c>
      <c r="Z13" s="1612">
        <f t="shared" ref="Z13:AJ13" si="5">(-0.163*(Z12^2)-0.59*Z12+7617)*(10^(-4))/Z11</f>
        <v>0.39879581151832466</v>
      </c>
      <c r="AA13" s="1612">
        <f t="shared" si="5"/>
        <v>0.39879581151832466</v>
      </c>
      <c r="AB13" s="1612">
        <f t="shared" si="5"/>
        <v>0.39879581151832466</v>
      </c>
      <c r="AC13" s="1612">
        <f t="shared" si="5"/>
        <v>0.39879581151832466</v>
      </c>
      <c r="AD13" s="1612">
        <f t="shared" si="5"/>
        <v>0.39879581151832466</v>
      </c>
      <c r="AE13" s="1612">
        <f t="shared" si="5"/>
        <v>0.39879581151832466</v>
      </c>
      <c r="AF13" s="1612">
        <f t="shared" si="5"/>
        <v>0.39879581151832466</v>
      </c>
      <c r="AG13" s="1612">
        <f t="shared" si="5"/>
        <v>0.39879581151832466</v>
      </c>
      <c r="AH13" s="1612">
        <f t="shared" si="5"/>
        <v>0.39879581151832466</v>
      </c>
      <c r="AI13" s="1612">
        <f t="shared" si="5"/>
        <v>0.39879581151832466</v>
      </c>
      <c r="AJ13" s="1612">
        <f t="shared" si="5"/>
        <v>0.39879581151832466</v>
      </c>
    </row>
    <row r="14" spans="1:36" ht="15">
      <c r="A14" s="3299"/>
      <c r="B14" s="2767"/>
      <c r="C14" s="2768"/>
      <c r="D14" s="2769"/>
      <c r="E14" s="2769"/>
      <c r="F14" s="2770"/>
      <c r="G14" s="2771" t="s">
        <v>2868</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00"/>
      <c r="B15" s="2775" t="s">
        <v>2869</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8" t="s">
        <v>2874</v>
      </c>
      <c r="B16" s="2744" t="s">
        <v>2875</v>
      </c>
      <c r="C16" s="2931" t="e">
        <f>ROUND(IF(F17="与级别开发程度一致",0,(G17-E17)/C17),0)</f>
        <v>#DIV/0!</v>
      </c>
      <c r="D16" s="3289" t="s">
        <v>2879</v>
      </c>
      <c r="E16" s="3290"/>
      <c r="F16" s="3289" t="s">
        <v>2876</v>
      </c>
      <c r="G16" s="3290"/>
      <c r="H16" s="2778"/>
      <c r="I16" s="2778"/>
      <c r="J16" s="2935"/>
      <c r="K16" s="2778"/>
      <c r="L16" s="2778"/>
      <c r="M16" s="2778"/>
      <c r="N16" s="2778"/>
      <c r="O16" s="2779"/>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79"/>
      <c r="B17" s="2942" t="s">
        <v>2878</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 thickBot="1">
      <c r="A18" s="2936" t="s">
        <v>808</v>
      </c>
      <c r="B18" s="2937" t="s">
        <v>2881</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4" thickBot="1">
      <c r="A19" s="2783" t="s">
        <v>809</v>
      </c>
      <c r="B19" s="2784" t="s">
        <v>2882</v>
      </c>
      <c r="C19" s="924" t="e">
        <f>ROUND(IF(H19="按公示增长率计算",SUMPRODUCT((地价!A3:A27=YEAR(G19)&amp;"-"&amp;ROUNDUP(MONTH(G19)/3,0))*(地价!X2:AB2=E2)*(地价!X3:AB27)),IF(H19="地价指数",M20/M19,(1+I19)^O19)),4)</f>
        <v>#VALUE!</v>
      </c>
      <c r="D19" s="2788" t="s">
        <v>2883</v>
      </c>
      <c r="E19" s="925">
        <v>41640</v>
      </c>
      <c r="F19" s="2788" t="s">
        <v>2884</v>
      </c>
      <c r="G19" s="926">
        <f>'数据-取费表'!B2</f>
        <v>43712</v>
      </c>
      <c r="H19" s="2789"/>
      <c r="I19" s="927" t="str">
        <f>IF(H19="季度增幅（自定义）",SUMIF(N21:N24,E2,O21:O24),"")</f>
        <v/>
      </c>
      <c r="J19" s="2786"/>
      <c r="K19" s="1377"/>
      <c r="L19" s="2790" t="s">
        <v>2885</v>
      </c>
      <c r="M19" s="1733">
        <f>ROUND(SUMIF(地价!B2:F2,E2,地价!B27:F27),0)</f>
        <v>0</v>
      </c>
      <c r="N19" s="2791" t="s">
        <v>2886</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9.4" thickBot="1">
      <c r="A20" s="2795" t="s">
        <v>810</v>
      </c>
      <c r="B20" s="2796" t="s">
        <v>2887</v>
      </c>
      <c r="C20" s="929" t="e">
        <f>ROUND(POWER(1+G20,J20-I20)*(POWER(1+G20,I20)-1)/(POWER(1+G20,J20)-1),4)</f>
        <v>#DIV/0!</v>
      </c>
      <c r="D20" s="2797" t="s">
        <v>2888</v>
      </c>
      <c r="E20" s="1767">
        <f ca="1">存贷款利率!D4/100</f>
        <v>4.3499999999999997E-2</v>
      </c>
      <c r="F20" s="2797" t="s">
        <v>2880</v>
      </c>
      <c r="G20" s="934">
        <f>SUMIF(M26:P26,E2,M28:P28)</f>
        <v>0</v>
      </c>
      <c r="H20" s="2797" t="s">
        <v>2889</v>
      </c>
      <c r="I20" s="935" t="e">
        <f>SUMIF('数据-取费表'!C6:C15,E2,'数据-取费表'!F6:F15)/COUNTIF('数据-取费表'!C6:C15,E2)</f>
        <v>#DIV/0!</v>
      </c>
      <c r="J20" s="936">
        <f>IF(E2="住宅",70,IF(E2="商业",40,50))</f>
        <v>50</v>
      </c>
      <c r="K20" s="1377"/>
      <c r="L20" s="2798" t="s">
        <v>2890</v>
      </c>
      <c r="M20" s="1734">
        <f>ROUND(SUMPRODUCT((地价!A4:A27=YEAR(G19)&amp;"-"&amp;ROUNDUP(MONTH(G19)/3,0))*(地价!B2:F2=E2)*(地价!B4:F27)),0)</f>
        <v>0</v>
      </c>
      <c r="N20" s="2799" t="s">
        <v>2891</v>
      </c>
      <c r="O20" s="2800" t="s">
        <v>2892</v>
      </c>
      <c r="P20" s="2801" t="s">
        <v>2893</v>
      </c>
      <c r="R20" s="1376"/>
      <c r="S20" s="1376"/>
      <c r="T20" s="1371"/>
      <c r="U20" s="1371"/>
      <c r="V20" s="1371"/>
      <c r="W20" s="1370"/>
      <c r="X20" s="1370"/>
      <c r="Y20" s="1370"/>
      <c r="Z20" s="1377"/>
      <c r="AA20" s="1378"/>
      <c r="AB20" s="1378"/>
      <c r="AC20" s="1378"/>
      <c r="AD20" s="1378"/>
      <c r="AE20" s="1378"/>
      <c r="AF20" s="1378"/>
    </row>
    <row r="21" spans="1:37" s="2737" customFormat="1" ht="14.4">
      <c r="A21" s="2802" t="s">
        <v>811</v>
      </c>
      <c r="B21" s="2803" t="s">
        <v>2894</v>
      </c>
      <c r="C21" s="937">
        <f>IF(B21="容积率修正",IF(G3&lt;=10,D22,J22),C23)</f>
        <v>0</v>
      </c>
      <c r="D21" s="2804"/>
      <c r="E21" s="2804"/>
      <c r="F21" s="2804"/>
      <c r="G21" s="2804"/>
      <c r="H21" s="2804"/>
      <c r="I21" s="2804"/>
      <c r="J21" s="2805"/>
      <c r="K21" s="1377"/>
      <c r="N21" s="2806" t="s">
        <v>2895</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4">
      <c r="A22" s="2663" t="s">
        <v>2896</v>
      </c>
      <c r="B22" s="2807" t="s">
        <v>2897</v>
      </c>
      <c r="C22" s="1809" t="s">
        <v>2898</v>
      </c>
      <c r="D22" s="1809">
        <f>IF(E22=G22,F22,IF(G3&lt;=10,ROUND(F22+(H22-F22)*(G3-E22)/(G22-E22),4),"——"))</f>
        <v>0</v>
      </c>
      <c r="E22" s="916">
        <f>ROUNDDOWN(G3,1)</f>
        <v>1.9</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6" t="s">
        <v>2899</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9.4" thickBot="1">
      <c r="A23" s="2663" t="s">
        <v>2900</v>
      </c>
      <c r="B23" s="2808" t="s">
        <v>2901</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2902</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 thickBot="1">
      <c r="A24" s="2795" t="s">
        <v>812</v>
      </c>
      <c r="B24" s="2784" t="s">
        <v>2903</v>
      </c>
      <c r="C24" s="924">
        <f>SUMIF(A45:A88,E2,B45:B88)</f>
        <v>0</v>
      </c>
      <c r="D24" s="2785"/>
      <c r="E24" s="2814"/>
      <c r="F24" s="2814"/>
      <c r="G24" s="2814"/>
      <c r="H24" s="2814"/>
      <c r="I24" s="2814"/>
      <c r="J24" s="2815"/>
      <c r="K24" s="1377"/>
      <c r="N24" s="2816" t="s">
        <v>2904</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 thickBot="1">
      <c r="A25" s="2795" t="s">
        <v>813</v>
      </c>
      <c r="B25" s="2817" t="s">
        <v>2905</v>
      </c>
      <c r="C25" s="930"/>
      <c r="D25" s="2747"/>
      <c r="E25" s="2747"/>
      <c r="F25" s="2818"/>
      <c r="G25" s="2747"/>
      <c r="H25" s="2747"/>
      <c r="I25" s="2747"/>
      <c r="J25" s="2748"/>
      <c r="K25" s="1370"/>
      <c r="N25" s="2819" t="s">
        <v>2906</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4.4">
      <c r="A26" s="2820"/>
      <c r="B26" s="2807" t="s">
        <v>2907</v>
      </c>
      <c r="C26" s="206" t="e">
        <f>E29+SUM(E33:E39)</f>
        <v>#DIV/0!</v>
      </c>
      <c r="D26" s="2821"/>
      <c r="E26" s="2772"/>
      <c r="F26" s="2822"/>
      <c r="G26" s="2772"/>
      <c r="H26" s="2772"/>
      <c r="I26" s="2772"/>
      <c r="J26" s="2823"/>
      <c r="K26" s="1370"/>
      <c r="L26" s="2776" t="s">
        <v>2805</v>
      </c>
      <c r="M26" s="920" t="s">
        <v>2870</v>
      </c>
      <c r="N26" s="920" t="s">
        <v>2871</v>
      </c>
      <c r="O26" s="920" t="s">
        <v>2872</v>
      </c>
      <c r="P26" s="2777" t="s">
        <v>2873</v>
      </c>
      <c r="R26" s="1376"/>
      <c r="S26" s="1376"/>
      <c r="T26" s="1371"/>
      <c r="U26" s="1371"/>
      <c r="V26" s="1371"/>
      <c r="W26" s="1370"/>
      <c r="X26" s="1370"/>
      <c r="Y26" s="1370"/>
      <c r="Z26" s="1377"/>
      <c r="AA26" s="1378"/>
      <c r="AB26" s="1378"/>
      <c r="AC26" s="1378"/>
      <c r="AD26" s="1378"/>
    </row>
    <row r="27" spans="1:37" ht="15" thickBot="1">
      <c r="A27" s="2820"/>
      <c r="B27" s="2824" t="s">
        <v>2908</v>
      </c>
      <c r="C27" s="931" t="e">
        <f>E30+SUM(I33:I39)</f>
        <v>#DIV/0!</v>
      </c>
      <c r="D27" s="2825"/>
      <c r="E27" s="2826"/>
      <c r="F27" s="2827"/>
      <c r="G27" s="2826"/>
      <c r="H27" s="2826"/>
      <c r="I27" s="2826"/>
      <c r="J27" s="2828"/>
      <c r="K27" s="1370"/>
      <c r="L27" s="2780"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9"/>
      <c r="B28" s="2830" t="s">
        <v>2909</v>
      </c>
      <c r="C28" s="2831" t="s">
        <v>2910</v>
      </c>
      <c r="D28" s="2831" t="s">
        <v>2911</v>
      </c>
      <c r="E28" s="2832" t="s">
        <v>2912</v>
      </c>
      <c r="F28" s="2833"/>
      <c r="G28" s="2760"/>
      <c r="H28" s="2760"/>
      <c r="I28" s="2760"/>
      <c r="J28" s="2761"/>
      <c r="K28" s="1370"/>
      <c r="L28" s="2781"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2913</v>
      </c>
      <c r="C29" s="206" t="e">
        <f>ROUND(C5*C18*C19*C20*C21*C24,0)</f>
        <v>#DIV/0!</v>
      </c>
      <c r="D29" s="2836"/>
      <c r="E29" s="942" t="e">
        <f>ROUND(C29*D29/10000,0)</f>
        <v>#DIV/0!</v>
      </c>
      <c r="F29" s="2837" t="s">
        <v>2914</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8" thickBot="1">
      <c r="A30" s="2840"/>
      <c r="B30" s="2841" t="s">
        <v>2915</v>
      </c>
      <c r="C30" s="229" t="e">
        <f>ROUND(IF(E2="工业",C29*M39,C29*M38),0)</f>
        <v>#DIV/0!</v>
      </c>
      <c r="D30" s="2842"/>
      <c r="E30" s="942" t="e">
        <f>ROUND(C30*D30/10000,0)</f>
        <v>#DIV/0!</v>
      </c>
      <c r="F30" s="2843" t="s">
        <v>2916</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3.8">
      <c r="A31" s="2846"/>
      <c r="B31" s="2847" t="s">
        <v>2917</v>
      </c>
      <c r="C31" s="2848" t="s">
        <v>2918</v>
      </c>
      <c r="D31" s="2760"/>
      <c r="E31" s="2848"/>
      <c r="F31" s="2848"/>
      <c r="G31" s="2758" t="s">
        <v>2919</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36">
      <c r="A32" s="2834"/>
      <c r="B32" s="2850"/>
      <c r="C32" s="501" t="s">
        <v>2910</v>
      </c>
      <c r="D32" s="498" t="s">
        <v>2911</v>
      </c>
      <c r="E32" s="498" t="s">
        <v>2912</v>
      </c>
      <c r="F32" s="388" t="s">
        <v>2920</v>
      </c>
      <c r="G32" s="2851" t="s">
        <v>2910</v>
      </c>
      <c r="H32" s="2851" t="s">
        <v>2911</v>
      </c>
      <c r="I32" s="2851"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86" t="s">
        <v>2921</v>
      </c>
      <c r="B33" s="2852" t="s">
        <v>2922</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87"/>
      <c r="B34" s="2764" t="s">
        <v>2923</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7"/>
      <c r="B35" s="2764" t="s">
        <v>2924</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8" thickBot="1">
      <c r="A36" s="3288"/>
      <c r="B36" s="2764" t="s">
        <v>2925</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2926</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2927</v>
      </c>
      <c r="M37" s="2856"/>
      <c r="N37" s="1370"/>
      <c r="O37" s="1370"/>
      <c r="P37" s="1370"/>
      <c r="Q37" s="1370"/>
      <c r="R37" s="1370"/>
      <c r="S37" s="1370"/>
      <c r="T37" s="1370"/>
      <c r="U37" s="1370"/>
      <c r="V37" s="1370"/>
      <c r="W37" s="1370"/>
      <c r="X37" s="1370"/>
      <c r="Y37" s="1370"/>
      <c r="Z37" s="1371"/>
    </row>
    <row r="38" spans="1:37">
      <c r="A38" s="2854"/>
      <c r="B38" s="2764" t="s">
        <v>2928</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6" t="s">
        <v>2929</v>
      </c>
      <c r="M38" s="2857">
        <v>0.25</v>
      </c>
      <c r="N38" s="1370"/>
      <c r="O38" s="1370"/>
      <c r="P38" s="1370"/>
      <c r="Q38" s="1370"/>
      <c r="R38" s="1370"/>
      <c r="S38" s="1370"/>
      <c r="T38" s="1370"/>
      <c r="U38" s="1370"/>
      <c r="V38" s="1370"/>
      <c r="W38" s="1370"/>
      <c r="X38" s="1370"/>
      <c r="Y38" s="1370"/>
      <c r="Z38" s="1371"/>
    </row>
    <row r="39" spans="1:37" ht="13.8" thickBot="1">
      <c r="A39" s="2840"/>
      <c r="B39" s="2858" t="s">
        <v>2930</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2873</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9" t="s">
        <v>3041</v>
      </c>
      <c r="C41" s="388" t="e">
        <f>ROUND(POWER(1+E41,H41-G41)*(POWER(1+E41,G41)-1)/(POWER(1+E41,H41)-1),4)</f>
        <v>#DIV/0!</v>
      </c>
      <c r="D41" s="200" t="s">
        <v>2880</v>
      </c>
      <c r="E41" s="2928">
        <f>G20</f>
        <v>0</v>
      </c>
      <c r="F41" s="200" t="s">
        <v>2889</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 thickBot="1">
      <c r="A45" s="2863" t="s">
        <v>2931</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4.4">
      <c r="A46" s="2865" t="s">
        <v>2932</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5.2">
      <c r="A47" s="2869" t="s">
        <v>2933</v>
      </c>
      <c r="B47" s="1808" t="s">
        <v>2934</v>
      </c>
      <c r="C47" s="1808" t="s">
        <v>2935</v>
      </c>
      <c r="D47" s="1808" t="s">
        <v>2936</v>
      </c>
      <c r="E47" s="819" t="s">
        <v>2937</v>
      </c>
      <c r="F47" s="2870" t="s">
        <v>2938</v>
      </c>
      <c r="G47" s="1808" t="s">
        <v>754</v>
      </c>
      <c r="H47" s="2871" t="s">
        <v>2939</v>
      </c>
      <c r="I47" s="1808" t="s">
        <v>2940</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52.8">
      <c r="A48" s="2869" t="s">
        <v>2941</v>
      </c>
      <c r="B48" s="2872" t="str">
        <f>估价对象房地状况!C4</f>
        <v>估价对象位于XX商圈，周边商业氛围成熟，人流量大，商业繁华度较好</v>
      </c>
      <c r="C48" s="2769"/>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9" t="s">
        <v>2942</v>
      </c>
      <c r="B49" s="2873" t="str">
        <f>估价对象房地状况!C18</f>
        <v>估价对象周边道路状况、公共交通通达情况、停车便捷程度，综合评价交通便捷度较好</v>
      </c>
      <c r="C49" s="2769"/>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2943</v>
      </c>
      <c r="B50" s="2873">
        <f>估价对象房地状况!C19</f>
        <v>0</v>
      </c>
      <c r="C50" s="2769"/>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9" t="s">
        <v>2944</v>
      </c>
      <c r="B51" s="2874" t="s">
        <v>2945</v>
      </c>
      <c r="C51" s="2769"/>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2946</v>
      </c>
      <c r="B52" s="2873">
        <f>估价对象房地状况!C24</f>
        <v>0</v>
      </c>
      <c r="C52" s="2769"/>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9" t="s">
        <v>2947</v>
      </c>
      <c r="B53" s="2875" t="s">
        <v>2948</v>
      </c>
      <c r="C53" s="2769"/>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39.6">
      <c r="A54" s="2876" t="s">
        <v>2949</v>
      </c>
      <c r="B54" s="1724" t="str">
        <f>估价对象房地状况!C21</f>
        <v>估价对象所在区域公共配套设施齐备情况较好</v>
      </c>
      <c r="C54" s="2769"/>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2950</v>
      </c>
      <c r="B55" s="2873" t="str">
        <f>估价对象房地状况!C22</f>
        <v>六通</v>
      </c>
      <c r="C55" s="2769"/>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77" t="s">
        <v>2951</v>
      </c>
      <c r="B56" s="2878" t="str">
        <f>估价对象房地状况!C20</f>
        <v>较好</v>
      </c>
      <c r="C56" s="2769"/>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5" t="s">
        <v>2952</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9" t="s">
        <v>2933</v>
      </c>
      <c r="B58" s="1808"/>
      <c r="C58" s="1808" t="s">
        <v>2935</v>
      </c>
      <c r="D58" s="1808" t="s">
        <v>2936</v>
      </c>
      <c r="E58" s="819" t="s">
        <v>2937</v>
      </c>
      <c r="F58" s="2870" t="s">
        <v>2953</v>
      </c>
      <c r="G58" s="1808" t="s">
        <v>754</v>
      </c>
      <c r="H58" s="2871" t="s">
        <v>2939</v>
      </c>
      <c r="I58" s="1808" t="s">
        <v>2940</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24">
      <c r="A59" s="2869" t="s">
        <v>2954</v>
      </c>
      <c r="B59" s="2872">
        <f>估价对象房地状况!C17</f>
        <v>0</v>
      </c>
      <c r="C59" s="2769"/>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9" t="s">
        <v>2942</v>
      </c>
      <c r="B60" s="2873" t="str">
        <f>估价对象房地状况!C18</f>
        <v>估价对象周边道路状况、公共交通通达情况、停车便捷程度，综合评价交通便捷度较好</v>
      </c>
      <c r="C60" s="2769"/>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2943</v>
      </c>
      <c r="B61" s="2873">
        <f>估价对象房地状况!C19</f>
        <v>0</v>
      </c>
      <c r="C61" s="2769"/>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9" t="s">
        <v>2944</v>
      </c>
      <c r="B62" s="2874" t="s">
        <v>2945</v>
      </c>
      <c r="C62" s="2769"/>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2946</v>
      </c>
      <c r="B63" s="2873">
        <f>估价对象房地状况!C24</f>
        <v>0</v>
      </c>
      <c r="C63" s="2769"/>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9" t="s">
        <v>2947</v>
      </c>
      <c r="B64" s="2875" t="s">
        <v>2948</v>
      </c>
      <c r="C64" s="2769"/>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39.6">
      <c r="A65" s="2869" t="s">
        <v>2949</v>
      </c>
      <c r="B65" s="1724" t="str">
        <f>估价对象房地状况!C21</f>
        <v>估价对象所在区域公共配套设施齐备情况较好</v>
      </c>
      <c r="C65" s="2769"/>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2950</v>
      </c>
      <c r="B66" s="1724" t="str">
        <f>估价对象房地状况!C22</f>
        <v>六通</v>
      </c>
      <c r="C66" s="2769"/>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77" t="s">
        <v>2951</v>
      </c>
      <c r="B67" s="2879" t="str">
        <f>估价对象房地状况!C20</f>
        <v>较好</v>
      </c>
      <c r="C67" s="2769"/>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5" t="s">
        <v>2955</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9" t="s">
        <v>2933</v>
      </c>
      <c r="B69" s="1808"/>
      <c r="C69" s="1808" t="s">
        <v>2935</v>
      </c>
      <c r="D69" s="1808" t="s">
        <v>2936</v>
      </c>
      <c r="E69" s="819" t="s">
        <v>2937</v>
      </c>
      <c r="F69" s="2870" t="s">
        <v>2953</v>
      </c>
      <c r="G69" s="1808" t="s">
        <v>754</v>
      </c>
      <c r="H69" s="2871" t="s">
        <v>2939</v>
      </c>
      <c r="I69" s="1808" t="s">
        <v>2940</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66">
      <c r="A70" s="2869" t="s">
        <v>2956</v>
      </c>
      <c r="B70" s="2872" t="str">
        <f>估价对象房地状况!C15</f>
        <v>估价对象周边居住用地比例、居住小区规模和社区发展完善程度，综合评价居住社区成熟度较好</v>
      </c>
      <c r="C70" s="2769"/>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9" t="s">
        <v>2942</v>
      </c>
      <c r="B71" s="2873" t="str">
        <f>估价对象房地状况!C18</f>
        <v>估价对象周边道路状况、公共交通通达情况、停车便捷程度，综合评价交通便捷度较好</v>
      </c>
      <c r="C71" s="2769"/>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2943</v>
      </c>
      <c r="B72" s="2873">
        <f>估价对象房地状况!C19</f>
        <v>0</v>
      </c>
      <c r="C72" s="2769"/>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9" t="s">
        <v>2957</v>
      </c>
      <c r="B73" s="2873">
        <f>估价对象房地状况!C24</f>
        <v>0</v>
      </c>
      <c r="C73" s="2769"/>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39.6">
      <c r="A74" s="2869" t="s">
        <v>2949</v>
      </c>
      <c r="B74" s="1724" t="str">
        <f>估价对象房地状况!C21</f>
        <v>估价对象所在区域公共配套设施齐备情况较好</v>
      </c>
      <c r="C74" s="2769"/>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2950</v>
      </c>
      <c r="B75" s="1724" t="str">
        <f>估价对象房地状况!C22</f>
        <v>六通</v>
      </c>
      <c r="C75" s="2769"/>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36">
      <c r="A76" s="2869" t="s">
        <v>2947</v>
      </c>
      <c r="B76" s="2875" t="s">
        <v>2948</v>
      </c>
      <c r="C76" s="2769"/>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6">
      <c r="A77" s="2869" t="s">
        <v>2951</v>
      </c>
      <c r="B77" s="2872" t="str">
        <f>估价对象房地状况!C20</f>
        <v>较好</v>
      </c>
      <c r="C77" s="2769"/>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36.6" thickBot="1">
      <c r="A78" s="2877" t="s">
        <v>2958</v>
      </c>
      <c r="B78" s="2881"/>
      <c r="C78" s="2769"/>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4.4">
      <c r="A79" s="2865" t="s">
        <v>2959</v>
      </c>
      <c r="B79" s="2866">
        <f>1+E81</f>
        <v>1</v>
      </c>
      <c r="C79" s="814"/>
      <c r="D79" s="814"/>
      <c r="E79" s="815"/>
      <c r="F79" s="2868"/>
      <c r="G79" s="6"/>
      <c r="H79" s="6"/>
      <c r="I79" s="6"/>
      <c r="J79" s="7"/>
      <c r="K79" s="7"/>
      <c r="L79" s="7"/>
      <c r="M79" s="7"/>
      <c r="N79" s="7"/>
      <c r="Z79" s="2719"/>
      <c r="AA79" s="2787"/>
      <c r="AG79" s="1372"/>
      <c r="AK79" s="2787"/>
    </row>
    <row r="80" spans="1:37" ht="25.2">
      <c r="A80" s="2869" t="s">
        <v>2933</v>
      </c>
      <c r="B80" s="1808"/>
      <c r="C80" s="1808" t="s">
        <v>2935</v>
      </c>
      <c r="D80" s="1808" t="s">
        <v>2936</v>
      </c>
      <c r="E80" s="819" t="s">
        <v>2937</v>
      </c>
      <c r="F80" s="2870" t="s">
        <v>2953</v>
      </c>
      <c r="G80" s="1808" t="s">
        <v>754</v>
      </c>
      <c r="H80" s="2871" t="s">
        <v>2939</v>
      </c>
      <c r="I80" s="1808" t="s">
        <v>2940</v>
      </c>
      <c r="J80" s="603" t="s">
        <v>2588</v>
      </c>
      <c r="K80" s="603" t="s">
        <v>2589</v>
      </c>
      <c r="L80" s="603" t="s">
        <v>2590</v>
      </c>
      <c r="M80" s="603" t="s">
        <v>2591</v>
      </c>
      <c r="N80" s="603" t="s">
        <v>2592</v>
      </c>
      <c r="Z80" s="2719"/>
      <c r="AA80" s="2787"/>
      <c r="AG80" s="1372"/>
      <c r="AK80" s="2787"/>
    </row>
    <row r="81" spans="1:37" ht="39.6">
      <c r="A81" s="2869" t="s">
        <v>2960</v>
      </c>
      <c r="B81" s="2873" t="str">
        <f>估价对象房地状况!G15</f>
        <v>估价对象位于XX开发区，园区建设成熟度XX，产业集聚程度XX</v>
      </c>
      <c r="C81" s="2769"/>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66">
      <c r="A82" s="2869" t="s">
        <v>2942</v>
      </c>
      <c r="B82" s="2873" t="str">
        <f>估价对象房地状况!G16</f>
        <v>估价对象周边道路状况、公共交通通达情况、停车便捷程度，综合评价交通便捷度较好</v>
      </c>
      <c r="C82" s="2769"/>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2943</v>
      </c>
      <c r="B83" s="2873">
        <f>估价对象房地状况!G17</f>
        <v>0</v>
      </c>
      <c r="C83" s="2769"/>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3.8">
      <c r="A84" s="2869" t="s">
        <v>2957</v>
      </c>
      <c r="B84" s="2873">
        <f>估价对象房地状况!G22</f>
        <v>0</v>
      </c>
      <c r="C84" s="2769"/>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6.4">
      <c r="A85" s="2869" t="s">
        <v>2949</v>
      </c>
      <c r="B85" s="1724" t="str">
        <f>估价对象房地状况!G19</f>
        <v>估价对象所在区域公共配套设施齐备情况</v>
      </c>
      <c r="C85" s="2769"/>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6.4">
      <c r="A86" s="2869" t="s">
        <v>2950</v>
      </c>
      <c r="B86" s="1724" t="str">
        <f>估价对象房地状况!G20</f>
        <v>估价对象所在区域基础设施水平</v>
      </c>
      <c r="C86" s="2769"/>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36">
      <c r="A87" s="2869" t="s">
        <v>2947</v>
      </c>
      <c r="B87" s="2875" t="s">
        <v>2961</v>
      </c>
      <c r="C87" s="2769"/>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53.4" thickBot="1">
      <c r="A88" s="2877" t="s">
        <v>2962</v>
      </c>
      <c r="B88" s="2882" t="str">
        <f>估价对象房地状况!G18</f>
        <v>该园区内是否有污染型企业，绿化情况，卫生条件，整体环境状况判断</v>
      </c>
      <c r="C88" s="2769"/>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80" t="s">
        <v>2963</v>
      </c>
      <c r="B90" s="3280"/>
      <c r="C90" s="3280"/>
      <c r="D90" s="3280"/>
      <c r="E90" s="3280"/>
      <c r="F90" s="3280"/>
      <c r="G90" s="3280"/>
      <c r="H90" s="3280"/>
      <c r="I90" s="3280"/>
      <c r="J90" s="3280"/>
      <c r="K90" s="2883"/>
      <c r="L90" s="2883"/>
      <c r="M90" s="2883"/>
      <c r="N90" s="2883"/>
    </row>
    <row r="91" spans="1:37">
      <c r="A91" s="3282" t="s">
        <v>2964</v>
      </c>
      <c r="B91" s="3282" t="s">
        <v>2965</v>
      </c>
      <c r="C91" s="2837" t="s">
        <v>2966</v>
      </c>
      <c r="D91" s="2838"/>
      <c r="E91" s="2838"/>
      <c r="F91" s="2838"/>
      <c r="G91" s="2838"/>
      <c r="H91" s="2838"/>
      <c r="I91" s="2838"/>
      <c r="J91" s="2884"/>
      <c r="K91" s="2885"/>
      <c r="L91" s="2885"/>
      <c r="M91" s="2885"/>
      <c r="N91" s="2885"/>
    </row>
    <row r="92" spans="1:37">
      <c r="A92" s="3282"/>
      <c r="B92" s="3282"/>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283" t="s">
        <v>2967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4"/>
      <c r="B99" s="2886" t="s">
        <v>2848</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3" t="s">
        <v>2968</v>
      </c>
      <c r="B101" s="2890" t="s">
        <v>2969</v>
      </c>
      <c r="C101" s="2891">
        <f>$G$3</f>
        <v>1.91</v>
      </c>
      <c r="D101" s="2891">
        <f t="shared" ref="D101:N101" si="31">$G$3</f>
        <v>1.91</v>
      </c>
      <c r="E101" s="2891">
        <f t="shared" si="31"/>
        <v>1.91</v>
      </c>
      <c r="F101" s="2891">
        <f t="shared" si="31"/>
        <v>1.91</v>
      </c>
      <c r="G101" s="2891">
        <f t="shared" si="31"/>
        <v>1.91</v>
      </c>
      <c r="H101" s="2891">
        <f t="shared" si="31"/>
        <v>1.91</v>
      </c>
      <c r="I101" s="2891">
        <f t="shared" si="31"/>
        <v>1.91</v>
      </c>
      <c r="J101" s="2891">
        <f t="shared" si="31"/>
        <v>1.91</v>
      </c>
      <c r="K101" s="2891">
        <f t="shared" si="31"/>
        <v>1.91</v>
      </c>
      <c r="L101" s="2891">
        <f t="shared" si="31"/>
        <v>1.91</v>
      </c>
      <c r="M101" s="2891">
        <f t="shared" si="31"/>
        <v>1.91</v>
      </c>
      <c r="N101" s="2891">
        <f t="shared" si="31"/>
        <v>1.91</v>
      </c>
    </row>
    <row r="102" spans="1:14">
      <c r="A102" s="3284"/>
      <c r="B102" s="2886">
        <v>1</v>
      </c>
      <c r="C102" s="2887">
        <f>1.9362/C101</f>
        <v>1.013717277486911</v>
      </c>
      <c r="D102" s="2887">
        <f>1.9362/D101</f>
        <v>1.013717277486911</v>
      </c>
      <c r="E102" s="2887">
        <f>1.8629/E101</f>
        <v>0.97534031413612565</v>
      </c>
      <c r="F102" s="2887">
        <f>1.8629/F101</f>
        <v>0.97534031413612565</v>
      </c>
      <c r="G102" s="2887">
        <f>1.8629/G101</f>
        <v>0.97534031413612565</v>
      </c>
      <c r="H102" s="2887">
        <f>1.8629/H101</f>
        <v>0.97534031413612565</v>
      </c>
      <c r="I102" s="2887">
        <f>1.8629/I101</f>
        <v>0.97534031413612565</v>
      </c>
      <c r="J102" s="2887">
        <f>1.942/J101</f>
        <v>1.0167539267015706</v>
      </c>
      <c r="K102" s="2887">
        <f>1.942/K101</f>
        <v>1.0167539267015706</v>
      </c>
      <c r="L102" s="2887">
        <f>1.942/L101</f>
        <v>1.0167539267015706</v>
      </c>
      <c r="M102" s="2887">
        <f>1.942/M101</f>
        <v>1.0167539267015706</v>
      </c>
      <c r="N102" s="2887">
        <f>1.942/N101</f>
        <v>1.0167539267015706</v>
      </c>
    </row>
    <row r="103" spans="1:14">
      <c r="A103" s="3284"/>
      <c r="B103" s="2886">
        <v>2</v>
      </c>
      <c r="C103" s="2887">
        <f>1.4198/C101</f>
        <v>0.74335078534031418</v>
      </c>
      <c r="D103" s="2887">
        <f>1.4198/D101</f>
        <v>0.74335078534031418</v>
      </c>
      <c r="E103" s="2887">
        <f>1.3372/E101</f>
        <v>0.70010471204188485</v>
      </c>
      <c r="F103" s="2887">
        <f>1.3372/F101</f>
        <v>0.70010471204188485</v>
      </c>
      <c r="G103" s="2887">
        <f>1.3372/G101</f>
        <v>0.70010471204188485</v>
      </c>
      <c r="H103" s="2887">
        <f>1.3372/H101</f>
        <v>0.70010471204188485</v>
      </c>
      <c r="I103" s="2887">
        <f>1.3372/I101</f>
        <v>0.70010471204188485</v>
      </c>
      <c r="J103" s="2887">
        <f>1.2799/J101</f>
        <v>0.67010471204188482</v>
      </c>
      <c r="K103" s="2887">
        <f>1.2799/K101</f>
        <v>0.67010471204188482</v>
      </c>
      <c r="L103" s="2887">
        <f>1.2799/L101</f>
        <v>0.67010471204188482</v>
      </c>
      <c r="M103" s="2887">
        <f>1.2799/M101</f>
        <v>0.67010471204188482</v>
      </c>
      <c r="N103" s="2887">
        <f>1.2799/N101</f>
        <v>0.67010471204188482</v>
      </c>
    </row>
    <row r="104" spans="1:14">
      <c r="A104" s="3284"/>
      <c r="B104" s="2886">
        <v>3</v>
      </c>
      <c r="C104" s="2887">
        <f>1.1594/C101</f>
        <v>0.6070157068062827</v>
      </c>
      <c r="D104" s="2887">
        <f>1.1594/D101</f>
        <v>0.6070157068062827</v>
      </c>
      <c r="E104" s="2887">
        <f>1.0788/E101</f>
        <v>0.56481675392670161</v>
      </c>
      <c r="F104" s="2887">
        <f>1.0788/F101</f>
        <v>0.56481675392670161</v>
      </c>
      <c r="G104" s="2887">
        <f>1.0788/G101</f>
        <v>0.56481675392670161</v>
      </c>
      <c r="H104" s="2887">
        <f>1.0788/H101</f>
        <v>0.56481675392670161</v>
      </c>
      <c r="I104" s="2887">
        <f>1.0788/I101</f>
        <v>0.56481675392670161</v>
      </c>
      <c r="J104" s="2887">
        <f>1.0072/J101</f>
        <v>0.5273298429319373</v>
      </c>
      <c r="K104" s="2887">
        <f>1.0072/K101</f>
        <v>0.5273298429319373</v>
      </c>
      <c r="L104" s="2887">
        <f>1.0072/L101</f>
        <v>0.5273298429319373</v>
      </c>
      <c r="M104" s="2887">
        <f>1.0072/M101</f>
        <v>0.5273298429319373</v>
      </c>
      <c r="N104" s="2887">
        <f>1.0072/N101</f>
        <v>0.5273298429319373</v>
      </c>
    </row>
    <row r="105" spans="1:14">
      <c r="A105" s="3284"/>
      <c r="B105" s="2886">
        <v>4</v>
      </c>
      <c r="C105" s="2887">
        <f>0.9622/C101</f>
        <v>0.50376963350785342</v>
      </c>
      <c r="D105" s="2887">
        <f>0.9622/D101</f>
        <v>0.50376963350785342</v>
      </c>
      <c r="E105" s="2887">
        <f>0.8656/E101</f>
        <v>0.45319371727748697</v>
      </c>
      <c r="F105" s="2887">
        <f>0.8656/F101</f>
        <v>0.45319371727748697</v>
      </c>
      <c r="G105" s="2887">
        <f>0.8656/G101</f>
        <v>0.45319371727748697</v>
      </c>
      <c r="H105" s="2887">
        <f>0.8656/H101</f>
        <v>0.45319371727748697</v>
      </c>
      <c r="I105" s="2887">
        <f>0.8656/I101</f>
        <v>0.45319371727748697</v>
      </c>
      <c r="J105" s="2887">
        <f>0.7525/J101</f>
        <v>0.39397905759162305</v>
      </c>
      <c r="K105" s="2887">
        <f>0.7525/K101</f>
        <v>0.39397905759162305</v>
      </c>
      <c r="L105" s="2887">
        <f>0.7525/L101</f>
        <v>0.39397905759162305</v>
      </c>
      <c r="M105" s="2887">
        <f>0.7525/M101</f>
        <v>0.39397905759162305</v>
      </c>
      <c r="N105" s="2887">
        <f>0.7525/N101</f>
        <v>0.39397905759162305</v>
      </c>
    </row>
    <row r="106" spans="1:14">
      <c r="A106" s="3284"/>
      <c r="B106" s="2886">
        <v>5</v>
      </c>
      <c r="C106" s="2887">
        <f>0.8417/C101</f>
        <v>0.44068062827225135</v>
      </c>
      <c r="D106" s="2887">
        <f>0.8417/D101</f>
        <v>0.44068062827225135</v>
      </c>
      <c r="E106" s="2887">
        <f>0.7371/E101</f>
        <v>0.38591623036649214</v>
      </c>
      <c r="F106" s="2887">
        <f>0.7371/F101</f>
        <v>0.38591623036649214</v>
      </c>
      <c r="G106" s="2887">
        <f>0.7371/G101</f>
        <v>0.38591623036649214</v>
      </c>
      <c r="H106" s="2887">
        <f>0.7371/H101</f>
        <v>0.38591623036649214</v>
      </c>
      <c r="I106" s="2887">
        <f>0.7371/I101</f>
        <v>0.38591623036649214</v>
      </c>
      <c r="J106" s="2887">
        <f>0.5659/J101</f>
        <v>0.29628272251308901</v>
      </c>
      <c r="K106" s="2887">
        <f>0.5659/K101</f>
        <v>0.29628272251308901</v>
      </c>
      <c r="L106" s="2887">
        <f>0.5659/L101</f>
        <v>0.29628272251308901</v>
      </c>
      <c r="M106" s="2887">
        <f>0.5659/M101</f>
        <v>0.29628272251308901</v>
      </c>
      <c r="N106" s="2887">
        <f>0.5659/N101</f>
        <v>0.29628272251308901</v>
      </c>
    </row>
    <row r="107" spans="1:14">
      <c r="A107" s="3284"/>
      <c r="B107" s="2886">
        <v>6</v>
      </c>
      <c r="C107" s="2887">
        <f>0.7608/C101</f>
        <v>0.39832460732984298</v>
      </c>
      <c r="D107" s="2887">
        <f>0.7608/D101</f>
        <v>0.39832460732984298</v>
      </c>
      <c r="E107" s="2887">
        <f>0.6482/E101</f>
        <v>0.33937172774869112</v>
      </c>
      <c r="F107" s="2887">
        <f>0.6482/F101</f>
        <v>0.33937172774869112</v>
      </c>
      <c r="G107" s="2887">
        <f>0.6482/G101</f>
        <v>0.33937172774869112</v>
      </c>
      <c r="H107" s="2887">
        <f>0.6482/H101</f>
        <v>0.33937172774869112</v>
      </c>
      <c r="I107" s="2887">
        <f>0.6482/I101</f>
        <v>0.33937172774869112</v>
      </c>
      <c r="J107" s="2887">
        <f>0.4525/J101</f>
        <v>0.23691099476439792</v>
      </c>
      <c r="K107" s="2887">
        <f>0.4525/K101</f>
        <v>0.23691099476439792</v>
      </c>
      <c r="L107" s="2887">
        <f>0.4525/L101</f>
        <v>0.23691099476439792</v>
      </c>
      <c r="M107" s="2887">
        <f>0.4525/M101</f>
        <v>0.23691099476439792</v>
      </c>
      <c r="N107" s="2887">
        <f>0.4525/N101</f>
        <v>0.23691099476439792</v>
      </c>
    </row>
    <row r="108" spans="1:14">
      <c r="A108" s="3284"/>
      <c r="B108" s="3106" t="s">
        <v>2970</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5"/>
      <c r="B109" s="3107"/>
      <c r="C109" s="2889">
        <f>(-0.163*(C108^2)-0.59*C108+7617)*(10^(-4))/C101</f>
        <v>0.39879581151832466</v>
      </c>
      <c r="D109" s="2889">
        <f>(-0.163*(D108^2)-0.59*D108+7617)*(10^(-4))/D101</f>
        <v>0.39879581151832466</v>
      </c>
      <c r="E109" s="2889">
        <f>(-0.161*(E108^2)-7.509*E108+6533)*(10^(-4))/E101</f>
        <v>0.34204188481675396</v>
      </c>
      <c r="F109" s="2889">
        <f>(-0.161*(F108^2)-7.509*F108+6533)*(10^(-4))/F101</f>
        <v>0.34204188481675396</v>
      </c>
      <c r="G109" s="2889">
        <f>(-0.161*(G108^2)-7.509*G108+6533)*(10^(-4))/G101</f>
        <v>0.34204188481675396</v>
      </c>
      <c r="H109" s="2889">
        <f>(-0.161*(H108^2)-7.509*H108+6533)*(10^(-4))/H101</f>
        <v>0.34204188481675396</v>
      </c>
      <c r="I109" s="2889">
        <f>(-0.161*(I108^2)-7.509*I108+6533)*(10^(-4))/I101</f>
        <v>0.34204188481675396</v>
      </c>
      <c r="J109" s="2889">
        <f>(-0.214*(J108^2)-21.991*J108+4665)*(10^(-4))/J101</f>
        <v>0.24424083769633509</v>
      </c>
      <c r="K109" s="2889">
        <f>(-0.214*(K108^2)-21.991*K108+4665)*(10^(-4))/K101</f>
        <v>0.24424083769633509</v>
      </c>
      <c r="L109" s="2889">
        <f>(-0.214*(L108^2)-21.991*L108+4665)*(10^(-4))/L101</f>
        <v>0.24424083769633509</v>
      </c>
      <c r="M109" s="2889">
        <f>(-0.214*(M108^2)-21.991*M108+4665)*(10^(-4))/M101</f>
        <v>0.24424083769633509</v>
      </c>
      <c r="N109" s="2889">
        <f>(-0.214*(N108^2)-21.991*N108+4665)*(10^(-4))/N101</f>
        <v>0.24424083769633509</v>
      </c>
    </row>
    <row r="110" spans="1:14">
      <c r="A110" s="3281" t="s">
        <v>2971</v>
      </c>
      <c r="B110" s="3281"/>
      <c r="C110" s="3281"/>
      <c r="D110" s="3281"/>
      <c r="E110" s="3281"/>
      <c r="F110" s="3281"/>
      <c r="G110" s="3281"/>
      <c r="H110" s="3281"/>
      <c r="I110" s="3281"/>
      <c r="J110" s="3281"/>
      <c r="K110" s="2892"/>
      <c r="L110" s="2892"/>
      <c r="M110" s="2892"/>
      <c r="N110" s="2892"/>
    </row>
    <row r="112" spans="1:14" ht="13.8" thickBot="1"/>
    <row r="113" spans="1:13" ht="25.8" thickBot="1">
      <c r="A113" s="903" t="s">
        <v>2972</v>
      </c>
      <c r="B113" s="1287">
        <f>G3</f>
        <v>1.91</v>
      </c>
      <c r="C113" s="904" t="s">
        <v>2973</v>
      </c>
      <c r="D113" s="905">
        <f>SUMPRODUCT((A115:A118=F113)*(B114:M114=H113)*B115:M118)</f>
        <v>0</v>
      </c>
      <c r="E113" s="2723" t="s">
        <v>2805</v>
      </c>
      <c r="F113" s="2894">
        <f>E2</f>
        <v>0</v>
      </c>
      <c r="G113" s="2723" t="s">
        <v>2806</v>
      </c>
      <c r="H113" s="2894">
        <f>G2</f>
        <v>0</v>
      </c>
      <c r="I113" s="2723"/>
      <c r="J113" s="2895"/>
      <c r="K113" s="2895"/>
      <c r="L113" s="2895"/>
      <c r="M113" s="2895"/>
    </row>
    <row r="114" spans="1:13">
      <c r="A114" s="908"/>
      <c r="B114" s="2896" t="s">
        <v>2974</v>
      </c>
      <c r="C114" s="2896" t="s">
        <v>2975</v>
      </c>
      <c r="D114" s="2896" t="s">
        <v>2976</v>
      </c>
      <c r="E114" s="2897" t="s">
        <v>2977</v>
      </c>
      <c r="F114" s="2897" t="s">
        <v>2978</v>
      </c>
      <c r="G114" s="2897" t="s">
        <v>2979</v>
      </c>
      <c r="H114" s="2898" t="s">
        <v>2980</v>
      </c>
      <c r="I114" s="2898" t="s">
        <v>2981</v>
      </c>
      <c r="J114" s="2899" t="s">
        <v>2982</v>
      </c>
      <c r="K114" s="2899" t="s">
        <v>2983</v>
      </c>
      <c r="L114" s="2899" t="s">
        <v>2984</v>
      </c>
      <c r="M114" s="2900" t="s">
        <v>2985</v>
      </c>
    </row>
    <row r="115" spans="1:13">
      <c r="A115" s="909" t="s">
        <v>2870</v>
      </c>
      <c r="B115" s="910">
        <f>ROUND(0.9335-0.0094*B113,4)</f>
        <v>0.91549999999999998</v>
      </c>
      <c r="C115" s="910">
        <f>B115</f>
        <v>0.91549999999999998</v>
      </c>
      <c r="D115" s="910">
        <f>ROUND(0.8331-0.0109*B113,4)</f>
        <v>0.81230000000000002</v>
      </c>
      <c r="E115" s="910">
        <f>D115</f>
        <v>0.81230000000000002</v>
      </c>
      <c r="F115" s="910">
        <f>E115</f>
        <v>0.81230000000000002</v>
      </c>
      <c r="G115" s="910">
        <f>F115</f>
        <v>0.81230000000000002</v>
      </c>
      <c r="H115" s="910">
        <f>G115</f>
        <v>0.81230000000000002</v>
      </c>
      <c r="I115" s="910">
        <f>ROUND(0.689-0.0155*B113,4)</f>
        <v>0.65939999999999999</v>
      </c>
      <c r="J115" s="910">
        <f t="shared" ref="J115:M118" si="33">I115</f>
        <v>0.65939999999999999</v>
      </c>
      <c r="K115" s="910">
        <f t="shared" si="33"/>
        <v>0.65939999999999999</v>
      </c>
      <c r="L115" s="910">
        <f t="shared" si="33"/>
        <v>0.65939999999999999</v>
      </c>
      <c r="M115" s="911">
        <f t="shared" si="33"/>
        <v>0.65939999999999999</v>
      </c>
    </row>
    <row r="116" spans="1:13">
      <c r="A116" s="909" t="s">
        <v>2871</v>
      </c>
      <c r="B116" s="910">
        <f>ROUND(0.949-0.012*B113,4)</f>
        <v>0.92610000000000003</v>
      </c>
      <c r="C116" s="910">
        <f>B116</f>
        <v>0.92610000000000003</v>
      </c>
      <c r="D116" s="910">
        <f>ROUND(0.8567-0.013*B113,4)</f>
        <v>0.83189999999999997</v>
      </c>
      <c r="E116" s="910">
        <f t="shared" ref="E116:H117" si="34">D116</f>
        <v>0.83189999999999997</v>
      </c>
      <c r="F116" s="910">
        <f t="shared" si="34"/>
        <v>0.83189999999999997</v>
      </c>
      <c r="G116" s="910">
        <f t="shared" si="34"/>
        <v>0.83189999999999997</v>
      </c>
      <c r="H116" s="910">
        <f t="shared" si="34"/>
        <v>0.83189999999999997</v>
      </c>
      <c r="I116" s="910">
        <f>ROUND(0.7694-0.014*B113,4)</f>
        <v>0.74270000000000003</v>
      </c>
      <c r="J116" s="910">
        <f t="shared" si="33"/>
        <v>0.74270000000000003</v>
      </c>
      <c r="K116" s="910">
        <f t="shared" si="33"/>
        <v>0.74270000000000003</v>
      </c>
      <c r="L116" s="910">
        <f t="shared" si="33"/>
        <v>0.74270000000000003</v>
      </c>
      <c r="M116" s="911">
        <f t="shared" si="33"/>
        <v>0.74270000000000003</v>
      </c>
    </row>
    <row r="117" spans="1:13">
      <c r="A117" s="909" t="s">
        <v>2872</v>
      </c>
      <c r="B117" s="910">
        <f>ROUND(0.8808-0.006*B113,4)</f>
        <v>0.86929999999999996</v>
      </c>
      <c r="C117" s="910">
        <f>B117</f>
        <v>0.86929999999999996</v>
      </c>
      <c r="D117" s="910">
        <f>ROUND(0.8748-0.008*B113,4)</f>
        <v>0.85950000000000004</v>
      </c>
      <c r="E117" s="910">
        <f t="shared" si="34"/>
        <v>0.85950000000000004</v>
      </c>
      <c r="F117" s="910">
        <f t="shared" si="34"/>
        <v>0.85950000000000004</v>
      </c>
      <c r="G117" s="910">
        <f t="shared" si="34"/>
        <v>0.85950000000000004</v>
      </c>
      <c r="H117" s="910">
        <f t="shared" si="34"/>
        <v>0.85950000000000004</v>
      </c>
      <c r="I117" s="910">
        <f>ROUND(0.7412-0.0095*B113,4)</f>
        <v>0.72309999999999997</v>
      </c>
      <c r="J117" s="910">
        <f t="shared" si="33"/>
        <v>0.72309999999999997</v>
      </c>
      <c r="K117" s="910">
        <f t="shared" si="33"/>
        <v>0.72309999999999997</v>
      </c>
      <c r="L117" s="910">
        <f t="shared" si="33"/>
        <v>0.72309999999999997</v>
      </c>
      <c r="M117" s="911">
        <f t="shared" si="33"/>
        <v>0.72309999999999997</v>
      </c>
    </row>
    <row r="118" spans="1:13" ht="13.8" thickBot="1">
      <c r="A118" s="714" t="s">
        <v>2873</v>
      </c>
      <c r="B118" s="912">
        <f>ROUND(0.7275-0.01*B113,4)</f>
        <v>0.70840000000000003</v>
      </c>
      <c r="C118" s="912">
        <f>B118</f>
        <v>0.70840000000000003</v>
      </c>
      <c r="D118" s="912">
        <f>ROUND(0.7043-0.012*B113,4)</f>
        <v>0.68140000000000001</v>
      </c>
      <c r="E118" s="912">
        <f>D118</f>
        <v>0.68140000000000001</v>
      </c>
      <c r="F118" s="912">
        <f>E118</f>
        <v>0.68140000000000001</v>
      </c>
      <c r="G118" s="912">
        <f>ROUND(0.6299-0.0122*B113,4)</f>
        <v>0.60660000000000003</v>
      </c>
      <c r="H118" s="912">
        <f>G118</f>
        <v>0.60660000000000003</v>
      </c>
      <c r="I118" s="912">
        <f>ROUND(0.5667-0.0136*B113,4)</f>
        <v>0.54069999999999996</v>
      </c>
      <c r="J118" s="912">
        <f t="shared" si="33"/>
        <v>0.54069999999999996</v>
      </c>
      <c r="K118" s="912">
        <f t="shared" si="33"/>
        <v>0.54069999999999996</v>
      </c>
      <c r="L118" s="912">
        <f t="shared" si="33"/>
        <v>0.54069999999999996</v>
      </c>
      <c r="M118" s="913">
        <f t="shared" si="33"/>
        <v>0.54069999999999996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1" t="s">
        <v>183</v>
      </c>
      <c r="B18" s="882" t="s">
        <v>560</v>
      </c>
      <c r="C18" s="883" t="s">
        <v>561</v>
      </c>
      <c r="D18" s="884"/>
      <c r="E18" s="882">
        <v>1</v>
      </c>
      <c r="F18" s="885" t="s">
        <v>562</v>
      </c>
      <c r="G18" s="886"/>
      <c r="H18" s="878"/>
      <c r="I18" s="878"/>
    </row>
    <row r="19" spans="1:9" s="887" customFormat="1" ht="19.5" customHeight="1">
      <c r="A19" s="3301"/>
      <c r="B19" s="3301" t="s">
        <v>563</v>
      </c>
      <c r="C19" s="883" t="s">
        <v>564</v>
      </c>
      <c r="D19" s="884"/>
      <c r="E19" s="882">
        <v>0.9</v>
      </c>
      <c r="F19" s="885" t="s">
        <v>565</v>
      </c>
      <c r="G19" s="886"/>
      <c r="H19" s="878"/>
      <c r="I19" s="878"/>
    </row>
    <row r="20" spans="1:9" s="887" customFormat="1" ht="19.5" customHeight="1">
      <c r="A20" s="3301"/>
      <c r="B20" s="3301"/>
      <c r="C20" s="883" t="s">
        <v>566</v>
      </c>
      <c r="D20" s="884"/>
      <c r="E20" s="882">
        <v>1.1000000000000001</v>
      </c>
      <c r="F20" s="885" t="s">
        <v>567</v>
      </c>
      <c r="G20" s="886"/>
      <c r="H20" s="878"/>
      <c r="I20" s="878"/>
    </row>
    <row r="21" spans="1:9" s="887" customFormat="1" ht="19.5" customHeight="1">
      <c r="A21" s="3301"/>
      <c r="B21" s="3301"/>
      <c r="C21" s="883" t="s">
        <v>568</v>
      </c>
      <c r="D21" s="884"/>
      <c r="E21" s="882">
        <v>0.8</v>
      </c>
      <c r="F21" s="885" t="s">
        <v>569</v>
      </c>
      <c r="G21" s="886"/>
      <c r="H21" s="878"/>
      <c r="I21" s="878"/>
    </row>
    <row r="22" spans="1:9" s="887" customFormat="1" ht="19.5" customHeight="1">
      <c r="A22" s="3301"/>
      <c r="B22" s="3301"/>
      <c r="C22" s="883" t="s">
        <v>570</v>
      </c>
      <c r="D22" s="884"/>
      <c r="E22" s="882">
        <v>0.5</v>
      </c>
      <c r="F22" s="885"/>
      <c r="G22" s="886"/>
      <c r="H22" s="878"/>
      <c r="I22" s="878"/>
    </row>
    <row r="23" spans="1:9" s="887" customFormat="1" ht="19.5" customHeight="1">
      <c r="A23" s="3301" t="s">
        <v>184</v>
      </c>
      <c r="B23" s="882" t="s">
        <v>560</v>
      </c>
      <c r="C23" s="883" t="s">
        <v>571</v>
      </c>
      <c r="D23" s="884"/>
      <c r="E23" s="882">
        <v>1</v>
      </c>
      <c r="F23" s="885" t="s">
        <v>572</v>
      </c>
      <c r="G23" s="886"/>
      <c r="H23" s="878"/>
      <c r="I23" s="878"/>
    </row>
    <row r="24" spans="1:9" s="887" customFormat="1" ht="19.5" customHeight="1">
      <c r="A24" s="3301"/>
      <c r="B24" s="3301" t="s">
        <v>563</v>
      </c>
      <c r="C24" s="883" t="s">
        <v>573</v>
      </c>
      <c r="D24" s="884"/>
      <c r="E24" s="882">
        <v>0.5</v>
      </c>
      <c r="F24" s="885"/>
      <c r="G24" s="886"/>
      <c r="H24" s="878"/>
      <c r="I24" s="878"/>
    </row>
    <row r="25" spans="1:9" s="887" customFormat="1" ht="19.5" customHeight="1">
      <c r="A25" s="3301"/>
      <c r="B25" s="3301"/>
      <c r="C25" s="883" t="s">
        <v>574</v>
      </c>
      <c r="D25" s="884"/>
      <c r="E25" s="882">
        <v>1.1000000000000001</v>
      </c>
      <c r="F25" s="885"/>
      <c r="G25" s="886"/>
      <c r="H25" s="878"/>
      <c r="I25" s="878"/>
    </row>
    <row r="26" spans="1:9" s="887" customFormat="1" ht="19.5" customHeight="1">
      <c r="A26" s="3301"/>
      <c r="B26" s="3301"/>
      <c r="C26" s="883" t="s">
        <v>575</v>
      </c>
      <c r="D26" s="884"/>
      <c r="E26" s="882">
        <v>1.1000000000000001</v>
      </c>
      <c r="F26" s="885"/>
      <c r="G26" s="886"/>
      <c r="H26" s="878"/>
      <c r="I26" s="878"/>
    </row>
    <row r="27" spans="1:9" s="887" customFormat="1" ht="19.5" customHeight="1">
      <c r="A27" s="3301"/>
      <c r="B27" s="3301"/>
      <c r="C27" s="883" t="s">
        <v>576</v>
      </c>
      <c r="D27" s="884"/>
      <c r="E27" s="882">
        <v>0.9</v>
      </c>
      <c r="F27" s="885" t="s">
        <v>577</v>
      </c>
      <c r="G27" s="886"/>
      <c r="H27" s="878"/>
      <c r="I27" s="878"/>
    </row>
    <row r="28" spans="1:9" s="887" customFormat="1" ht="19.5" customHeight="1">
      <c r="A28" s="3301"/>
      <c r="B28" s="3301"/>
      <c r="C28" s="883" t="s">
        <v>578</v>
      </c>
      <c r="D28" s="884"/>
      <c r="E28" s="882">
        <v>0.9</v>
      </c>
      <c r="F28" s="885" t="s">
        <v>579</v>
      </c>
      <c r="G28" s="886"/>
      <c r="H28" s="878"/>
      <c r="I28" s="878"/>
    </row>
    <row r="29" spans="1:9" s="887" customFormat="1" ht="19.5" customHeight="1">
      <c r="A29" s="3301"/>
      <c r="B29" s="3301"/>
      <c r="C29" s="883" t="s">
        <v>580</v>
      </c>
      <c r="D29" s="884"/>
      <c r="E29" s="882">
        <v>0.9</v>
      </c>
      <c r="F29" s="885" t="s">
        <v>581</v>
      </c>
      <c r="G29" s="886"/>
      <c r="H29" s="878"/>
      <c r="I29" s="878"/>
    </row>
    <row r="30" spans="1:9" s="887" customFormat="1" ht="19.5" customHeight="1">
      <c r="A30" s="3301"/>
      <c r="B30" s="3301"/>
      <c r="C30" s="883" t="s">
        <v>582</v>
      </c>
      <c r="D30" s="884"/>
      <c r="E30" s="882">
        <v>0.9</v>
      </c>
      <c r="F30" s="885" t="s">
        <v>583</v>
      </c>
      <c r="G30" s="886"/>
      <c r="H30" s="878"/>
      <c r="I30" s="878"/>
    </row>
    <row r="31" spans="1:9" s="887" customFormat="1" ht="19.5" customHeight="1">
      <c r="A31" s="3301"/>
      <c r="B31" s="3301"/>
      <c r="C31" s="883" t="s">
        <v>584</v>
      </c>
      <c r="D31" s="884"/>
      <c r="E31" s="882">
        <v>0.8</v>
      </c>
      <c r="F31" s="885" t="s">
        <v>585</v>
      </c>
      <c r="G31" s="886"/>
      <c r="H31" s="878"/>
      <c r="I31" s="878"/>
    </row>
    <row r="32" spans="1:9" s="887" customFormat="1" ht="19.5" customHeight="1">
      <c r="A32" s="3301"/>
      <c r="B32" s="3301"/>
      <c r="C32" s="883" t="s">
        <v>586</v>
      </c>
      <c r="D32" s="884"/>
      <c r="E32" s="882">
        <v>0.8</v>
      </c>
      <c r="F32" s="885" t="s">
        <v>587</v>
      </c>
      <c r="G32" s="886"/>
      <c r="H32" s="878"/>
      <c r="I32" s="878"/>
    </row>
    <row r="33" spans="1:9" s="887" customFormat="1" ht="19.5" customHeight="1">
      <c r="A33" s="3301" t="s">
        <v>185</v>
      </c>
      <c r="B33" s="882" t="s">
        <v>560</v>
      </c>
      <c r="C33" s="883" t="s">
        <v>588</v>
      </c>
      <c r="D33" s="884"/>
      <c r="E33" s="882">
        <v>1</v>
      </c>
      <c r="F33" s="885" t="s">
        <v>589</v>
      </c>
      <c r="G33" s="886"/>
      <c r="H33" s="878"/>
      <c r="I33" s="878"/>
    </row>
    <row r="34" spans="1:9" s="887" customFormat="1" ht="19.5" customHeight="1">
      <c r="A34" s="3301"/>
      <c r="B34" s="882" t="s">
        <v>563</v>
      </c>
      <c r="C34" s="883" t="s">
        <v>590</v>
      </c>
      <c r="D34" s="884"/>
      <c r="E34" s="882">
        <v>1.5</v>
      </c>
      <c r="F34" s="885" t="s">
        <v>591</v>
      </c>
      <c r="G34" s="886"/>
      <c r="H34" s="878"/>
      <c r="I34" s="878"/>
    </row>
    <row r="35" spans="1:9" s="887" customFormat="1" ht="19.5" customHeight="1">
      <c r="A35" s="3301" t="s">
        <v>186</v>
      </c>
      <c r="B35" s="882" t="s">
        <v>560</v>
      </c>
      <c r="C35" s="883" t="s">
        <v>592</v>
      </c>
      <c r="D35" s="884"/>
      <c r="E35" s="882">
        <v>1</v>
      </c>
      <c r="F35" s="885" t="s">
        <v>593</v>
      </c>
      <c r="G35" s="886"/>
      <c r="H35" s="878"/>
      <c r="I35" s="878"/>
    </row>
    <row r="36" spans="1:9" s="887" customFormat="1" ht="19.5" customHeight="1">
      <c r="A36" s="3301"/>
      <c r="B36" s="3301" t="s">
        <v>563</v>
      </c>
      <c r="C36" s="883" t="s">
        <v>594</v>
      </c>
      <c r="D36" s="884"/>
      <c r="E36" s="882">
        <v>1</v>
      </c>
      <c r="F36" s="885" t="s">
        <v>595</v>
      </c>
      <c r="G36" s="886"/>
      <c r="H36" s="878"/>
      <c r="I36" s="878"/>
    </row>
    <row r="37" spans="1:9" s="887" customFormat="1" ht="19.5" customHeight="1">
      <c r="A37" s="3301"/>
      <c r="B37" s="3301"/>
      <c r="C37" s="883" t="s">
        <v>596</v>
      </c>
      <c r="D37" s="884"/>
      <c r="E37" s="882">
        <v>1.5</v>
      </c>
      <c r="F37" s="885" t="s">
        <v>597</v>
      </c>
      <c r="G37" s="886"/>
      <c r="H37" s="878"/>
      <c r="I37" s="878"/>
    </row>
    <row r="38" spans="1:9" s="887" customFormat="1" ht="19.5" customHeight="1">
      <c r="A38" s="3301"/>
      <c r="B38" s="3301"/>
      <c r="C38" s="883" t="s">
        <v>598</v>
      </c>
      <c r="D38" s="884"/>
      <c r="E38" s="882">
        <v>1</v>
      </c>
      <c r="F38" s="885" t="s">
        <v>599</v>
      </c>
      <c r="G38" s="886"/>
      <c r="H38" s="878"/>
      <c r="I38" s="878"/>
    </row>
    <row r="39" spans="1:9" s="887" customFormat="1" ht="19.5" customHeight="1">
      <c r="A39" s="3301"/>
      <c r="B39" s="33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01" t="s">
        <v>614</v>
      </c>
      <c r="C61" s="818" t="s">
        <v>615</v>
      </c>
      <c r="D61" s="818" t="s">
        <v>616</v>
      </c>
      <c r="E61" s="895">
        <v>0.5</v>
      </c>
      <c r="F61" s="882">
        <v>80</v>
      </c>
    </row>
    <row r="62" spans="1:8" s="878" customFormat="1" ht="36">
      <c r="A62" s="882">
        <v>2</v>
      </c>
      <c r="B62" s="3301"/>
      <c r="C62" s="818" t="s">
        <v>617</v>
      </c>
      <c r="D62" s="818" t="s">
        <v>618</v>
      </c>
      <c r="E62" s="895">
        <v>0.5</v>
      </c>
      <c r="F62" s="882">
        <v>80</v>
      </c>
    </row>
    <row r="63" spans="1:8" s="878" customFormat="1" ht="48">
      <c r="A63" s="882">
        <v>3</v>
      </c>
      <c r="B63" s="3301"/>
      <c r="C63" s="818" t="s">
        <v>619</v>
      </c>
      <c r="D63" s="818" t="s">
        <v>620</v>
      </c>
      <c r="E63" s="895">
        <v>0.5</v>
      </c>
      <c r="F63" s="882">
        <v>80</v>
      </c>
    </row>
    <row r="64" spans="1:8" s="878" customFormat="1" ht="48">
      <c r="A64" s="882">
        <v>4</v>
      </c>
      <c r="B64" s="3301"/>
      <c r="C64" s="818" t="s">
        <v>621</v>
      </c>
      <c r="D64" s="818" t="s">
        <v>622</v>
      </c>
      <c r="E64" s="895">
        <v>0.4</v>
      </c>
      <c r="F64" s="882">
        <v>60</v>
      </c>
    </row>
    <row r="65" spans="1:6" s="878" customFormat="1" ht="48">
      <c r="A65" s="882">
        <v>5</v>
      </c>
      <c r="B65" s="3301"/>
      <c r="C65" s="818" t="s">
        <v>623</v>
      </c>
      <c r="D65" s="818" t="s">
        <v>624</v>
      </c>
      <c r="E65" s="895">
        <v>0.2</v>
      </c>
      <c r="F65" s="882">
        <v>30</v>
      </c>
    </row>
    <row r="66" spans="1:6" s="878" customFormat="1" ht="48">
      <c r="A66" s="882">
        <v>6</v>
      </c>
      <c r="B66" s="3301"/>
      <c r="C66" s="818" t="s">
        <v>625</v>
      </c>
      <c r="D66" s="818" t="s">
        <v>626</v>
      </c>
      <c r="E66" s="895">
        <v>0.3</v>
      </c>
      <c r="F66" s="882">
        <v>50</v>
      </c>
    </row>
    <row r="67" spans="1:6" s="878" customFormat="1" ht="48">
      <c r="A67" s="882">
        <v>7</v>
      </c>
      <c r="B67" s="3301"/>
      <c r="C67" s="818" t="s">
        <v>627</v>
      </c>
      <c r="D67" s="818" t="s">
        <v>628</v>
      </c>
      <c r="E67" s="895">
        <v>0.2</v>
      </c>
      <c r="F67" s="882">
        <v>30</v>
      </c>
    </row>
    <row r="68" spans="1:6" s="878" customFormat="1" ht="48">
      <c r="A68" s="882">
        <v>8</v>
      </c>
      <c r="B68" s="3301"/>
      <c r="C68" s="818" t="s">
        <v>629</v>
      </c>
      <c r="D68" s="818" t="s">
        <v>630</v>
      </c>
      <c r="E68" s="895">
        <v>0.2</v>
      </c>
      <c r="F68" s="882">
        <v>30</v>
      </c>
    </row>
    <row r="69" spans="1:6" s="878" customFormat="1" ht="48">
      <c r="A69" s="882">
        <v>9</v>
      </c>
      <c r="B69" s="3301"/>
      <c r="C69" s="818" t="s">
        <v>631</v>
      </c>
      <c r="D69" s="818" t="s">
        <v>632</v>
      </c>
      <c r="E69" s="895">
        <v>0.2</v>
      </c>
      <c r="F69" s="882">
        <v>30</v>
      </c>
    </row>
    <row r="70" spans="1:6" s="878" customFormat="1" ht="60">
      <c r="A70" s="882">
        <v>10</v>
      </c>
      <c r="B70" s="3301"/>
      <c r="C70" s="818" t="s">
        <v>633</v>
      </c>
      <c r="D70" s="818" t="s">
        <v>634</v>
      </c>
      <c r="E70" s="895">
        <v>0.2</v>
      </c>
      <c r="F70" s="882">
        <v>30</v>
      </c>
    </row>
    <row r="71" spans="1:6" s="878" customFormat="1" ht="60">
      <c r="A71" s="882">
        <v>11</v>
      </c>
      <c r="B71" s="3301"/>
      <c r="C71" s="818" t="s">
        <v>635</v>
      </c>
      <c r="D71" s="818" t="s">
        <v>636</v>
      </c>
      <c r="E71" s="895">
        <v>0.2</v>
      </c>
      <c r="F71" s="882">
        <v>30</v>
      </c>
    </row>
    <row r="72" spans="1:6" s="878" customFormat="1" ht="36">
      <c r="A72" s="882">
        <v>12</v>
      </c>
      <c r="B72" s="3301"/>
      <c r="C72" s="818" t="s">
        <v>637</v>
      </c>
      <c r="D72" s="818" t="s">
        <v>638</v>
      </c>
      <c r="E72" s="895">
        <v>0.5</v>
      </c>
      <c r="F72" s="882">
        <v>80</v>
      </c>
    </row>
    <row r="73" spans="1:6" s="878" customFormat="1" ht="36">
      <c r="A73" s="882">
        <v>13</v>
      </c>
      <c r="B73" s="3301"/>
      <c r="C73" s="818" t="s">
        <v>639</v>
      </c>
      <c r="D73" s="818" t="s">
        <v>640</v>
      </c>
      <c r="E73" s="895">
        <v>0.4</v>
      </c>
      <c r="F73" s="882">
        <v>60</v>
      </c>
    </row>
    <row r="74" spans="1:6" s="878" customFormat="1" ht="36">
      <c r="A74" s="882">
        <v>14</v>
      </c>
      <c r="B74" s="3301"/>
      <c r="C74" s="818" t="s">
        <v>641</v>
      </c>
      <c r="D74" s="818" t="s">
        <v>642</v>
      </c>
      <c r="E74" s="895">
        <v>0.2</v>
      </c>
      <c r="F74" s="882">
        <v>30</v>
      </c>
    </row>
    <row r="75" spans="1:6" s="878" customFormat="1" ht="36">
      <c r="A75" s="882">
        <v>15</v>
      </c>
      <c r="B75" s="3301"/>
      <c r="C75" s="818" t="s">
        <v>643</v>
      </c>
      <c r="D75" s="818" t="s">
        <v>644</v>
      </c>
      <c r="E75" s="895">
        <v>0.2</v>
      </c>
      <c r="F75" s="882">
        <v>30</v>
      </c>
    </row>
    <row r="76" spans="1:6" s="878" customFormat="1" ht="36">
      <c r="A76" s="882">
        <v>16</v>
      </c>
      <c r="B76" s="3301" t="s">
        <v>645</v>
      </c>
      <c r="C76" s="818" t="s">
        <v>646</v>
      </c>
      <c r="D76" s="818" t="s">
        <v>647</v>
      </c>
      <c r="E76" s="895">
        <v>0.5</v>
      </c>
      <c r="F76" s="882">
        <v>80</v>
      </c>
    </row>
    <row r="77" spans="1:6" s="878" customFormat="1" ht="36">
      <c r="A77" s="882">
        <v>17</v>
      </c>
      <c r="B77" s="3301"/>
      <c r="C77" s="818" t="s">
        <v>648</v>
      </c>
      <c r="D77" s="818" t="s">
        <v>649</v>
      </c>
      <c r="E77" s="895">
        <v>0.5</v>
      </c>
      <c r="F77" s="882">
        <v>80</v>
      </c>
    </row>
    <row r="78" spans="1:6" s="878" customFormat="1" ht="36">
      <c r="A78" s="882">
        <v>18</v>
      </c>
      <c r="B78" s="3301"/>
      <c r="C78" s="818" t="s">
        <v>650</v>
      </c>
      <c r="D78" s="818" t="s">
        <v>651</v>
      </c>
      <c r="E78" s="895">
        <v>0.2</v>
      </c>
      <c r="F78" s="882">
        <v>30</v>
      </c>
    </row>
    <row r="79" spans="1:6" s="878" customFormat="1" ht="36">
      <c r="A79" s="882">
        <v>19</v>
      </c>
      <c r="B79" s="3301"/>
      <c r="C79" s="818" t="s">
        <v>652</v>
      </c>
      <c r="D79" s="818" t="s">
        <v>653</v>
      </c>
      <c r="E79" s="895">
        <v>0.5</v>
      </c>
      <c r="F79" s="882">
        <v>80</v>
      </c>
    </row>
    <row r="80" spans="1:6" s="878" customFormat="1" ht="36">
      <c r="A80" s="882">
        <v>20</v>
      </c>
      <c r="B80" s="3301"/>
      <c r="C80" s="818" t="s">
        <v>654</v>
      </c>
      <c r="D80" s="818" t="s">
        <v>655</v>
      </c>
      <c r="E80" s="895">
        <v>0.2</v>
      </c>
      <c r="F80" s="882">
        <v>30</v>
      </c>
    </row>
    <row r="81" spans="1:6" s="878" customFormat="1" ht="36">
      <c r="A81" s="882">
        <v>21</v>
      </c>
      <c r="B81" s="3301"/>
      <c r="C81" s="818" t="s">
        <v>656</v>
      </c>
      <c r="D81" s="818" t="s">
        <v>657</v>
      </c>
      <c r="E81" s="895">
        <v>0.2</v>
      </c>
      <c r="F81" s="882">
        <v>30</v>
      </c>
    </row>
    <row r="82" spans="1:6" s="878" customFormat="1" ht="60">
      <c r="A82" s="882">
        <v>22</v>
      </c>
      <c r="B82" s="3301"/>
      <c r="C82" s="818" t="s">
        <v>658</v>
      </c>
      <c r="D82" s="818" t="s">
        <v>659</v>
      </c>
      <c r="E82" s="895">
        <v>0.2</v>
      </c>
      <c r="F82" s="882">
        <v>30</v>
      </c>
    </row>
    <row r="83" spans="1:6" s="878" customFormat="1" ht="60">
      <c r="A83" s="882">
        <v>23</v>
      </c>
      <c r="B83" s="3301"/>
      <c r="C83" s="818" t="s">
        <v>660</v>
      </c>
      <c r="D83" s="818" t="s">
        <v>661</v>
      </c>
      <c r="E83" s="895">
        <v>0.2</v>
      </c>
      <c r="F83" s="882">
        <v>30</v>
      </c>
    </row>
    <row r="84" spans="1:6" s="878" customFormat="1" ht="48">
      <c r="A84" s="882">
        <v>24</v>
      </c>
      <c r="B84" s="3301"/>
      <c r="C84" s="818" t="s">
        <v>662</v>
      </c>
      <c r="D84" s="818" t="s">
        <v>663</v>
      </c>
      <c r="E84" s="895">
        <v>0.2</v>
      </c>
      <c r="F84" s="882">
        <v>30</v>
      </c>
    </row>
    <row r="85" spans="1:6" s="878" customFormat="1" ht="36">
      <c r="A85" s="882">
        <v>25</v>
      </c>
      <c r="B85" s="3301"/>
      <c r="C85" s="818" t="s">
        <v>664</v>
      </c>
      <c r="D85" s="818" t="s">
        <v>665</v>
      </c>
      <c r="E85" s="895">
        <v>0.5</v>
      </c>
      <c r="F85" s="882">
        <v>80</v>
      </c>
    </row>
    <row r="86" spans="1:6" s="878" customFormat="1" ht="36">
      <c r="A86" s="882">
        <v>26</v>
      </c>
      <c r="B86" s="3301"/>
      <c r="C86" s="818" t="s">
        <v>666</v>
      </c>
      <c r="D86" s="818" t="s">
        <v>667</v>
      </c>
      <c r="E86" s="895">
        <v>0.2</v>
      </c>
      <c r="F86" s="882">
        <v>30</v>
      </c>
    </row>
    <row r="87" spans="1:6" s="878" customFormat="1" ht="36">
      <c r="A87" s="882">
        <v>27</v>
      </c>
      <c r="B87" s="3301"/>
      <c r="C87" s="818" t="s">
        <v>668</v>
      </c>
      <c r="D87" s="818" t="s">
        <v>669</v>
      </c>
      <c r="E87" s="895">
        <v>0.2</v>
      </c>
      <c r="F87" s="882">
        <v>30</v>
      </c>
    </row>
    <row r="88" spans="1:6" s="878" customFormat="1" ht="36">
      <c r="A88" s="882">
        <v>28</v>
      </c>
      <c r="B88" s="3301"/>
      <c r="C88" s="818" t="s">
        <v>670</v>
      </c>
      <c r="D88" s="818" t="s">
        <v>671</v>
      </c>
      <c r="E88" s="895">
        <v>0.2</v>
      </c>
      <c r="F88" s="882">
        <v>30</v>
      </c>
    </row>
    <row r="89" spans="1:6" s="878" customFormat="1" ht="36">
      <c r="A89" s="882">
        <v>29</v>
      </c>
      <c r="B89" s="3301"/>
      <c r="C89" s="818" t="s">
        <v>672</v>
      </c>
      <c r="D89" s="818" t="s">
        <v>673</v>
      </c>
      <c r="E89" s="895">
        <v>0.2</v>
      </c>
      <c r="F89" s="882">
        <v>30</v>
      </c>
    </row>
    <row r="90" spans="1:6" s="878" customFormat="1" ht="36">
      <c r="A90" s="882">
        <v>30</v>
      </c>
      <c r="B90" s="3301"/>
      <c r="C90" s="818" t="s">
        <v>674</v>
      </c>
      <c r="D90" s="818" t="s">
        <v>675</v>
      </c>
      <c r="E90" s="895">
        <v>0.2</v>
      </c>
      <c r="F90" s="882">
        <v>30</v>
      </c>
    </row>
    <row r="91" spans="1:6" s="878" customFormat="1" ht="48">
      <c r="A91" s="882">
        <v>31</v>
      </c>
      <c r="B91" s="3301"/>
      <c r="C91" s="818" t="s">
        <v>676</v>
      </c>
      <c r="D91" s="818" t="s">
        <v>677</v>
      </c>
      <c r="E91" s="895">
        <v>0.2</v>
      </c>
      <c r="F91" s="882">
        <v>30</v>
      </c>
    </row>
    <row r="92" spans="1:6" s="878" customFormat="1" ht="36">
      <c r="A92" s="882">
        <v>32</v>
      </c>
      <c r="B92" s="3301" t="s">
        <v>678</v>
      </c>
      <c r="C92" s="882" t="s">
        <v>679</v>
      </c>
      <c r="D92" s="818" t="s">
        <v>680</v>
      </c>
      <c r="E92" s="895">
        <v>0.2</v>
      </c>
      <c r="F92" s="882">
        <v>30</v>
      </c>
    </row>
    <row r="93" spans="1:6" s="878" customFormat="1" ht="36">
      <c r="A93" s="882">
        <v>33</v>
      </c>
      <c r="B93" s="3301"/>
      <c r="C93" s="882" t="s">
        <v>681</v>
      </c>
      <c r="D93" s="818" t="s">
        <v>682</v>
      </c>
      <c r="E93" s="895">
        <v>0.2</v>
      </c>
      <c r="F93" s="882">
        <v>30</v>
      </c>
    </row>
    <row r="94" spans="1:6" s="878" customFormat="1" ht="60">
      <c r="A94" s="882">
        <v>34</v>
      </c>
      <c r="B94" s="3301"/>
      <c r="C94" s="882" t="s">
        <v>683</v>
      </c>
      <c r="D94" s="818" t="s">
        <v>684</v>
      </c>
      <c r="E94" s="895">
        <v>0.2</v>
      </c>
      <c r="F94" s="882">
        <v>30</v>
      </c>
    </row>
    <row r="95" spans="1:6" s="878" customFormat="1" ht="48">
      <c r="A95" s="882">
        <v>35</v>
      </c>
      <c r="B95" s="3301"/>
      <c r="C95" s="882" t="s">
        <v>685</v>
      </c>
      <c r="D95" s="818" t="s">
        <v>686</v>
      </c>
      <c r="E95" s="895">
        <v>0.2</v>
      </c>
      <c r="F95" s="882">
        <v>30</v>
      </c>
    </row>
    <row r="96" spans="1:6" s="878" customFormat="1" ht="72">
      <c r="A96" s="882">
        <v>36</v>
      </c>
      <c r="B96" s="3301"/>
      <c r="C96" s="818" t="s">
        <v>687</v>
      </c>
      <c r="D96" s="818" t="s">
        <v>688</v>
      </c>
      <c r="E96" s="895">
        <v>0.2</v>
      </c>
      <c r="F96" s="882">
        <v>30</v>
      </c>
    </row>
    <row r="97" spans="1:6" s="878" customFormat="1" ht="36">
      <c r="A97" s="882">
        <v>37</v>
      </c>
      <c r="B97" s="3301"/>
      <c r="C97" s="882" t="s">
        <v>689</v>
      </c>
      <c r="D97" s="818" t="s">
        <v>690</v>
      </c>
      <c r="E97" s="895">
        <v>0.2</v>
      </c>
      <c r="F97" s="882">
        <v>30</v>
      </c>
    </row>
    <row r="98" spans="1:6" s="878" customFormat="1" ht="36">
      <c r="A98" s="882">
        <v>38</v>
      </c>
      <c r="B98" s="3301"/>
      <c r="C98" s="882" t="s">
        <v>691</v>
      </c>
      <c r="D98" s="818" t="s">
        <v>692</v>
      </c>
      <c r="E98" s="895">
        <v>0.2</v>
      </c>
      <c r="F98" s="882">
        <v>30</v>
      </c>
    </row>
    <row r="99" spans="1:6" s="878" customFormat="1" ht="36">
      <c r="A99" s="882">
        <v>39</v>
      </c>
      <c r="B99" s="3301" t="s">
        <v>693</v>
      </c>
      <c r="C99" s="882" t="s">
        <v>694</v>
      </c>
      <c r="D99" s="818" t="s">
        <v>695</v>
      </c>
      <c r="E99" s="895">
        <v>0.3</v>
      </c>
      <c r="F99" s="882">
        <v>50</v>
      </c>
    </row>
    <row r="100" spans="1:6" s="878" customFormat="1" ht="36">
      <c r="A100" s="882">
        <v>40</v>
      </c>
      <c r="B100" s="3301"/>
      <c r="C100" s="882" t="s">
        <v>696</v>
      </c>
      <c r="D100" s="818" t="s">
        <v>697</v>
      </c>
      <c r="E100" s="895">
        <v>0.2</v>
      </c>
      <c r="F100" s="882">
        <v>30</v>
      </c>
    </row>
    <row r="101" spans="1:6" s="878" customFormat="1" ht="36">
      <c r="A101" s="882">
        <v>41</v>
      </c>
      <c r="B101" s="330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01" t="s">
        <v>708</v>
      </c>
      <c r="C105" s="882" t="s">
        <v>709</v>
      </c>
      <c r="D105" s="818" t="s">
        <v>710</v>
      </c>
      <c r="E105" s="895">
        <v>0.2</v>
      </c>
      <c r="F105" s="882">
        <v>30</v>
      </c>
    </row>
    <row r="106" spans="1:6" s="878" customFormat="1" ht="48">
      <c r="A106" s="882">
        <v>46</v>
      </c>
      <c r="B106" s="3301"/>
      <c r="C106" s="882" t="s">
        <v>711</v>
      </c>
      <c r="D106" s="818" t="s">
        <v>712</v>
      </c>
      <c r="E106" s="895">
        <v>0.2</v>
      </c>
      <c r="F106" s="882">
        <v>30</v>
      </c>
    </row>
    <row r="107" spans="1:6" s="878" customFormat="1" ht="36">
      <c r="A107" s="882">
        <v>47</v>
      </c>
      <c r="B107" s="3301" t="s">
        <v>713</v>
      </c>
      <c r="C107" s="882" t="s">
        <v>714</v>
      </c>
      <c r="D107" s="818" t="s">
        <v>715</v>
      </c>
      <c r="E107" s="895">
        <v>0.3</v>
      </c>
      <c r="F107" s="882">
        <v>50</v>
      </c>
    </row>
    <row r="108" spans="1:6" s="878" customFormat="1" ht="48">
      <c r="A108" s="882">
        <v>48</v>
      </c>
      <c r="B108" s="33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01" t="s">
        <v>724</v>
      </c>
      <c r="C111" s="882" t="s">
        <v>725</v>
      </c>
      <c r="D111" s="818" t="s">
        <v>726</v>
      </c>
      <c r="E111" s="895">
        <v>0.2</v>
      </c>
      <c r="F111" s="882">
        <v>30</v>
      </c>
    </row>
    <row r="112" spans="1:6" s="878" customFormat="1" ht="36">
      <c r="A112" s="882">
        <v>52</v>
      </c>
      <c r="B112" s="3301"/>
      <c r="C112" s="882" t="s">
        <v>727</v>
      </c>
      <c r="D112" s="818" t="s">
        <v>728</v>
      </c>
      <c r="E112" s="895">
        <v>0.2</v>
      </c>
      <c r="F112" s="882">
        <v>30</v>
      </c>
    </row>
    <row r="113" spans="1:6" s="878" customFormat="1" ht="36">
      <c r="A113" s="882">
        <v>53</v>
      </c>
      <c r="B113" s="330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01" t="s">
        <v>737</v>
      </c>
      <c r="C116" s="882" t="s">
        <v>738</v>
      </c>
      <c r="D116" s="818" t="s">
        <v>739</v>
      </c>
      <c r="E116" s="895">
        <v>0.2</v>
      </c>
      <c r="F116" s="882">
        <v>30</v>
      </c>
    </row>
    <row r="117" spans="1:6" ht="36">
      <c r="A117" s="882">
        <v>57</v>
      </c>
      <c r="B117" s="330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7.399999999999999">
      <c r="A3" s="2992" t="str">
        <f>IF(项目基本情况!B9="房地产市场价值","估价结果一览表（市场价值不需“结果表-1”）","估价结果一览表")</f>
        <v>估价结果一览表</v>
      </c>
      <c r="B3" s="2992"/>
      <c r="C3" s="2992"/>
      <c r="D3" s="2992"/>
      <c r="E3" s="2992"/>
    </row>
    <row r="4" spans="1:5" ht="18" thickBot="1">
      <c r="A4" s="1959"/>
      <c r="B4" s="2990" t="s">
        <v>1625</v>
      </c>
      <c r="C4" s="2990"/>
      <c r="D4" s="2990"/>
      <c r="E4" s="1959"/>
    </row>
    <row r="5" spans="1:5" ht="16.2" thickTop="1">
      <c r="A5" s="1957"/>
      <c r="B5" s="2988" t="s">
        <v>1617</v>
      </c>
      <c r="C5" s="1960" t="s">
        <v>1618</v>
      </c>
      <c r="D5" s="1040">
        <f ca="1">结果表!H101</f>
        <v>208676</v>
      </c>
      <c r="E5" s="1957"/>
    </row>
    <row r="6" spans="1:5" ht="15.6">
      <c r="A6" s="1957"/>
      <c r="B6" s="2988"/>
      <c r="C6" s="1960" t="s">
        <v>1619</v>
      </c>
      <c r="D6" s="1040" t="str">
        <f ca="1">NUMBERSTRING(INT(D5*10000),2)&amp;"元整"</f>
        <v>贰拾亿捌仟陆佰柒拾陆万元整</v>
      </c>
      <c r="E6" s="1957"/>
    </row>
    <row r="7" spans="1:5" ht="15.6">
      <c r="A7" s="1957"/>
      <c r="B7" s="2993"/>
      <c r="C7" s="1961" t="s">
        <v>1620</v>
      </c>
      <c r="D7" s="1041">
        <f ca="1">结果表!H102</f>
        <v>50081</v>
      </c>
      <c r="E7" s="1957"/>
    </row>
    <row r="8" spans="1:5" ht="15.6">
      <c r="A8" s="1957"/>
      <c r="B8" s="2994" t="str">
        <f>结果表!E103</f>
        <v>2.估价师知悉的法定优先受偿款</v>
      </c>
      <c r="C8" s="1962" t="s">
        <v>1621</v>
      </c>
      <c r="D8" s="1041">
        <f>结果表!H103</f>
        <v>0</v>
      </c>
      <c r="E8" s="1957"/>
    </row>
    <row r="9" spans="1:5" ht="15.6">
      <c r="A9" s="1957"/>
      <c r="B9" s="2996"/>
      <c r="C9" s="1960" t="s">
        <v>1619</v>
      </c>
      <c r="D9" s="1040" t="str">
        <f>NUMBERSTRING(INT(D8*10000),2)&amp;"元整"</f>
        <v>零元整</v>
      </c>
      <c r="E9" s="1957"/>
    </row>
    <row r="10" spans="1:5" ht="15.6">
      <c r="A10" s="1957"/>
      <c r="B10" s="1963" t="s">
        <v>1624</v>
      </c>
      <c r="C10" s="1964" t="s">
        <v>1622</v>
      </c>
      <c r="D10" s="1042">
        <f>结果表!H104</f>
        <v>0</v>
      </c>
      <c r="E10" s="1957"/>
    </row>
    <row r="11" spans="1:5" ht="15.6">
      <c r="A11" s="1957"/>
      <c r="B11" s="1963" t="s">
        <v>1626</v>
      </c>
      <c r="C11" s="1964" t="s">
        <v>1627</v>
      </c>
      <c r="D11" s="1042">
        <f>结果表!H105</f>
        <v>0</v>
      </c>
      <c r="E11" s="1957"/>
    </row>
    <row r="12" spans="1:5" ht="15.6">
      <c r="A12" s="1957"/>
      <c r="B12" s="1963" t="s">
        <v>1628</v>
      </c>
      <c r="C12" s="1964" t="s">
        <v>1627</v>
      </c>
      <c r="D12" s="1042">
        <f>结果表!H106</f>
        <v>0</v>
      </c>
      <c r="E12" s="1957"/>
    </row>
    <row r="13" spans="1:5" ht="15.6">
      <c r="A13" s="1957"/>
      <c r="B13" s="2987" t="str">
        <f>结果表!E107</f>
        <v>3.房地产抵押价值</v>
      </c>
      <c r="C13" s="1965" t="s">
        <v>1618</v>
      </c>
      <c r="D13" s="1043">
        <f ca="1">结果表!H107</f>
        <v>208676</v>
      </c>
      <c r="E13" s="1957"/>
    </row>
    <row r="14" spans="1:5" ht="15.6">
      <c r="A14" s="1957"/>
      <c r="B14" s="2988"/>
      <c r="C14" s="1960" t="s">
        <v>1619</v>
      </c>
      <c r="D14" s="1040" t="str">
        <f ca="1">NUMBERSTRING(INT(D13*10000),2)&amp;"元整"</f>
        <v>贰拾亿捌仟陆佰柒拾陆万元整</v>
      </c>
      <c r="E14" s="1957"/>
    </row>
    <row r="15" spans="1:5" ht="15.6">
      <c r="A15" s="1957"/>
      <c r="B15" s="2993"/>
      <c r="C15" s="1961" t="s">
        <v>1629</v>
      </c>
      <c r="D15" s="1052">
        <f ca="1">结果表!H108</f>
        <v>50081</v>
      </c>
      <c r="E15" s="1957"/>
    </row>
    <row r="16" spans="1:5" ht="15.6">
      <c r="A16" s="1957"/>
      <c r="B16" s="2994" t="str">
        <f>结果表!E109</f>
        <v>——</v>
      </c>
      <c r="C16" s="1965" t="s">
        <v>1630</v>
      </c>
      <c r="D16" s="1966" t="str">
        <f>结果表!H109</f>
        <v>——</v>
      </c>
      <c r="E16" s="1957"/>
    </row>
    <row r="17" spans="1:5" ht="15.6">
      <c r="A17" s="1957"/>
      <c r="B17" s="2995"/>
      <c r="C17" s="1960" t="s">
        <v>1631</v>
      </c>
      <c r="D17" s="1040" t="e">
        <f>NUMBERSTRING(INT(D16*10000),2)&amp;"元整"</f>
        <v>#VALUE!</v>
      </c>
      <c r="E17" s="1957"/>
    </row>
    <row r="18" spans="1:5" ht="15.6">
      <c r="A18" s="1957"/>
      <c r="B18" s="2996"/>
      <c r="C18" s="1961" t="s">
        <v>1620</v>
      </c>
      <c r="D18" s="1052" t="str">
        <f>结果表!H110</f>
        <v>——</v>
      </c>
      <c r="E18" s="1957"/>
    </row>
    <row r="19" spans="1:5" ht="15.6">
      <c r="A19" s="1957"/>
      <c r="B19" s="2987" t="str">
        <f>结果表!E111</f>
        <v>——</v>
      </c>
      <c r="C19" s="1965" t="s">
        <v>1618</v>
      </c>
      <c r="D19" s="1041" t="str">
        <f>结果表!H111</f>
        <v>——</v>
      </c>
      <c r="E19" s="1957"/>
    </row>
    <row r="20" spans="1:5" ht="15.6">
      <c r="A20" s="1957"/>
      <c r="B20" s="2988"/>
      <c r="C20" s="1960" t="s">
        <v>1631</v>
      </c>
      <c r="D20" s="1040" t="e">
        <f>NUMBERSTRING(INT(D19*10000),2)&amp;"元整"</f>
        <v>#VALUE!</v>
      </c>
      <c r="E20" s="1957"/>
    </row>
    <row r="21" spans="1:5" ht="16.2" thickBot="1">
      <c r="A21" s="1957"/>
      <c r="B21" s="2989"/>
      <c r="C21" s="1967" t="s">
        <v>1629</v>
      </c>
      <c r="D21" s="1053"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1" t="s">
        <v>2994</v>
      </c>
    </row>
    <row r="2" spans="1:5" ht="15.6">
      <c r="A2" s="2901" t="s">
        <v>2986</v>
      </c>
      <c r="B2" s="2902" t="e">
        <f ca="1">SUMIF(B6:B13,"&lt;&gt;#ref!",B6:B13)</f>
        <v>#DIV/0!</v>
      </c>
      <c r="C2" s="2901" t="s">
        <v>2987</v>
      </c>
      <c r="D2" s="2901" t="s">
        <v>2988</v>
      </c>
      <c r="E2" s="2902">
        <f ca="1">SUMIF(E6:E13,"&lt;&gt;#ref!",E6:E13)</f>
        <v>0</v>
      </c>
    </row>
    <row r="3" spans="1:5" ht="15.6">
      <c r="A3" s="2901" t="s">
        <v>2989</v>
      </c>
      <c r="B3" s="2902" t="e">
        <f ca="1">ROUND(B2*10000/E2,0)</f>
        <v>#DIV/0!</v>
      </c>
      <c r="C3" s="2901" t="s">
        <v>2995</v>
      </c>
      <c r="D3" s="2903"/>
      <c r="E3" s="2903"/>
    </row>
    <row r="4" spans="1:5" ht="15.6">
      <c r="A4" s="2904"/>
      <c r="B4" s="2903"/>
      <c r="C4" s="2903"/>
      <c r="D4" s="2903"/>
      <c r="E4" s="2903"/>
    </row>
    <row r="5" spans="1:5" ht="31.2">
      <c r="A5" s="2905" t="s">
        <v>2990</v>
      </c>
      <c r="B5" s="2901" t="s">
        <v>2991</v>
      </c>
      <c r="C5" s="2902"/>
      <c r="D5" s="2903"/>
      <c r="E5" s="2901" t="s">
        <v>2992</v>
      </c>
    </row>
    <row r="6" spans="1:5" ht="15.6">
      <c r="A6" s="2906" t="s">
        <v>2993</v>
      </c>
      <c r="B6" s="2902" t="e">
        <f ca="1">SUMIF(INDIRECT("'"&amp;A6&amp;"'"&amp;"!A:A"),"总价",INDIRECT("'"&amp;A6&amp;"'"&amp;"!B:B"))</f>
        <v>#DIV/0!</v>
      </c>
      <c r="C6" s="2901" t="s">
        <v>2987</v>
      </c>
      <c r="D6" s="2903"/>
      <c r="E6" s="2575">
        <f ca="1">SUMIF(INDIRECT("'"&amp;A6&amp;"'"&amp;"!C:C"),"建筑面积",INDIRECT("'"&amp;A6&amp;"'"&amp;"!D:D"))</f>
        <v>0</v>
      </c>
    </row>
    <row r="7" spans="1:5" ht="15.6">
      <c r="A7" s="2906"/>
      <c r="B7" s="2902" t="e">
        <f ca="1">SUMIF(INDIRECT("'"&amp;A7&amp;"'"&amp;"!A:A"),"总价",INDIRECT("'"&amp;A7&amp;"'"&amp;"!B:B"))</f>
        <v>#REF!</v>
      </c>
      <c r="C7" s="2901" t="s">
        <v>2987</v>
      </c>
      <c r="D7" s="2903"/>
      <c r="E7" s="2575" t="e">
        <f t="shared" ref="E7:E13" ca="1" si="0">SUMIF(INDIRECT("'"&amp;A7&amp;"'"&amp;"!C:C"),"建筑面积",INDIRECT("'"&amp;A7&amp;"'"&amp;"!D:D"))</f>
        <v>#REF!</v>
      </c>
    </row>
    <row r="8" spans="1:5" ht="15.6">
      <c r="A8" s="2906"/>
      <c r="B8" s="2902" t="e">
        <f t="shared" ref="B8:B13" ca="1" si="1">SUMIF(INDIRECT("'"&amp;A8&amp;"'"&amp;"!A:A"),"总价",INDIRECT("'"&amp;A8&amp;"'"&amp;"!B:B"))</f>
        <v>#REF!</v>
      </c>
      <c r="C8" s="2901" t="s">
        <v>2987</v>
      </c>
      <c r="D8" s="2903"/>
      <c r="E8" s="2575" t="e">
        <f t="shared" ca="1" si="0"/>
        <v>#REF!</v>
      </c>
    </row>
    <row r="9" spans="1:5" ht="15.6">
      <c r="A9" s="2906"/>
      <c r="B9" s="2902" t="e">
        <f t="shared" ca="1" si="1"/>
        <v>#REF!</v>
      </c>
      <c r="C9" s="2901" t="s">
        <v>2987</v>
      </c>
      <c r="D9" s="2903"/>
      <c r="E9" s="2575" t="e">
        <f t="shared" ca="1" si="0"/>
        <v>#REF!</v>
      </c>
    </row>
    <row r="10" spans="1:5" ht="15.6">
      <c r="A10" s="2906"/>
      <c r="B10" s="2902" t="e">
        <f t="shared" ca="1" si="1"/>
        <v>#REF!</v>
      </c>
      <c r="C10" s="2901" t="s">
        <v>2987</v>
      </c>
      <c r="D10" s="2903"/>
      <c r="E10" s="2575" t="e">
        <f t="shared" ca="1" si="0"/>
        <v>#REF!</v>
      </c>
    </row>
    <row r="11" spans="1:5" ht="15.6">
      <c r="A11" s="2906"/>
      <c r="B11" s="2902" t="e">
        <f t="shared" ca="1" si="1"/>
        <v>#REF!</v>
      </c>
      <c r="C11" s="2901" t="s">
        <v>2987</v>
      </c>
      <c r="D11" s="2903"/>
      <c r="E11" s="2575" t="e">
        <f t="shared" ca="1" si="0"/>
        <v>#REF!</v>
      </c>
    </row>
    <row r="12" spans="1:5" ht="15.6">
      <c r="A12" s="2906"/>
      <c r="B12" s="2902" t="e">
        <f t="shared" ca="1" si="1"/>
        <v>#REF!</v>
      </c>
      <c r="C12" s="2901" t="s">
        <v>2987</v>
      </c>
      <c r="D12" s="2903"/>
      <c r="E12" s="2575" t="e">
        <f t="shared" ca="1" si="0"/>
        <v>#REF!</v>
      </c>
    </row>
    <row r="13" spans="1:5" ht="15.6">
      <c r="A13" s="2906"/>
      <c r="B13" s="2902" t="e">
        <f t="shared" ca="1" si="1"/>
        <v>#REF!</v>
      </c>
      <c r="C13" s="2901" t="s">
        <v>2987</v>
      </c>
      <c r="D13" s="2903"/>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07" t="s">
        <v>1146</v>
      </c>
      <c r="C1" s="3307"/>
      <c r="D1" s="3307"/>
      <c r="E1" s="3307"/>
      <c r="F1" s="3307"/>
      <c r="G1" s="3303" t="s">
        <v>1147</v>
      </c>
      <c r="H1" s="3303"/>
      <c r="I1" s="3303"/>
      <c r="J1" s="3303"/>
      <c r="K1" s="3303"/>
      <c r="L1" s="3303"/>
      <c r="N1" s="3303" t="s">
        <v>1148</v>
      </c>
      <c r="O1" s="3303"/>
      <c r="P1" s="3303"/>
      <c r="Q1" s="3303"/>
      <c r="R1" s="1446"/>
      <c r="S1" s="3303" t="s">
        <v>1149</v>
      </c>
      <c r="T1" s="3303"/>
      <c r="U1" s="3303"/>
      <c r="V1" s="3303"/>
      <c r="X1" s="3302" t="s">
        <v>1150</v>
      </c>
      <c r="Y1" s="3303"/>
      <c r="Z1" s="3303"/>
      <c r="AA1" s="3303"/>
      <c r="AB1" s="3303"/>
      <c r="AD1" s="3302" t="s">
        <v>1151</v>
      </c>
      <c r="AE1" s="3303"/>
      <c r="AF1" s="3303"/>
      <c r="AG1" s="3303"/>
      <c r="AH1" s="3303"/>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4">
      <c r="A3" s="2926" t="s">
        <v>3029</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4">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3046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6">
        <v>2019</v>
      </c>
      <c r="H5" s="1729">
        <v>3</v>
      </c>
      <c r="I5" s="2913">
        <v>0</v>
      </c>
      <c r="J5" s="2913">
        <v>0</v>
      </c>
      <c r="K5" s="2913">
        <v>0</v>
      </c>
      <c r="L5" s="2913">
        <v>0</v>
      </c>
      <c r="N5" s="1467">
        <f>I5/100</f>
        <v>0</v>
      </c>
      <c r="O5" s="1467">
        <f t="shared" ref="O5" si="7">J5/100</f>
        <v>0</v>
      </c>
      <c r="P5" s="1467">
        <f t="shared" ref="P5" si="8">K5/100</f>
        <v>0</v>
      </c>
      <c r="Q5" s="1467">
        <f t="shared" ref="Q5" si="9">L5/100</f>
        <v>0</v>
      </c>
      <c r="R5" s="1731"/>
      <c r="S5" s="1732"/>
      <c r="T5" s="1731"/>
      <c r="U5" s="1731"/>
      <c r="V5" s="1731"/>
      <c r="W5" s="2916" t="s">
        <v>3030</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3045</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8" thickBot="1">
      <c r="A7" s="1461" t="s">
        <v>3042</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3047</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305">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 customHeight="1">
      <c r="A9" s="1461" t="s">
        <v>3036</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05"/>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 customHeight="1">
      <c r="A10" s="1461" t="s">
        <v>3035</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05"/>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3028</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12"/>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3025</v>
      </c>
      <c r="B12" s="1469">
        <v>439</v>
      </c>
      <c r="C12" s="1469">
        <v>327</v>
      </c>
      <c r="D12" s="1469">
        <f>C12</f>
        <v>327</v>
      </c>
      <c r="E12" s="1469">
        <v>627</v>
      </c>
      <c r="F12" s="1470">
        <v>283</v>
      </c>
      <c r="G12" s="3308">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3026</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05"/>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05"/>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12"/>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308">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05"/>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05"/>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06"/>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97"/>
        <v>277</v>
      </c>
      <c r="E20" s="1469">
        <v>459</v>
      </c>
      <c r="F20" s="1470">
        <v>249</v>
      </c>
      <c r="G20" s="3304">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05"/>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05"/>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06"/>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97"/>
        <v>268</v>
      </c>
      <c r="E24" s="1490">
        <v>437</v>
      </c>
      <c r="F24" s="1491">
        <v>237</v>
      </c>
      <c r="G24" s="3304">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05"/>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05"/>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8"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06"/>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1" t="s">
        <v>1159</v>
      </c>
      <c r="B28" s="1469">
        <v>299</v>
      </c>
      <c r="C28" s="1469">
        <v>252</v>
      </c>
      <c r="D28" s="1469">
        <f t="shared" si="97"/>
        <v>252</v>
      </c>
      <c r="E28" s="1469">
        <v>409</v>
      </c>
      <c r="F28" s="1470">
        <v>227</v>
      </c>
      <c r="G28" s="3309">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10"/>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10"/>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11"/>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97"/>
        <v>234</v>
      </c>
      <c r="E32" s="1511">
        <v>379</v>
      </c>
      <c r="F32" s="1512">
        <v>220</v>
      </c>
      <c r="G32" s="3304">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05"/>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05"/>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8" thickBot="1">
      <c r="A35" s="1461" t="s">
        <v>1166</v>
      </c>
      <c r="B35" s="1477">
        <f>B34/(1+N34)</f>
        <v>275.19025476197027</v>
      </c>
      <c r="C35" s="1513">
        <v>232</v>
      </c>
      <c r="D35" s="1513">
        <f t="shared" si="97"/>
        <v>232</v>
      </c>
      <c r="E35" s="1477">
        <f t="shared" si="108"/>
        <v>375.65990977608692</v>
      </c>
      <c r="F35" s="1477">
        <f t="shared" si="108"/>
        <v>214.12518283971252</v>
      </c>
      <c r="G35" s="3306"/>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97"/>
        <v>232</v>
      </c>
      <c r="E36" s="1469">
        <v>376</v>
      </c>
      <c r="F36" s="1470">
        <v>213</v>
      </c>
      <c r="G36" s="3304">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05">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05">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8"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06">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97"/>
        <v>221</v>
      </c>
      <c r="E40" s="1469">
        <v>373</v>
      </c>
      <c r="F40" s="1470">
        <v>196</v>
      </c>
      <c r="G40" s="3304">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05">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05">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8"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06">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97"/>
        <v>187</v>
      </c>
      <c r="E44" s="1469">
        <v>301</v>
      </c>
      <c r="F44" s="1470">
        <v>168</v>
      </c>
      <c r="G44" s="3304">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05">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05">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06">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97"/>
        <v>188</v>
      </c>
      <c r="E48" s="1511">
        <v>289</v>
      </c>
      <c r="F48" s="1512">
        <v>166</v>
      </c>
      <c r="G48" s="3304">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05">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05">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8"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06">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97"/>
        <v>165</v>
      </c>
      <c r="E52" s="1469">
        <v>254</v>
      </c>
      <c r="F52" s="1470">
        <v>148</v>
      </c>
      <c r="G52" s="3304">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05">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05">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06">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97"/>
        <v>141</v>
      </c>
      <c r="E56" s="1490">
        <v>195</v>
      </c>
      <c r="F56" s="1491">
        <v>122</v>
      </c>
      <c r="G56" s="3304">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05">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05">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06">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97"/>
        <v>131</v>
      </c>
      <c r="E60" s="1490">
        <v>155</v>
      </c>
      <c r="F60" s="1491">
        <v>114</v>
      </c>
      <c r="G60" s="3304">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05">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05">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06">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97"/>
        <v>122</v>
      </c>
      <c r="E64" s="1511">
        <v>124</v>
      </c>
      <c r="F64" s="1512">
        <v>107</v>
      </c>
      <c r="G64" s="3304">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05">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05">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8"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06">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97"/>
        <v>114</v>
      </c>
      <c r="E68" s="1532">
        <v>108</v>
      </c>
      <c r="F68" s="1533">
        <v>104</v>
      </c>
      <c r="G68" s="3304">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05">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05">
        <v>2003</v>
      </c>
      <c r="H70" s="1465">
        <v>2</v>
      </c>
      <c r="I70" s="1534"/>
      <c r="J70" s="1534"/>
      <c r="K70" s="1534"/>
      <c r="L70" s="1534"/>
      <c r="X70" s="1526"/>
      <c r="Y70" s="1526"/>
      <c r="Z70" s="1526"/>
    </row>
    <row r="71" spans="1:26" ht="13.8" thickBot="1">
      <c r="A71" s="1461" t="s">
        <v>1202</v>
      </c>
      <c r="B71" s="1536">
        <f t="shared" si="133"/>
        <v>107.25</v>
      </c>
      <c r="C71" s="1536">
        <f t="shared" si="133"/>
        <v>108.75</v>
      </c>
      <c r="D71" s="1536">
        <f t="shared" si="97"/>
        <v>108.75</v>
      </c>
      <c r="E71" s="1536">
        <f t="shared" si="134"/>
        <v>105.75</v>
      </c>
      <c r="F71" s="1536">
        <f t="shared" si="134"/>
        <v>102.5</v>
      </c>
      <c r="G71" s="3306">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97"/>
        <v>107</v>
      </c>
      <c r="E72" s="1538">
        <v>105</v>
      </c>
      <c r="F72" s="1539">
        <v>102</v>
      </c>
      <c r="G72" s="3304">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05">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05">
        <v>2002</v>
      </c>
      <c r="H74" s="1465">
        <v>2</v>
      </c>
      <c r="I74" s="1534"/>
      <c r="J74" s="1534"/>
      <c r="K74" s="1534"/>
      <c r="L74" s="1534"/>
      <c r="X74" s="1526"/>
      <c r="Y74" s="1526"/>
      <c r="Z74" s="1526"/>
    </row>
    <row r="75" spans="1:26" s="1498" customFormat="1" ht="13.8" thickBot="1">
      <c r="A75" s="1494" t="s">
        <v>1206</v>
      </c>
      <c r="B75" s="1540">
        <f t="shared" si="135"/>
        <v>103</v>
      </c>
      <c r="C75" s="1540">
        <f t="shared" si="135"/>
        <v>104</v>
      </c>
      <c r="D75" s="1540">
        <f t="shared" si="97"/>
        <v>104</v>
      </c>
      <c r="E75" s="1540">
        <f t="shared" si="136"/>
        <v>103.5</v>
      </c>
      <c r="F75" s="1540">
        <f t="shared" si="136"/>
        <v>100.5</v>
      </c>
      <c r="G75" s="3306">
        <v>2002</v>
      </c>
      <c r="H75" s="1541">
        <v>1</v>
      </c>
      <c r="I75" s="1542"/>
      <c r="J75" s="1542"/>
      <c r="K75" s="1542"/>
      <c r="L75" s="1542"/>
      <c r="N75" s="1543"/>
      <c r="S75" s="1543"/>
      <c r="X75" s="1544"/>
      <c r="Y75" s="1544"/>
      <c r="Z75" s="1544"/>
    </row>
    <row r="76" spans="1:26" ht="13.8"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314" t="s">
        <v>2997</v>
      </c>
      <c r="D1" s="3315"/>
      <c r="E1" s="3315"/>
      <c r="F1" s="3315"/>
      <c r="G1" s="3315"/>
      <c r="H1" s="3315"/>
      <c r="I1" s="3315"/>
      <c r="J1" s="3315"/>
      <c r="K1" s="3315"/>
      <c r="L1" s="3315"/>
      <c r="M1" s="3315"/>
      <c r="N1" s="3315"/>
      <c r="O1" s="3315"/>
      <c r="P1" s="3315"/>
      <c r="Q1" s="3315"/>
      <c r="R1" s="3315"/>
      <c r="S1" s="3316"/>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3006</v>
      </c>
      <c r="B17" s="2908"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3008</v>
      </c>
      <c r="E19" s="1791"/>
      <c r="F19" s="1791"/>
      <c r="G19" s="1791"/>
      <c r="H19" s="1280"/>
      <c r="I19" s="168"/>
      <c r="J19" s="168"/>
      <c r="K19" s="168"/>
      <c r="L19" s="168"/>
      <c r="M19" s="168"/>
      <c r="N19" s="168"/>
      <c r="O19" s="168"/>
      <c r="P19" s="168"/>
      <c r="Q19" s="168"/>
      <c r="R19" s="788"/>
      <c r="S19" s="138"/>
    </row>
    <row r="20" spans="1:45" ht="16.2" thickBot="1">
      <c r="A20" s="715" t="s">
        <v>3009</v>
      </c>
      <c r="B20" s="338" t="e">
        <f ca="1">IF(D20="——",S22,S22-F20)</f>
        <v>#REF!</v>
      </c>
      <c r="C20" s="168"/>
      <c r="D20" s="2910" t="s">
        <v>3010</v>
      </c>
      <c r="E20" s="1792"/>
      <c r="F20" s="1204" t="e">
        <f ca="1">SUMIF(INDIRECT("'"&amp;H20&amp;"'"&amp;"!A:A"),"承租人权益价值",INDIRECT("'"&amp;H20&amp;"'"&amp;"!c:c"))</f>
        <v>#REF!</v>
      </c>
      <c r="G20" s="1204" t="s">
        <v>3011</v>
      </c>
      <c r="H20" s="2911"/>
      <c r="I20" s="168"/>
      <c r="J20" s="168"/>
      <c r="K20" s="168"/>
      <c r="L20" s="168"/>
      <c r="M20" s="168"/>
      <c r="N20" s="168"/>
      <c r="O20" s="168"/>
      <c r="P20" s="168"/>
      <c r="Q20" s="168"/>
      <c r="R20" s="788"/>
      <c r="S20" s="138"/>
    </row>
    <row r="21" spans="1:45" ht="15.6">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87" t="s">
        <v>33</v>
      </c>
      <c r="D22" s="3088"/>
      <c r="E22" s="3088"/>
      <c r="F22" s="3088"/>
      <c r="G22" s="3088"/>
      <c r="H22" s="3088"/>
      <c r="I22" s="3088"/>
      <c r="J22" s="3088"/>
      <c r="K22" s="3088"/>
      <c r="L22" s="3088"/>
      <c r="M22" s="3088"/>
      <c r="N22" s="3088"/>
      <c r="O22" s="3088"/>
      <c r="P22" s="3088"/>
      <c r="Q22" s="3313"/>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38998</v>
      </c>
      <c r="C2" s="2" t="s">
        <v>133</v>
      </c>
      <c r="D2" s="243"/>
      <c r="E2" s="243"/>
      <c r="F2" s="243"/>
      <c r="G2" s="243"/>
    </row>
    <row r="3" spans="1:7" s="244" customFormat="1" ht="18" customHeight="1" thickBot="1">
      <c r="A3" s="247" t="s">
        <v>85</v>
      </c>
      <c r="B3" s="248">
        <f ca="1">ROUND(B2*10000/'数据-汇总表'!E3,0)</f>
        <v>9359</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793</v>
      </c>
      <c r="D9" s="1032">
        <f>'数据-汇总表'!E5</f>
        <v>38862.989800000003</v>
      </c>
      <c r="E9" s="269">
        <f>'数据-取费表'!B27</f>
        <v>204</v>
      </c>
      <c r="F9" s="265"/>
      <c r="G9" s="270"/>
    </row>
    <row r="10" spans="1:7" s="258" customFormat="1" ht="13.5" customHeight="1">
      <c r="A10" s="950" t="s">
        <v>801</v>
      </c>
      <c r="B10" s="268" t="s">
        <v>94</v>
      </c>
      <c r="C10" s="269">
        <f>ROUND(D10*E10/10000,0)</f>
        <v>57</v>
      </c>
      <c r="D10" s="1032">
        <f>'数据-汇总表'!E6</f>
        <v>2804.3640999999989</v>
      </c>
      <c r="E10" s="269">
        <f>'数据-取费表'!B28</f>
        <v>204</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625</v>
      </c>
      <c r="D19" s="1036">
        <f>'数据-汇总表'!E3</f>
        <v>41667.353900000002</v>
      </c>
      <c r="E19" s="255">
        <f>'数据-取费表'!B31</f>
        <v>150</v>
      </c>
      <c r="F19" s="275"/>
      <c r="G19" s="1" t="s">
        <v>1071</v>
      </c>
    </row>
    <row r="20" spans="1:7" s="258" customFormat="1" ht="13.5" customHeight="1">
      <c r="A20" s="948" t="s">
        <v>1054</v>
      </c>
      <c r="B20" s="254" t="s">
        <v>104</v>
      </c>
      <c r="C20" s="276">
        <f>ROUND((C5+C19)*F20,0)</f>
        <v>319</v>
      </c>
      <c r="D20" s="276"/>
      <c r="E20" s="276"/>
      <c r="F20" s="277">
        <f>'数据-取费表'!B37</f>
        <v>1.4999999999999999E-2</v>
      </c>
      <c r="G20" s="1289" t="s">
        <v>1065</v>
      </c>
    </row>
    <row r="21" spans="1:7" s="258" customFormat="1" ht="13.5" customHeight="1">
      <c r="A21" s="948" t="s">
        <v>1056</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995</v>
      </c>
      <c r="D22" s="279">
        <f ca="1">C26</f>
        <v>2.9999999999999997E-4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959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29</v>
      </c>
      <c r="D24" s="282"/>
      <c r="E24" s="282"/>
      <c r="F24" s="283"/>
      <c r="G24" s="284" t="s">
        <v>109</v>
      </c>
    </row>
    <row r="25" spans="1:7" s="258" customFormat="1" ht="24">
      <c r="A25" s="951" t="s">
        <v>793</v>
      </c>
      <c r="B25" s="259" t="s">
        <v>1055</v>
      </c>
      <c r="C25" s="1355">
        <f ca="1">ROUND(IF('数据-取费表'!B22&lt;=1,C20*F22*'数据-取费表'!B23/2,C20*(POWER((1+F22),'数据-取费表'!B23/2)-1)),0)</f>
        <v>7</v>
      </c>
      <c r="D25" s="282"/>
      <c r="E25" s="285"/>
      <c r="F25" s="283"/>
      <c r="G25" s="286" t="s">
        <v>110</v>
      </c>
    </row>
    <row r="26" spans="1:7" s="258" customFormat="1">
      <c r="A26" s="951" t="s">
        <v>795</v>
      </c>
      <c r="B26" s="259" t="s">
        <v>1057</v>
      </c>
      <c r="C26" s="282">
        <f ca="1">ROUND(IF('数据-取费表'!B22&lt;=1,F21*F22*'数据-取费表'!B23/2,F21*(POWER((1+F22),'数据-取费表'!B23/2)-1)),4)</f>
        <v>2.9999999999999997E-4</v>
      </c>
      <c r="D26" s="282"/>
      <c r="E26" s="285"/>
      <c r="F26" s="283"/>
      <c r="G26" s="287"/>
    </row>
    <row r="27" spans="1:7" s="258" customFormat="1" ht="26.4">
      <c r="A27" s="948" t="s">
        <v>787</v>
      </c>
      <c r="B27" s="288" t="s">
        <v>112</v>
      </c>
      <c r="C27" s="289">
        <f>C28</f>
        <v>1056</v>
      </c>
      <c r="D27" s="279">
        <f>C29</f>
        <v>6.9999999999999999E-4</v>
      </c>
      <c r="E27" s="280" t="s">
        <v>126</v>
      </c>
      <c r="F27" s="290">
        <f>'数据-取费表'!Q16</f>
        <v>0.1</v>
      </c>
      <c r="G27" s="291" t="s">
        <v>1066</v>
      </c>
    </row>
    <row r="28" spans="1:7" s="258" customFormat="1" ht="13.5" customHeight="1">
      <c r="A28" s="951" t="s">
        <v>794</v>
      </c>
      <c r="B28" s="292" t="s">
        <v>1059</v>
      </c>
      <c r="C28" s="293">
        <f>ROUND((C5+C19+C20)*F27*'数据-取费表'!B21/'数据-取费表'!B20,0)</f>
        <v>1056</v>
      </c>
      <c r="D28" s="279"/>
      <c r="E28" s="280"/>
      <c r="F28" s="290"/>
      <c r="G28" s="291"/>
    </row>
    <row r="29" spans="1:7" s="258" customFormat="1" ht="13.5" customHeight="1">
      <c r="A29" s="951" t="s">
        <v>792</v>
      </c>
      <c r="B29" s="292" t="s">
        <v>1060</v>
      </c>
      <c r="C29" s="282">
        <f>ROUND(C21*F27*'数据-取费表'!B21/'数据-取费表'!B20,4)</f>
        <v>6.9999999999999999E-4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25364</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11122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10071</v>
      </c>
      <c r="D34" s="261"/>
      <c r="E34" s="264"/>
      <c r="F34" s="301">
        <f>IF('数据-取费表'!B24=0,1,'数据-取费表'!N16)</f>
        <v>0.49</v>
      </c>
      <c r="G34" s="263" t="s">
        <v>116</v>
      </c>
    </row>
    <row r="35" spans="1:7" ht="13.5" customHeight="1">
      <c r="A35" s="951" t="s">
        <v>796</v>
      </c>
      <c r="B35" s="259" t="s">
        <v>60</v>
      </c>
      <c r="C35" s="264">
        <f>ROUND(C34*F35,0)</f>
        <v>302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190</v>
      </c>
      <c r="D36" s="264"/>
      <c r="E36" s="264"/>
      <c r="F36" s="303">
        <f>'数据-取费表'!B34</f>
        <v>0.02</v>
      </c>
      <c r="G36" s="304" t="s">
        <v>62</v>
      </c>
    </row>
    <row r="37" spans="1:7" s="302" customFormat="1" ht="13.5" customHeight="1">
      <c r="A37" s="951" t="s">
        <v>798</v>
      </c>
      <c r="B37" s="259" t="s">
        <v>118</v>
      </c>
      <c r="C37" s="293">
        <f>ROUND(E37*D37*F34/10000,0)</f>
        <v>408</v>
      </c>
      <c r="D37" s="261">
        <f>'数据-汇总表'!E3</f>
        <v>41667.353900000002</v>
      </c>
      <c r="E37" s="293">
        <f>'数据-取费表'!B35</f>
        <v>200</v>
      </c>
      <c r="F37" s="303"/>
      <c r="G37" s="305" t="s">
        <v>119</v>
      </c>
    </row>
    <row r="38" spans="1:7" ht="13.5" customHeight="1">
      <c r="A38" s="951" t="s">
        <v>799</v>
      </c>
      <c r="B38" s="259" t="s">
        <v>63</v>
      </c>
      <c r="C38" s="264">
        <f>ROUND(C34*F38,0)</f>
        <v>151</v>
      </c>
      <c r="D38" s="264"/>
      <c r="E38" s="264"/>
      <c r="F38" s="303">
        <f>'数据-取费表'!B36</f>
        <v>1.4999999999999999E-2</v>
      </c>
      <c r="G38" s="263" t="s">
        <v>117</v>
      </c>
    </row>
    <row r="39" spans="1:7" s="258" customFormat="1" ht="13.5" customHeight="1">
      <c r="A39" s="948" t="s">
        <v>783</v>
      </c>
      <c r="B39" s="254" t="s">
        <v>104</v>
      </c>
      <c r="C39" s="276">
        <f>ROUND(C33*F20,0)</f>
        <v>167</v>
      </c>
      <c r="D39" s="276"/>
      <c r="E39" s="276"/>
      <c r="F39" s="277"/>
      <c r="G39" s="1289" t="s">
        <v>1068</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260</v>
      </c>
      <c r="D41" s="279">
        <f ca="1">C44</f>
        <v>2.9999999999999997E-4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256</v>
      </c>
      <c r="D42" s="282"/>
      <c r="E42" s="282"/>
      <c r="F42" s="283"/>
      <c r="G42" s="3172" t="s">
        <v>121</v>
      </c>
    </row>
    <row r="43" spans="1:7" ht="13.5" customHeight="1">
      <c r="A43" s="951" t="s">
        <v>792</v>
      </c>
      <c r="B43" s="259" t="s">
        <v>1061</v>
      </c>
      <c r="C43" s="282">
        <f ca="1">ROUND(IF('数据-取费表'!B22&lt;=1,C39*F22*'数据-取费表'!B21/2,C39*(POWER((1+F22),'数据-取费表'!B21/2)-1)),0)</f>
        <v>4</v>
      </c>
      <c r="D43" s="282"/>
      <c r="E43" s="282"/>
      <c r="F43" s="283"/>
      <c r="G43" s="3173"/>
    </row>
    <row r="44" spans="1:7" ht="13.5" customHeight="1">
      <c r="A44" s="951" t="s">
        <v>793</v>
      </c>
      <c r="B44" s="259" t="s">
        <v>1063</v>
      </c>
      <c r="C44" s="282">
        <f ca="1">ROUND(IF('数据-取费表'!B22&lt;=1,C40*F22*'数据-取费表'!B21/2,C40*(POWER((1+F22),'数据-取费表'!B21/2)-1)),4)</f>
        <v>2.9999999999999997E-4</v>
      </c>
      <c r="D44" s="282"/>
      <c r="E44" s="282"/>
      <c r="F44" s="283"/>
      <c r="G44" s="3174"/>
    </row>
    <row r="45" spans="1:7" s="258" customFormat="1" ht="13.5" customHeight="1">
      <c r="A45" s="948" t="s">
        <v>786</v>
      </c>
      <c r="B45" s="288" t="s">
        <v>112</v>
      </c>
      <c r="C45" s="289">
        <f>C46</f>
        <v>1129</v>
      </c>
      <c r="D45" s="279">
        <f>C47</f>
        <v>1.5E-3</v>
      </c>
      <c r="E45" s="280" t="s">
        <v>129</v>
      </c>
      <c r="F45" s="290"/>
      <c r="G45" s="291" t="s">
        <v>1069</v>
      </c>
    </row>
    <row r="46" spans="1:7" s="258" customFormat="1" ht="13.5" customHeight="1">
      <c r="A46" s="951" t="s">
        <v>794</v>
      </c>
      <c r="B46" s="292" t="s">
        <v>1062</v>
      </c>
      <c r="C46" s="293">
        <f>ROUND((C33+C39)*F27,0)</f>
        <v>1129</v>
      </c>
      <c r="D46" s="307"/>
      <c r="E46" s="280"/>
      <c r="F46" s="290"/>
      <c r="G46" s="291"/>
    </row>
    <row r="47" spans="1:7" s="258" customFormat="1" ht="13.5" customHeight="1">
      <c r="A47" s="951" t="s">
        <v>792</v>
      </c>
      <c r="B47" s="292" t="s">
        <v>1064</v>
      </c>
      <c r="C47" s="282">
        <f>ROUND(C40*F27,4)</f>
        <v>1.5E-3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13634</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13634</v>
      </c>
      <c r="D51" s="276"/>
      <c r="E51" s="276"/>
      <c r="F51" s="308"/>
      <c r="G51" s="278" t="s">
        <v>64</v>
      </c>
    </row>
    <row r="52" spans="1:7" s="252" customFormat="1" ht="16.8" thickBot="1">
      <c r="A52" s="309" t="s">
        <v>65</v>
      </c>
      <c r="B52" s="310"/>
      <c r="C52" s="311">
        <f ca="1">C31+C51</f>
        <v>38998</v>
      </c>
      <c r="D52" s="310"/>
      <c r="E52" s="310"/>
      <c r="F52" s="310"/>
      <c r="G52" s="312"/>
    </row>
    <row r="55" spans="1:7" ht="15">
      <c r="B55" s="314" t="s">
        <v>66</v>
      </c>
      <c r="C55" s="315"/>
    </row>
    <row r="56" spans="1:7">
      <c r="B56" s="317" t="s">
        <v>67</v>
      </c>
      <c r="C56" s="318">
        <f ca="1">ROUND(C51/C52,3)</f>
        <v>0.35</v>
      </c>
    </row>
    <row r="57" spans="1:7">
      <c r="B57" s="317" t="s">
        <v>68</v>
      </c>
      <c r="C57" s="319">
        <f ca="1">1-C56</f>
        <v>0.65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17" t="s">
        <v>156</v>
      </c>
      <c r="B1" s="3317"/>
      <c r="C1" s="3317"/>
      <c r="D1" s="3317"/>
      <c r="E1" s="3317"/>
      <c r="F1" s="331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18" t="s">
        <v>169</v>
      </c>
      <c r="B2" s="3318"/>
      <c r="C2" s="3318"/>
      <c r="D2" s="3318"/>
      <c r="E2" s="3318"/>
      <c r="F2" s="331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17" t="s">
        <v>868</v>
      </c>
      <c r="B1" s="3317"/>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43712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1636</v>
      </c>
      <c r="B2" s="2998" t="s">
        <v>1637</v>
      </c>
      <c r="C2" s="2998" t="s">
        <v>1638</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6">
      <c r="A3" s="2999"/>
      <c r="B3" s="2999"/>
      <c r="C3" s="2999"/>
      <c r="D3" s="1044" t="s">
        <v>1633</v>
      </c>
      <c r="E3" s="1044" t="s">
        <v>1639</v>
      </c>
      <c r="F3" s="1044" t="s">
        <v>1633</v>
      </c>
      <c r="G3" s="1044" t="s">
        <v>1634</v>
      </c>
      <c r="H3" s="1044" t="s">
        <v>1633</v>
      </c>
      <c r="I3" s="1044" t="s">
        <v>1634</v>
      </c>
    </row>
    <row r="4" spans="1:9" ht="75">
      <c r="A4" s="1971" t="str">
        <f>项目基本情况!S2</f>
        <v>广东省广州市海珠区工业大道南北侧石溪村地段第三金碧花园自编68-70栋住宅楼项目出让国有建设用地使用权及在建建筑物房地产</v>
      </c>
      <c r="B4" s="1044">
        <f>项目基本情况!C17</f>
        <v>41667.353900000002</v>
      </c>
      <c r="C4" s="1044">
        <f>项目基本情况!C18</f>
        <v>19349.7</v>
      </c>
      <c r="D4" s="1044">
        <f ca="1">结果表!D118</f>
        <v>196155</v>
      </c>
      <c r="E4" s="1044">
        <f ca="1">结果表!E118</f>
        <v>47076</v>
      </c>
      <c r="F4" s="1044">
        <f ca="1">结果表!F118</f>
        <v>12521</v>
      </c>
      <c r="G4" s="1044">
        <f ca="1">结果表!G118</f>
        <v>3005</v>
      </c>
      <c r="H4" s="1044">
        <f ca="1">结果表!H118</f>
        <v>208676</v>
      </c>
      <c r="I4" s="1044">
        <f ca="1">结果表!I118</f>
        <v>50081</v>
      </c>
    </row>
    <row r="5" spans="1:9" ht="30" customHeight="1">
      <c r="A5" s="2999" t="s">
        <v>1635</v>
      </c>
      <c r="B5" s="2999"/>
      <c r="C5" s="2999"/>
      <c r="D5" s="3000" t="str">
        <f ca="1">结果表!D119</f>
        <v>壹拾玖亿陆仟壹佰伍拾伍万元整</v>
      </c>
      <c r="E5" s="3000"/>
      <c r="F5" s="3000" t="str">
        <f ca="1">结果表!F119</f>
        <v>壹亿贰仟伍佰贰拾壹万元整</v>
      </c>
      <c r="G5" s="3000"/>
      <c r="H5" s="3000" t="str">
        <f ca="1">结果表!H119</f>
        <v>贰拾亿捌仟陆佰柒拾陆万元整</v>
      </c>
      <c r="I5" s="3000"/>
    </row>
    <row r="6" spans="1:9" ht="15.6">
      <c r="A6" s="3001" t="str">
        <f>结果表!A120</f>
        <v>估价师知悉的法定优先受偿款</v>
      </c>
      <c r="B6" s="3001"/>
      <c r="C6" s="3001"/>
      <c r="D6" s="3001">
        <f>结果表!D120</f>
        <v>0</v>
      </c>
      <c r="E6" s="3001"/>
      <c r="F6" s="3001"/>
      <c r="G6" s="3001"/>
      <c r="H6" s="3001"/>
      <c r="I6" s="3001"/>
    </row>
    <row r="7" spans="1:9" ht="15">
      <c r="A7" s="2999" t="s">
        <v>1635</v>
      </c>
      <c r="B7" s="2999"/>
      <c r="C7" s="2999"/>
      <c r="D7" s="3002" t="str">
        <f>结果表!D121</f>
        <v>零元整</v>
      </c>
      <c r="E7" s="3003"/>
      <c r="F7" s="3003"/>
      <c r="G7" s="3003"/>
      <c r="H7" s="3003"/>
      <c r="I7" s="3004"/>
    </row>
    <row r="8" spans="1:9" ht="15.6">
      <c r="A8" s="3001" t="str">
        <f>结果表!A122</f>
        <v>房地产抵押价值</v>
      </c>
      <c r="B8" s="3001"/>
      <c r="C8" s="3001"/>
      <c r="D8" s="3001">
        <f ca="1">结果表!D122</f>
        <v>208676</v>
      </c>
      <c r="E8" s="3001"/>
      <c r="F8" s="3001"/>
      <c r="G8" s="3001"/>
      <c r="H8" s="3001"/>
      <c r="I8" s="3001"/>
    </row>
    <row r="9" spans="1:9" ht="15">
      <c r="A9" s="2999" t="s">
        <v>1635</v>
      </c>
      <c r="B9" s="2999"/>
      <c r="C9" s="2999"/>
      <c r="D9" s="3000" t="str">
        <f ca="1">结果表!D123</f>
        <v>贰拾亿捌仟陆佰柒拾陆万元整</v>
      </c>
      <c r="E9" s="3000"/>
      <c r="F9" s="3000"/>
      <c r="G9" s="3000"/>
      <c r="H9" s="3000"/>
      <c r="I9" s="3000"/>
    </row>
    <row r="10" spans="1:9" ht="15.6">
      <c r="A10" s="3001" t="str">
        <f>结果表!A124</f>
        <v/>
      </c>
      <c r="B10" s="3001"/>
      <c r="C10" s="3001"/>
      <c r="D10" s="3001" t="str">
        <f>结果表!D124</f>
        <v>——</v>
      </c>
      <c r="E10" s="3001"/>
      <c r="F10" s="3001"/>
      <c r="G10" s="3001"/>
      <c r="H10" s="3001"/>
      <c r="I10" s="3001"/>
    </row>
    <row r="11" spans="1:9" ht="15">
      <c r="A11" s="2999" t="s">
        <v>1635</v>
      </c>
      <c r="B11" s="2999"/>
      <c r="C11" s="2999"/>
      <c r="D11" s="3000" t="e">
        <f>结果表!D125</f>
        <v>#VALUE!</v>
      </c>
      <c r="E11" s="3000"/>
      <c r="F11" s="3000"/>
      <c r="G11" s="3000"/>
      <c r="H11" s="3000"/>
      <c r="I11" s="3000"/>
    </row>
    <row r="12" spans="1:9" ht="15.6">
      <c r="A12" s="3001" t="str">
        <f>结果表!A126</f>
        <v/>
      </c>
      <c r="B12" s="3001"/>
      <c r="C12" s="3001"/>
      <c r="D12" s="3001" t="str">
        <f>结果表!D126</f>
        <v>——</v>
      </c>
      <c r="E12" s="3001"/>
      <c r="F12" s="3001"/>
      <c r="G12" s="3001"/>
      <c r="H12" s="3001"/>
      <c r="I12" s="3001"/>
    </row>
    <row r="13" spans="1:9" ht="15.6" thickBot="1">
      <c r="A13" s="3005" t="s">
        <v>1635</v>
      </c>
      <c r="B13" s="3005"/>
      <c r="C13" s="3005"/>
      <c r="D13" s="3006" t="e">
        <f>结果表!D127</f>
        <v>#VALUE!</v>
      </c>
      <c r="E13" s="3006"/>
      <c r="F13" s="3006"/>
      <c r="G13" s="3006"/>
      <c r="H13" s="3006"/>
      <c r="I13" s="3006"/>
    </row>
    <row r="14" spans="1:9" ht="14.4" thickTop="1">
      <c r="A14" s="3007" t="s">
        <v>1640</v>
      </c>
      <c r="B14" s="3007"/>
      <c r="C14" s="3007"/>
      <c r="D14" s="3007"/>
      <c r="E14" s="3007"/>
      <c r="F14" s="3007"/>
      <c r="G14" s="3007"/>
      <c r="H14" s="3007"/>
      <c r="I14" s="3007"/>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08" t="s">
        <v>1657</v>
      </c>
      <c r="B1" s="3008"/>
      <c r="C1" s="3008"/>
      <c r="D1" s="3008"/>
    </row>
    <row r="2" spans="1:4" ht="17.399999999999999">
      <c r="A2" s="3009" t="s">
        <v>1641</v>
      </c>
      <c r="B2" s="3009"/>
      <c r="C2" s="3009"/>
      <c r="D2" s="3009"/>
    </row>
    <row r="3" spans="1:4" ht="17.399999999999999">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郑燚</v>
      </c>
      <c r="B5" s="1977">
        <f ca="1">项目基本情况!E4</f>
        <v>1120070131</v>
      </c>
      <c r="C5" s="1980"/>
      <c r="D5" s="1979" t="s">
        <v>1646</v>
      </c>
    </row>
    <row r="6" spans="1:4" ht="17.399999999999999">
      <c r="A6" s="3009" t="s">
        <v>1647</v>
      </c>
      <c r="B6" s="3009"/>
      <c r="C6" s="3009"/>
      <c r="D6" s="3009"/>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7.399999999999999">
      <c r="A10" s="1982" t="s">
        <v>1649</v>
      </c>
      <c r="B10" s="728"/>
      <c r="C10" s="728"/>
      <c r="D10" s="728"/>
    </row>
    <row r="11" spans="1:4" ht="30" customHeight="1">
      <c r="A11" s="3010" t="s">
        <v>1650</v>
      </c>
      <c r="B11" s="3011"/>
      <c r="C11" s="3011"/>
      <c r="D11" s="3011"/>
    </row>
    <row r="12" spans="1:4" ht="15.6">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1651</v>
      </c>
      <c r="B16" s="3014"/>
      <c r="C16" s="3014"/>
      <c r="D16" s="3014"/>
    </row>
    <row r="17" spans="1:4" ht="144" customHeight="1">
      <c r="A17" s="3014" t="s">
        <v>1652</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1653</v>
      </c>
      <c r="B22" s="3016"/>
      <c r="C22" s="3016"/>
      <c r="D22" s="3016"/>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3022" t="s">
        <v>1664</v>
      </c>
      <c r="B15" s="3017" t="s">
        <v>136</v>
      </c>
      <c r="C15" s="3018"/>
    </row>
    <row r="16" spans="1:7" ht="14.4">
      <c r="A16" s="3023"/>
      <c r="B16" s="3017" t="s">
        <v>69</v>
      </c>
      <c r="C16" s="3018"/>
    </row>
    <row r="17" spans="1:3" ht="14.4">
      <c r="A17" s="3023"/>
      <c r="B17" s="3020" t="s">
        <v>1665</v>
      </c>
      <c r="C17" s="1998" t="s">
        <v>1664</v>
      </c>
    </row>
    <row r="18" spans="1:3" ht="14.4">
      <c r="A18" s="3023"/>
      <c r="B18" s="3020"/>
      <c r="C18" s="1998" t="s">
        <v>1666</v>
      </c>
    </row>
    <row r="19" spans="1:3" ht="14.4">
      <c r="A19" s="3023"/>
      <c r="B19" s="3020"/>
      <c r="C19" s="1998" t="s">
        <v>1667</v>
      </c>
    </row>
    <row r="20" spans="1:3" ht="14.4">
      <c r="A20" s="3024"/>
      <c r="B20" s="3019" t="s">
        <v>1668</v>
      </c>
      <c r="C20" s="3018"/>
    </row>
    <row r="21" spans="1:3" ht="14.4">
      <c r="A21" s="1999" t="s">
        <v>1669</v>
      </c>
      <c r="B21" s="2000"/>
      <c r="C21" s="2001"/>
    </row>
    <row r="22" spans="1:3" ht="14.4">
      <c r="A22" s="3021" t="s">
        <v>1670</v>
      </c>
      <c r="B22" s="3019" t="s">
        <v>1671</v>
      </c>
      <c r="C22" s="3018"/>
    </row>
    <row r="23" spans="1:3" ht="14.4">
      <c r="A23" s="3021"/>
      <c r="B23" s="3019" t="s">
        <v>1672</v>
      </c>
      <c r="C23" s="3018"/>
    </row>
    <row r="24" spans="1:3" ht="14.4">
      <c r="A24" s="3021"/>
      <c r="B24" s="3019" t="s">
        <v>1673</v>
      </c>
      <c r="C24" s="3018"/>
    </row>
    <row r="25" spans="1:3" ht="14.4">
      <c r="A25" s="3021"/>
      <c r="B25" s="3020" t="s">
        <v>1674</v>
      </c>
      <c r="C25" s="1998" t="s">
        <v>1675</v>
      </c>
    </row>
    <row r="26" spans="1:3" ht="14.4">
      <c r="A26" s="3021"/>
      <c r="B26" s="3020"/>
      <c r="C26" s="1998" t="s">
        <v>1676</v>
      </c>
    </row>
    <row r="27" spans="1:3" ht="14.4">
      <c r="A27" s="3021"/>
      <c r="B27" s="3020"/>
      <c r="C27" s="1998" t="s">
        <v>1677</v>
      </c>
    </row>
    <row r="28" spans="1:3" ht="14.4">
      <c r="A28" s="3021"/>
      <c r="B28" s="3020"/>
      <c r="C28" s="1998" t="s">
        <v>1678</v>
      </c>
    </row>
    <row r="29" spans="1:3" ht="14.4">
      <c r="A29" s="3021"/>
      <c r="B29" s="3020"/>
      <c r="C29" s="1998" t="s">
        <v>1679</v>
      </c>
    </row>
    <row r="30" spans="1:3" ht="14.4">
      <c r="A30" s="3021"/>
      <c r="B30" s="3020"/>
      <c r="C30" s="1998" t="s">
        <v>1680</v>
      </c>
    </row>
    <row r="31" spans="1:3" ht="14.4">
      <c r="A31" s="3021"/>
      <c r="B31" s="3020"/>
      <c r="C31" s="1998" t="s">
        <v>1681</v>
      </c>
    </row>
    <row r="32" spans="1:3" ht="14.4">
      <c r="A32" s="3021"/>
      <c r="B32" s="3020"/>
      <c r="C32" s="1998" t="s">
        <v>1682</v>
      </c>
    </row>
    <row r="33" spans="1:3" ht="14.4">
      <c r="A33" s="3021"/>
      <c r="B33" s="3020"/>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43733</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44395</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f ca="1">IF(C10&lt;B2,"已过期",1120060040)</f>
        <v>1120060040</v>
      </c>
      <c r="C10" s="2346">
        <v>44554</v>
      </c>
      <c r="D10" s="2349" t="s">
        <v>838</v>
      </c>
      <c r="E10" s="1022">
        <f ca="1">IF(F10&lt;B2,"已过期",2004110096)</f>
        <v>2004110096</v>
      </c>
      <c r="F10" s="1030">
        <v>47118</v>
      </c>
    </row>
    <row r="11" spans="1:6" ht="24" customHeight="1">
      <c r="A11" s="1701" t="s">
        <v>839</v>
      </c>
      <c r="B11" s="1022">
        <f ca="1">IF(C11&lt;B2,"已过期",1120100036)</f>
        <v>1120100036</v>
      </c>
      <c r="C11" s="2346">
        <v>44675</v>
      </c>
      <c r="D11" s="2349" t="s">
        <v>839</v>
      </c>
      <c r="E11" s="1022">
        <f ca="1">IF(F11&lt;B2,"已过期",2010110070)</f>
        <v>2010110070</v>
      </c>
      <c r="F11" s="1030">
        <v>47907</v>
      </c>
    </row>
    <row r="12" spans="1:6" ht="24" customHeight="1">
      <c r="A12" s="1701"/>
      <c r="B12" s="1022"/>
      <c r="C12" s="2927"/>
      <c r="D12" s="1701"/>
      <c r="E12" s="1022"/>
      <c r="F12" s="1030"/>
    </row>
    <row r="13" spans="1:6" ht="24" customHeight="1">
      <c r="A13" s="1701" t="s">
        <v>840</v>
      </c>
      <c r="B13" s="1022">
        <f ca="1">IF(C13&lt;B2,"已过期",1120070131)</f>
        <v>1120070131</v>
      </c>
      <c r="C13" s="2346">
        <v>43814</v>
      </c>
      <c r="D13" s="2349" t="s">
        <v>840</v>
      </c>
      <c r="E13" s="1022">
        <f ca="1">IF(F13&lt;B2,"已过期",2014110011)</f>
        <v>2014110011</v>
      </c>
      <c r="F13" s="1030">
        <v>49302</v>
      </c>
    </row>
    <row r="14" spans="1:6" ht="24" customHeight="1">
      <c r="A14" s="1701" t="s">
        <v>3037</v>
      </c>
      <c r="B14" s="1022">
        <f ca="1">IF(C14&lt;B2,"已过期",1120040230)</f>
        <v>1120040230</v>
      </c>
      <c r="C14" s="2346">
        <v>43835</v>
      </c>
      <c r="D14" s="2349" t="s">
        <v>3037</v>
      </c>
      <c r="E14" s="1022">
        <f ca="1">IF(F14&lt;B2,"已过期",98030020)</f>
        <v>98030020</v>
      </c>
      <c r="F14" s="1030">
        <v>47118</v>
      </c>
    </row>
    <row r="15" spans="1:6" ht="24" customHeight="1">
      <c r="A15" s="1702" t="s">
        <v>3038</v>
      </c>
      <c r="B15" s="1022">
        <f ca="1">IF(C15&lt;B2,"已过期",1120070085)</f>
        <v>1120070085</v>
      </c>
      <c r="C15" s="2346">
        <v>43814</v>
      </c>
      <c r="D15" s="2350" t="s">
        <v>3038</v>
      </c>
      <c r="E15" s="1022">
        <f ca="1">IF(F15&lt;B2,"已过期",2004110128)</f>
        <v>2004110128</v>
      </c>
      <c r="F15" s="1023">
        <v>47118</v>
      </c>
    </row>
    <row r="16" spans="1:6" ht="24" customHeight="1">
      <c r="A16" s="1701" t="s">
        <v>3039</v>
      </c>
      <c r="B16" s="1022">
        <f ca="1">IF(C16&lt;B2,"已过期",1120140022)</f>
        <v>1120140022</v>
      </c>
      <c r="C16" s="2927">
        <v>44029</v>
      </c>
      <c r="D16" s="2349" t="s">
        <v>3039</v>
      </c>
      <c r="E16" s="1022">
        <f ca="1">IF(F16&lt;B2,"已过期",2008110059)</f>
        <v>2008110059</v>
      </c>
      <c r="F16" s="1030">
        <v>47177</v>
      </c>
    </row>
    <row r="17" spans="1:7" ht="24" customHeight="1">
      <c r="A17" s="1701"/>
      <c r="B17" s="1022"/>
      <c r="C17" s="2346"/>
      <c r="D17" s="2349" t="s">
        <v>3040</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841</v>
      </c>
      <c r="E21" s="1022">
        <f ca="1">IF(F21&lt;B2,"已过期",2011110090)</f>
        <v>2011110090</v>
      </c>
      <c r="F21" s="1030">
        <v>48302</v>
      </c>
    </row>
    <row r="22" spans="1:7" ht="24" customHeight="1">
      <c r="A22" s="1701" t="s">
        <v>842</v>
      </c>
      <c r="B22" s="1022">
        <f ca="1">IF(C22&lt;B2,"已过期",1120020033)</f>
        <v>1120020033</v>
      </c>
      <c r="C22" s="2927">
        <v>44339</v>
      </c>
      <c r="D22" s="2349" t="s">
        <v>842</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1329</v>
      </c>
      <c r="B24" s="1702" t="s">
        <v>1329</v>
      </c>
      <c r="C24" s="2347" t="s">
        <v>1329</v>
      </c>
      <c r="D24" s="2350" t="s">
        <v>1329</v>
      </c>
      <c r="E24" s="1702" t="s">
        <v>1329</v>
      </c>
      <c r="F24" s="1702" t="s">
        <v>1329</v>
      </c>
    </row>
    <row r="25" spans="1:7" ht="24" customHeight="1">
      <c r="A25" s="3025" t="s">
        <v>843</v>
      </c>
      <c r="B25" s="3025"/>
      <c r="C25" s="3025"/>
      <c r="D25" s="3025"/>
      <c r="E25" s="3025"/>
      <c r="F25" s="3025"/>
      <c r="G25" s="3025"/>
    </row>
    <row r="26" spans="1:7" s="1025" customFormat="1" ht="24" customHeight="1">
      <c r="A26" s="3026" t="s">
        <v>844</v>
      </c>
      <c r="B26" s="3026"/>
      <c r="C26" s="3027"/>
      <c r="D26" s="3028" t="s">
        <v>845</v>
      </c>
      <c r="E26" s="3026"/>
      <c r="F26" s="3026"/>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3044</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88">
      <formula>AND($C28-TODAY()&lt;30,TODAY()&lt;$C28)</formula>
    </cfRule>
  </conditionalFormatting>
  <conditionalFormatting sqref="C28 F4">
    <cfRule type="cellIs" dxfId="205" priority="90" stopIfTrue="1" operator="lessThan">
      <formula>$B$2</formula>
    </cfRule>
  </conditionalFormatting>
  <conditionalFormatting sqref="C5">
    <cfRule type="expression" dxfId="204" priority="85">
      <formula>AND($C5-TODAY()&lt;30,TODAY()&lt;$C5)</formula>
    </cfRule>
  </conditionalFormatting>
  <conditionalFormatting sqref="C5 F5">
    <cfRule type="cellIs" dxfId="203" priority="86" stopIfTrue="1" operator="lessThan">
      <formula>$B$2</formula>
    </cfRule>
  </conditionalFormatting>
  <conditionalFormatting sqref="F6 F8 F10">
    <cfRule type="cellIs" dxfId="202" priority="84" stopIfTrue="1" operator="lessThan">
      <formula>$B$2</formula>
    </cfRule>
  </conditionalFormatting>
  <conditionalFormatting sqref="C4:C11 C13 C23 C17:C21">
    <cfRule type="expression" dxfId="201" priority="82">
      <formula>AND($C4-TODAY()&lt;30,TODAY()&lt;$C4)</formula>
    </cfRule>
  </conditionalFormatting>
  <conditionalFormatting sqref="F7 F9 F11 C4:C11 C13 C23 C17:C21">
    <cfRule type="cellIs" dxfId="200" priority="83" stopIfTrue="1" operator="lessThan">
      <formula>$B$2</formula>
    </cfRule>
  </conditionalFormatting>
  <conditionalFormatting sqref="C18">
    <cfRule type="expression" dxfId="199" priority="72">
      <formula>AND($C18-TODAY()&lt;30,TODAY()&lt;$C18)</formula>
    </cfRule>
  </conditionalFormatting>
  <conditionalFormatting sqref="C18">
    <cfRule type="cellIs" dxfId="198" priority="73" stopIfTrue="1" operator="lessThan">
      <formula>$B$2</formula>
    </cfRule>
  </conditionalFormatting>
  <conditionalFormatting sqref="C20">
    <cfRule type="expression" dxfId="197" priority="70">
      <formula>AND($C20-TODAY()&lt;30,TODAY()&lt;$C20)</formula>
    </cfRule>
  </conditionalFormatting>
  <conditionalFormatting sqref="C20">
    <cfRule type="cellIs" dxfId="196" priority="71" stopIfTrue="1" operator="lessThan">
      <formula>$B$2</formula>
    </cfRule>
  </conditionalFormatting>
  <conditionalFormatting sqref="C17">
    <cfRule type="expression" dxfId="195" priority="64">
      <formula>AND($C17-TODAY()&lt;30,TODAY()&lt;$C17)</formula>
    </cfRule>
  </conditionalFormatting>
  <conditionalFormatting sqref="C17">
    <cfRule type="cellIs" dxfId="194" priority="65" stopIfTrue="1" operator="lessThan">
      <formula>$B$2</formula>
    </cfRule>
  </conditionalFormatting>
  <conditionalFormatting sqref="C19">
    <cfRule type="expression" dxfId="193" priority="62">
      <formula>AND($C19-TODAY()&lt;30,TODAY()&lt;$C19)</formula>
    </cfRule>
  </conditionalFormatting>
  <conditionalFormatting sqref="C19">
    <cfRule type="cellIs" dxfId="192" priority="63" stopIfTrue="1" operator="lessThan">
      <formula>$B$2</formula>
    </cfRule>
  </conditionalFormatting>
  <conditionalFormatting sqref="C21">
    <cfRule type="expression" dxfId="191" priority="60">
      <formula>AND($C21-TODAY()&lt;30,TODAY()&lt;$C21)</formula>
    </cfRule>
  </conditionalFormatting>
  <conditionalFormatting sqref="C21">
    <cfRule type="cellIs" dxfId="190" priority="61" stopIfTrue="1" operator="lessThan">
      <formula>$B$2</formula>
    </cfRule>
  </conditionalFormatting>
  <conditionalFormatting sqref="C23">
    <cfRule type="expression" dxfId="189" priority="58">
      <formula>AND($C23-TODAY()&lt;30,TODAY()&lt;$C23)</formula>
    </cfRule>
  </conditionalFormatting>
  <conditionalFormatting sqref="C23">
    <cfRule type="cellIs" dxfId="188" priority="59" stopIfTrue="1" operator="lessThan">
      <formula>$B$2</formula>
    </cfRule>
  </conditionalFormatting>
  <conditionalFormatting sqref="F18">
    <cfRule type="cellIs" dxfId="187" priority="55" stopIfTrue="1" operator="lessThan">
      <formula>$B$2</formula>
    </cfRule>
  </conditionalFormatting>
  <conditionalFormatting sqref="F22">
    <cfRule type="cellIs" dxfId="186" priority="54" stopIfTrue="1" operator="lessThan">
      <formula>$B$2</formula>
    </cfRule>
  </conditionalFormatting>
  <conditionalFormatting sqref="F21">
    <cfRule type="cellIs" dxfId="185" priority="53" stopIfTrue="1" operator="lessThan">
      <formula>$B$2</formula>
    </cfRule>
  </conditionalFormatting>
  <conditionalFormatting sqref="B4:B11 E4:E11 B17:B23 E18:E23 B13 E13">
    <cfRule type="cellIs" dxfId="184" priority="51" stopIfTrue="1" operator="equal">
      <formula>"已过期"</formula>
    </cfRule>
  </conditionalFormatting>
  <conditionalFormatting sqref="A24:F24">
    <cfRule type="cellIs" dxfId="183" priority="47" stopIfTrue="1" operator="equal">
      <formula>"已过期"</formula>
    </cfRule>
  </conditionalFormatting>
  <conditionalFormatting sqref="F28">
    <cfRule type="expression" dxfId="182" priority="45">
      <formula>AND($E28-TODAY()&lt;30,TODAY()&lt;$E28)</formula>
    </cfRule>
  </conditionalFormatting>
  <conditionalFormatting sqref="F28">
    <cfRule type="cellIs" dxfId="181" priority="46" stopIfTrue="1" operator="lessThan">
      <formula>$B$2</formula>
    </cfRule>
  </conditionalFormatting>
  <conditionalFormatting sqref="F29">
    <cfRule type="expression" dxfId="180" priority="41" stopIfTrue="1">
      <formula>AND($E29-TODAY()&lt;30,TODAY()&lt;$E29)</formula>
    </cfRule>
  </conditionalFormatting>
  <conditionalFormatting sqref="F29">
    <cfRule type="cellIs" dxfId="179" priority="42" stopIfTrue="1" operator="lessThan">
      <formula>$B$2</formula>
    </cfRule>
  </conditionalFormatting>
  <conditionalFormatting sqref="F13">
    <cfRule type="cellIs" dxfId="178" priority="34" stopIfTrue="1" operator="lessThan">
      <formula>$B$2</formula>
    </cfRule>
  </conditionalFormatting>
  <conditionalFormatting sqref="C12">
    <cfRule type="expression" dxfId="177" priority="32">
      <formula>AND($C12-TODAY()&lt;30,TODAY()&lt;$C12)</formula>
    </cfRule>
  </conditionalFormatting>
  <conditionalFormatting sqref="C12">
    <cfRule type="cellIs" dxfId="176" priority="33" stopIfTrue="1" operator="lessThan">
      <formula>$B$2</formula>
    </cfRule>
  </conditionalFormatting>
  <conditionalFormatting sqref="C12">
    <cfRule type="expression" dxfId="175" priority="30">
      <formula>AND($C12-TODAY()&lt;30,TODAY()&lt;$C12)</formula>
    </cfRule>
  </conditionalFormatting>
  <conditionalFormatting sqref="C12">
    <cfRule type="cellIs" dxfId="174" priority="31" stopIfTrue="1" operator="lessThan">
      <formula>$B$2</formula>
    </cfRule>
  </conditionalFormatting>
  <conditionalFormatting sqref="B12">
    <cfRule type="cellIs" dxfId="173" priority="29" stopIfTrue="1" operator="equal">
      <formula>"已过期"</formula>
    </cfRule>
  </conditionalFormatting>
  <conditionalFormatting sqref="E12">
    <cfRule type="cellIs" dxfId="172" priority="28" stopIfTrue="1" operator="equal">
      <formula>"已过期"</formula>
    </cfRule>
  </conditionalFormatting>
  <conditionalFormatting sqref="F12">
    <cfRule type="cellIs" dxfId="171" priority="27" stopIfTrue="1" operator="lessThan">
      <formula>$B$2</formula>
    </cfRule>
  </conditionalFormatting>
  <conditionalFormatting sqref="C22">
    <cfRule type="expression" dxfId="170" priority="25">
      <formula>AND($C22-TODAY()&lt;30,TODAY()&lt;$C22)</formula>
    </cfRule>
  </conditionalFormatting>
  <conditionalFormatting sqref="C22">
    <cfRule type="cellIs" dxfId="169" priority="26" stopIfTrue="1" operator="lessThan">
      <formula>$B$2</formula>
    </cfRule>
  </conditionalFormatting>
  <conditionalFormatting sqref="C22">
    <cfRule type="expression" dxfId="168" priority="23">
      <formula>AND($C22-TODAY()&lt;30,TODAY()&lt;$C22)</formula>
    </cfRule>
  </conditionalFormatting>
  <conditionalFormatting sqref="C22">
    <cfRule type="cellIs" dxfId="167" priority="24" stopIfTrue="1" operator="lessThan">
      <formula>$B$2</formula>
    </cfRule>
  </conditionalFormatting>
  <conditionalFormatting sqref="C16">
    <cfRule type="expression" dxfId="166" priority="21">
      <formula>AND($C16-TODAY()&lt;30,TODAY()&lt;$C16)</formula>
    </cfRule>
  </conditionalFormatting>
  <conditionalFormatting sqref="C16">
    <cfRule type="cellIs" dxfId="165" priority="22" stopIfTrue="1" operator="lessThan">
      <formula>$B$2</formula>
    </cfRule>
  </conditionalFormatting>
  <conditionalFormatting sqref="C16">
    <cfRule type="expression" dxfId="164" priority="19">
      <formula>AND($C16-TODAY()&lt;30,TODAY()&lt;$C16)</formula>
    </cfRule>
  </conditionalFormatting>
  <conditionalFormatting sqref="C16">
    <cfRule type="cellIs" dxfId="163" priority="20" stopIfTrue="1" operator="lessThan">
      <formula>$B$2</formula>
    </cfRule>
  </conditionalFormatting>
  <conditionalFormatting sqref="B16">
    <cfRule type="cellIs" dxfId="162" priority="18" stopIfTrue="1" operator="equal">
      <formula>"已过期"</formula>
    </cfRule>
  </conditionalFormatting>
  <conditionalFormatting sqref="C14:C15">
    <cfRule type="expression" dxfId="161" priority="16">
      <formula>AND($C14-TODAY()&lt;30,TODAY()&lt;$C14)</formula>
    </cfRule>
  </conditionalFormatting>
  <conditionalFormatting sqref="C14:C15">
    <cfRule type="cellIs" dxfId="160" priority="17" stopIfTrue="1" operator="lessThan">
      <formula>$B$2</formula>
    </cfRule>
  </conditionalFormatting>
  <conditionalFormatting sqref="C14">
    <cfRule type="expression" dxfId="159" priority="14">
      <formula>AND($C14-TODAY()&lt;30,TODAY()&lt;$C14)</formula>
    </cfRule>
  </conditionalFormatting>
  <conditionalFormatting sqref="C14">
    <cfRule type="cellIs" dxfId="158" priority="15" stopIfTrue="1" operator="lessThan">
      <formula>$B$2</formula>
    </cfRule>
  </conditionalFormatting>
  <conditionalFormatting sqref="C15">
    <cfRule type="expression" dxfId="157" priority="12">
      <formula>AND($C15-TODAY()&lt;30,TODAY()&lt;$C15)</formula>
    </cfRule>
  </conditionalFormatting>
  <conditionalFormatting sqref="C15">
    <cfRule type="cellIs" dxfId="156" priority="13" stopIfTrue="1" operator="lessThan">
      <formula>$B$2</formula>
    </cfRule>
  </conditionalFormatting>
  <conditionalFormatting sqref="B14">
    <cfRule type="cellIs" dxfId="155" priority="11" stopIfTrue="1" operator="equal">
      <formula>"已过期"</formula>
    </cfRule>
  </conditionalFormatting>
  <conditionalFormatting sqref="B15">
    <cfRule type="cellIs" dxfId="154" priority="10" stopIfTrue="1" operator="equal">
      <formula>"已过期"</formula>
    </cfRule>
  </conditionalFormatting>
  <conditionalFormatting sqref="A15">
    <cfRule type="cellIs" dxfId="153" priority="9" stopIfTrue="1" operator="equal">
      <formula>"已过期"</formula>
    </cfRule>
  </conditionalFormatting>
  <conditionalFormatting sqref="C15">
    <cfRule type="expression" dxfId="152" priority="8">
      <formula>AND($C15-TODAY()&lt;30,TODAY()&lt;$C15)</formula>
    </cfRule>
  </conditionalFormatting>
  <conditionalFormatting sqref="F16">
    <cfRule type="cellIs" dxfId="151" priority="7" stopIfTrue="1" operator="lessThan">
      <formula>$B$2</formula>
    </cfRule>
  </conditionalFormatting>
  <conditionalFormatting sqref="E16 E14">
    <cfRule type="cellIs" dxfId="150" priority="6" stopIfTrue="1" operator="equal">
      <formula>"已过期"</formula>
    </cfRule>
  </conditionalFormatting>
  <conditionalFormatting sqref="E15">
    <cfRule type="cellIs" dxfId="149" priority="5" stopIfTrue="1" operator="equal">
      <formula>"已过期"</formula>
    </cfRule>
  </conditionalFormatting>
  <conditionalFormatting sqref="D15">
    <cfRule type="cellIs" dxfId="148" priority="4" stopIfTrue="1" operator="equal">
      <formula>"已过期"</formula>
    </cfRule>
  </conditionalFormatting>
  <conditionalFormatting sqref="F17">
    <cfRule type="cellIs" dxfId="147" priority="3" stopIfTrue="1" operator="lessThan">
      <formula>$B$2</formula>
    </cfRule>
  </conditionalFormatting>
  <conditionalFormatting sqref="E17">
    <cfRule type="cellIs" dxfId="146" priority="2" stopIfTrue="1" operator="equal">
      <formula>"已过期"</formula>
    </cfRule>
  </conditionalFormatting>
  <conditionalFormatting sqref="F14">
    <cfRule type="cellIs" dxfId="14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面积明细表</vt:lpstr>
      <vt:lpstr>拆分价值表</vt:lpstr>
      <vt:lpstr>结果表</vt:lpstr>
      <vt:lpstr>成本法</vt:lpstr>
      <vt:lpstr>成本法 (元)</vt:lpstr>
      <vt:lpstr>假设开发法</vt:lpstr>
      <vt:lpstr>收益法</vt:lpstr>
      <vt:lpstr>收益法 (元)</vt:lpstr>
      <vt:lpstr>收益法（汇总）</vt:lpstr>
      <vt:lpstr>酒店收入计算</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2019-09-25T02:06:24Z</dcterms:modified>
</cp:coreProperties>
</file>