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1"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C19" i="9"/>
  <c r="F17" i="34"/>
  <c r="AA17" i="34"/>
  <c r="R49" i="34"/>
  <c r="H17" i="34"/>
  <c r="AB17" i="34"/>
  <c r="T49" i="34"/>
  <c r="J17" i="34"/>
  <c r="AC17" i="34"/>
  <c r="V49" i="34"/>
  <c r="R50" i="34"/>
  <c r="C50" i="34"/>
  <c r="B2" i="34"/>
  <c r="D19" i="9"/>
  <c r="G19" i="9"/>
  <c r="C32" i="9"/>
  <c r="H118" i="9"/>
  <c r="I118"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S22" i="31"/>
  <c r="B20" i="31"/>
  <c r="D15" i="74"/>
  <c r="B15" i="74"/>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104" i="31"/>
  <c r="B103"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26" i="31"/>
  <c r="B25" i="31"/>
  <c r="B24" i="31"/>
  <c r="A201" i="31"/>
  <c r="A197" i="31"/>
  <c r="A198" i="31"/>
  <c r="A199" i="31"/>
  <c r="A200" i="31"/>
  <c r="A186" i="31"/>
  <c r="A187" i="31"/>
  <c r="A188" i="31"/>
  <c r="A189" i="31"/>
  <c r="A190" i="31"/>
  <c r="A191" i="31"/>
  <c r="A192" i="31"/>
  <c r="A193" i="31"/>
  <c r="A194" i="31"/>
  <c r="A195" i="31"/>
  <c r="A196" i="31"/>
  <c r="A166" i="31"/>
  <c r="A167" i="31"/>
  <c r="A168" i="31"/>
  <c r="A169" i="31"/>
  <c r="A170" i="31"/>
  <c r="A171" i="31"/>
  <c r="A172" i="31"/>
  <c r="A173" i="31"/>
  <c r="A174" i="31"/>
  <c r="A175" i="31"/>
  <c r="A176" i="31"/>
  <c r="A177" i="31"/>
  <c r="A178" i="31"/>
  <c r="A179" i="31"/>
  <c r="A180" i="31"/>
  <c r="A181" i="31"/>
  <c r="A182" i="31"/>
  <c r="A183" i="31"/>
  <c r="A184" i="31"/>
  <c r="A185"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04" i="31"/>
  <c r="A103" i="31"/>
  <c r="A101" i="31"/>
  <c r="A102" i="31"/>
  <c r="A92" i="31"/>
  <c r="A93" i="31"/>
  <c r="A94" i="31"/>
  <c r="A95" i="31"/>
  <c r="A96" i="31"/>
  <c r="A97" i="31"/>
  <c r="A98" i="31"/>
  <c r="A99" i="31"/>
  <c r="A100" i="31"/>
  <c r="A80" i="31"/>
  <c r="A81" i="31"/>
  <c r="A82" i="31"/>
  <c r="A83" i="31"/>
  <c r="A84" i="31"/>
  <c r="A85" i="31"/>
  <c r="A86" i="31"/>
  <c r="A87" i="31"/>
  <c r="A88" i="31"/>
  <c r="A89" i="31"/>
  <c r="A90" i="31"/>
  <c r="A91" i="31"/>
  <c r="A74" i="31"/>
  <c r="A75" i="31"/>
  <c r="A76" i="31"/>
  <c r="A77" i="31"/>
  <c r="A78" i="31"/>
  <c r="A79" i="31"/>
  <c r="A62" i="31"/>
  <c r="A63" i="31"/>
  <c r="A64" i="31"/>
  <c r="A65" i="31"/>
  <c r="A66" i="31"/>
  <c r="A67" i="31"/>
  <c r="A68" i="31"/>
  <c r="A69" i="31"/>
  <c r="A70" i="31"/>
  <c r="A71" i="31"/>
  <c r="A72" i="31"/>
  <c r="A73" i="31"/>
  <c r="A54" i="31"/>
  <c r="A55" i="31"/>
  <c r="A56" i="31"/>
  <c r="A57" i="31"/>
  <c r="A58" i="31"/>
  <c r="A59" i="31"/>
  <c r="A60" i="31"/>
  <c r="A61" i="31"/>
  <c r="A39" i="31"/>
  <c r="A40" i="31"/>
  <c r="A41" i="31"/>
  <c r="A42" i="31"/>
  <c r="A43" i="31"/>
  <c r="A44" i="31"/>
  <c r="A45" i="31"/>
  <c r="A46" i="31"/>
  <c r="A47" i="31"/>
  <c r="A48" i="31"/>
  <c r="A49" i="31"/>
  <c r="A50" i="31"/>
  <c r="A51" i="31"/>
  <c r="A52" i="31"/>
  <c r="A53" i="31"/>
  <c r="A27" i="31"/>
  <c r="A28" i="31"/>
  <c r="A29" i="31"/>
  <c r="A30" i="31"/>
  <c r="A31" i="31"/>
  <c r="A32" i="31"/>
  <c r="A33" i="31"/>
  <c r="A34" i="31"/>
  <c r="A35" i="31"/>
  <c r="A36" i="31"/>
  <c r="A37" i="31"/>
  <c r="A38" i="31"/>
  <c r="A26" i="31"/>
  <c r="A25" i="31"/>
  <c r="A24" i="31"/>
  <c r="Y6" i="1"/>
  <c r="C37" i="34"/>
  <c r="C34" i="34"/>
  <c r="N6" i="1"/>
  <c r="F19" i="6"/>
  <c r="I13" i="3"/>
  <c r="D180" i="77"/>
  <c r="F6" i="1"/>
  <c r="A6" i="1"/>
  <c r="G1" i="67"/>
  <c r="L48" i="67"/>
  <c r="J51" i="67"/>
  <c r="B24" i="1"/>
  <c r="J53" i="67"/>
  <c r="G1" i="15"/>
  <c r="J50" i="15"/>
  <c r="J51"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C27" i="31"/>
  <c r="E27" i="31"/>
  <c r="C28" i="31"/>
  <c r="E28" i="31"/>
  <c r="C29" i="31"/>
  <c r="E29" i="31"/>
  <c r="C30" i="31"/>
  <c r="E30" i="31"/>
  <c r="C31" i="31"/>
  <c r="E31" i="31"/>
  <c r="C32" i="31"/>
  <c r="E32" i="31"/>
  <c r="C33" i="31"/>
  <c r="E33" i="31"/>
  <c r="C34" i="31"/>
  <c r="E34" i="31"/>
  <c r="C35" i="31"/>
  <c r="E35" i="31"/>
  <c r="C36" i="31"/>
  <c r="E36" i="31"/>
  <c r="C37" i="31"/>
  <c r="E37" i="31"/>
  <c r="C38" i="31"/>
  <c r="E38" i="31"/>
  <c r="C39" i="31"/>
  <c r="E39" i="31"/>
  <c r="C40" i="31"/>
  <c r="E40" i="31"/>
  <c r="C41" i="31"/>
  <c r="E41" i="31"/>
  <c r="C42" i="31"/>
  <c r="E42" i="31"/>
  <c r="C43" i="31"/>
  <c r="E43" i="31"/>
  <c r="C44" i="31"/>
  <c r="E44" i="31"/>
  <c r="C45" i="31"/>
  <c r="E45" i="31"/>
  <c r="C46" i="31"/>
  <c r="E46" i="31"/>
  <c r="C47" i="31"/>
  <c r="E47" i="31"/>
  <c r="C48" i="31"/>
  <c r="E48" i="31"/>
  <c r="C49" i="31"/>
  <c r="E49" i="31"/>
  <c r="C50" i="31"/>
  <c r="E50" i="31"/>
  <c r="C51" i="31"/>
  <c r="E51" i="31"/>
  <c r="C52" i="31"/>
  <c r="E52" i="31"/>
  <c r="C53" i="31"/>
  <c r="E53" i="31"/>
  <c r="C54" i="31"/>
  <c r="E54" i="31"/>
  <c r="C55" i="31"/>
  <c r="E55" i="31"/>
  <c r="C56" i="31"/>
  <c r="E56" i="31"/>
  <c r="C57" i="31"/>
  <c r="E57" i="31"/>
  <c r="C58" i="31"/>
  <c r="E58" i="31"/>
  <c r="C59" i="31"/>
  <c r="E59" i="31"/>
  <c r="C60" i="31"/>
  <c r="E60" i="31"/>
  <c r="C61" i="31"/>
  <c r="E61" i="31"/>
  <c r="C62" i="31"/>
  <c r="E62" i="31"/>
  <c r="C63" i="31"/>
  <c r="E63" i="31"/>
  <c r="C64" i="31"/>
  <c r="E64" i="31"/>
  <c r="C65" i="31"/>
  <c r="E65" i="31"/>
  <c r="C66" i="31"/>
  <c r="E66" i="31"/>
  <c r="C67" i="31"/>
  <c r="E67" i="31"/>
  <c r="C68" i="31"/>
  <c r="E68" i="31"/>
  <c r="C69" i="31"/>
  <c r="E69" i="31"/>
  <c r="C70" i="31"/>
  <c r="E70" i="31"/>
  <c r="C71" i="31"/>
  <c r="E71" i="31"/>
  <c r="C72" i="31"/>
  <c r="E72" i="31"/>
  <c r="C73" i="31"/>
  <c r="E73" i="31"/>
  <c r="C74" i="31"/>
  <c r="E74" i="31"/>
  <c r="C75" i="31"/>
  <c r="E75" i="31"/>
  <c r="C76" i="31"/>
  <c r="E76" i="31"/>
  <c r="C77" i="31"/>
  <c r="E77" i="31"/>
  <c r="C78" i="31"/>
  <c r="E78" i="31"/>
  <c r="C79" i="31"/>
  <c r="E79" i="31"/>
  <c r="C80" i="31"/>
  <c r="E80" i="31"/>
  <c r="C81" i="31"/>
  <c r="E81" i="31"/>
  <c r="C82" i="31"/>
  <c r="E82" i="31"/>
  <c r="C83" i="31"/>
  <c r="E83" i="31"/>
  <c r="C84" i="31"/>
  <c r="E84" i="31"/>
  <c r="C85" i="31"/>
  <c r="E85" i="31"/>
  <c r="C86" i="31"/>
  <c r="E86" i="31"/>
  <c r="C87" i="31"/>
  <c r="E87" i="31"/>
  <c r="C88" i="31"/>
  <c r="E88" i="31"/>
  <c r="C89" i="31"/>
  <c r="E89" i="31"/>
  <c r="C90" i="31"/>
  <c r="E90" i="31"/>
  <c r="C91" i="31"/>
  <c r="E91" i="31"/>
  <c r="C92" i="31"/>
  <c r="E92" i="31"/>
  <c r="C93" i="31"/>
  <c r="E93" i="31"/>
  <c r="C94" i="31"/>
  <c r="E94" i="31"/>
  <c r="C95" i="31"/>
  <c r="E95" i="31"/>
  <c r="C96" i="31"/>
  <c r="E96" i="31"/>
  <c r="C97" i="31"/>
  <c r="E97" i="31"/>
  <c r="C98" i="31"/>
  <c r="E98" i="31"/>
  <c r="C99" i="31"/>
  <c r="E99" i="31"/>
  <c r="C100" i="31"/>
  <c r="E100" i="31"/>
  <c r="C101" i="31"/>
  <c r="E101" i="31"/>
  <c r="C102" i="31"/>
  <c r="E102" i="31"/>
  <c r="C103" i="31"/>
  <c r="E103" i="31"/>
  <c r="C104" i="31"/>
  <c r="E104" i="31"/>
  <c r="C105" i="31"/>
  <c r="E105" i="31"/>
  <c r="C106" i="31"/>
  <c r="E106" i="31"/>
  <c r="C107" i="31"/>
  <c r="E107" i="31"/>
  <c r="C108" i="31"/>
  <c r="E108" i="31"/>
  <c r="C109" i="31"/>
  <c r="E109" i="31"/>
  <c r="C110" i="31"/>
  <c r="E110" i="31"/>
  <c r="C111" i="31"/>
  <c r="E111" i="31"/>
  <c r="C112" i="31"/>
  <c r="E112" i="31"/>
  <c r="C113" i="31"/>
  <c r="E113" i="31"/>
  <c r="C114" i="31"/>
  <c r="E114" i="31"/>
  <c r="C115" i="31"/>
  <c r="E115" i="31"/>
  <c r="C116" i="31"/>
  <c r="E116" i="31"/>
  <c r="C117" i="31"/>
  <c r="E117" i="31"/>
  <c r="C118" i="31"/>
  <c r="E118" i="31"/>
  <c r="C119" i="31"/>
  <c r="E119" i="31"/>
  <c r="C120" i="31"/>
  <c r="E120" i="31"/>
  <c r="C121" i="31"/>
  <c r="E121" i="31"/>
  <c r="C122" i="31"/>
  <c r="E122" i="31"/>
  <c r="C123" i="31"/>
  <c r="E123" i="31"/>
  <c r="C124" i="31"/>
  <c r="E124" i="31"/>
  <c r="C125" i="31"/>
  <c r="E125" i="31"/>
  <c r="C126" i="31"/>
  <c r="E126" i="31"/>
  <c r="C127" i="31"/>
  <c r="E127" i="31"/>
  <c r="C128" i="31"/>
  <c r="E128" i="31"/>
  <c r="C129" i="31"/>
  <c r="E129" i="31"/>
  <c r="C130" i="31"/>
  <c r="E130" i="31"/>
  <c r="C131" i="31"/>
  <c r="E131" i="31"/>
  <c r="C132" i="31"/>
  <c r="E132" i="31"/>
  <c r="C133" i="31"/>
  <c r="E133" i="31"/>
  <c r="C134" i="31"/>
  <c r="E134" i="31"/>
  <c r="C135" i="31"/>
  <c r="E135" i="31"/>
  <c r="C136" i="31"/>
  <c r="E136" i="31"/>
  <c r="C137" i="31"/>
  <c r="E137" i="31"/>
  <c r="C138" i="31"/>
  <c r="E138" i="31"/>
  <c r="C139" i="31"/>
  <c r="E139" i="31"/>
  <c r="C140" i="31"/>
  <c r="E140" i="31"/>
  <c r="C141" i="31"/>
  <c r="E141" i="31"/>
  <c r="C142" i="31"/>
  <c r="E142" i="31"/>
  <c r="C143" i="31"/>
  <c r="E143" i="31"/>
  <c r="C144" i="31"/>
  <c r="E144" i="31"/>
  <c r="C145" i="31"/>
  <c r="E145" i="31"/>
  <c r="C146" i="31"/>
  <c r="E146" i="31"/>
  <c r="C147" i="31"/>
  <c r="E147" i="31"/>
  <c r="C148" i="31"/>
  <c r="E148" i="31"/>
  <c r="C149" i="31"/>
  <c r="E149" i="31"/>
  <c r="C150" i="31"/>
  <c r="E150" i="31"/>
  <c r="C151" i="31"/>
  <c r="E151" i="31"/>
  <c r="C152" i="31"/>
  <c r="E152" i="31"/>
  <c r="C153" i="31"/>
  <c r="E153" i="31"/>
  <c r="C154" i="31"/>
  <c r="E154" i="31"/>
  <c r="C155" i="31"/>
  <c r="E155" i="31"/>
  <c r="C156" i="31"/>
  <c r="E156" i="31"/>
  <c r="C157" i="31"/>
  <c r="E157" i="31"/>
  <c r="C158" i="31"/>
  <c r="E158" i="31"/>
  <c r="C159" i="31"/>
  <c r="E159" i="31"/>
  <c r="C160" i="31"/>
  <c r="E160" i="31"/>
  <c r="C161" i="31"/>
  <c r="E161" i="31"/>
  <c r="C162" i="31"/>
  <c r="E162" i="31"/>
  <c r="C163" i="31"/>
  <c r="E163" i="31"/>
  <c r="C164" i="31"/>
  <c r="E164" i="31"/>
  <c r="C165" i="31"/>
  <c r="E165" i="31"/>
  <c r="C166" i="31"/>
  <c r="E166" i="31"/>
  <c r="C167" i="31"/>
  <c r="E167" i="31"/>
  <c r="C168" i="31"/>
  <c r="E168" i="31"/>
  <c r="C169" i="31"/>
  <c r="E169" i="31"/>
  <c r="C170" i="31"/>
  <c r="E170" i="31"/>
  <c r="C171" i="31"/>
  <c r="E171" i="31"/>
  <c r="C172" i="31"/>
  <c r="E172" i="31"/>
  <c r="C173" i="31"/>
  <c r="E173" i="31"/>
  <c r="C174" i="31"/>
  <c r="E174" i="31"/>
  <c r="C175" i="31"/>
  <c r="E175" i="31"/>
  <c r="C176" i="31"/>
  <c r="E176" i="31"/>
  <c r="C177" i="31"/>
  <c r="E177" i="31"/>
  <c r="C178" i="31"/>
  <c r="E178" i="31"/>
  <c r="C179" i="31"/>
  <c r="E179" i="31"/>
  <c r="C180" i="31"/>
  <c r="E180" i="31"/>
  <c r="C181" i="31"/>
  <c r="E181" i="31"/>
  <c r="C182" i="31"/>
  <c r="E182" i="31"/>
  <c r="C183" i="31"/>
  <c r="E183" i="31"/>
  <c r="C184" i="31"/>
  <c r="E184" i="31"/>
  <c r="C185" i="31"/>
  <c r="E185" i="31"/>
  <c r="C186" i="31"/>
  <c r="E186" i="31"/>
  <c r="C187" i="31"/>
  <c r="E187" i="31"/>
  <c r="C188" i="31"/>
  <c r="E188" i="31"/>
  <c r="C189" i="31"/>
  <c r="E189" i="31"/>
  <c r="C190" i="31"/>
  <c r="E190" i="31"/>
  <c r="C191" i="31"/>
  <c r="E191" i="31"/>
  <c r="C192" i="31"/>
  <c r="E192" i="31"/>
  <c r="C193" i="31"/>
  <c r="E193" i="31"/>
  <c r="C194" i="31"/>
  <c r="E194" i="31"/>
  <c r="C195" i="31"/>
  <c r="E195" i="31"/>
  <c r="C196" i="31"/>
  <c r="E196" i="31"/>
  <c r="C197" i="31"/>
  <c r="E197" i="31"/>
  <c r="C198" i="31"/>
  <c r="E198" i="31"/>
  <c r="C199" i="31"/>
  <c r="E199" i="31"/>
  <c r="C200" i="31"/>
  <c r="E200" i="31"/>
  <c r="C201" i="31"/>
  <c r="E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W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4"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4"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9"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I19" i="6"/>
  <c r="M27" i="6"/>
  <c r="M16" i="1"/>
  <c r="N16" i="1"/>
  <c r="F27" i="11"/>
  <c r="F1" i="67"/>
  <c r="Q52" i="67"/>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D2" i="21"/>
  <c r="B2" i="21"/>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M26" i="15"/>
  <c r="C76" i="15"/>
  <c r="L51" i="15"/>
  <c r="L57" i="15"/>
  <c r="L47" i="15"/>
  <c r="L58" i="15"/>
  <c r="L59" i="15"/>
  <c r="L60" i="15"/>
  <c r="AO6" i="1"/>
  <c r="B12" i="76"/>
  <c r="E11" i="76"/>
  <c r="M29" i="15"/>
  <c r="F7" i="73"/>
  <c r="E10" i="76"/>
  <c r="F16" i="67"/>
  <c r="F36" i="67"/>
  <c r="M22" i="67"/>
  <c r="M6" i="67"/>
  <c r="AO10" i="1"/>
  <c r="AO12" i="1"/>
  <c r="F6" i="73"/>
  <c r="F6" i="67"/>
  <c r="M26" i="67"/>
  <c r="D34" i="9"/>
  <c r="M8" i="67"/>
  <c r="B3" i="21"/>
  <c r="B3" i="34"/>
  <c r="D20" i="9"/>
  <c r="M23" i="67"/>
  <c r="D2" i="37"/>
  <c r="E9" i="76"/>
  <c r="F40" i="67"/>
  <c r="B3" i="15"/>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J1" i="73"/>
  <c r="AA7" i="33"/>
  <c r="R48" i="33"/>
  <c r="C36" i="11"/>
  <c r="C33" i="11"/>
  <c r="C39" i="11"/>
  <c r="C46" i="11"/>
  <c r="C45" i="11"/>
  <c r="C36" i="68"/>
  <c r="C13" i="12"/>
  <c r="C30" i="69"/>
  <c r="C77" i="9"/>
  <c r="C74" i="9"/>
  <c r="C28" i="67"/>
  <c r="C30" i="68"/>
  <c r="H77" i="43"/>
  <c r="H76" i="43"/>
  <c r="H51" i="43"/>
  <c r="H67" i="43"/>
  <c r="H59" i="43"/>
  <c r="H60" i="43"/>
  <c r="H61" i="43"/>
  <c r="M5" i="43"/>
  <c r="N12" i="43"/>
  <c r="N11" i="43"/>
  <c r="M10" i="43"/>
  <c r="M2" i="43"/>
  <c r="M7" i="43"/>
  <c r="H70" i="43"/>
  <c r="H54" i="43"/>
  <c r="N9" i="43"/>
  <c r="M8" i="43"/>
  <c r="N10" i="43"/>
  <c r="H48" i="43"/>
  <c r="H74" i="43"/>
  <c r="M6" i="43"/>
  <c r="N7"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4"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47" i="68"/>
  <c r="D45" i="68"/>
  <c r="C35" i="69"/>
  <c r="C34" i="68"/>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D4" i="73"/>
  <c r="K1" i="73"/>
  <c r="E20" i="43"/>
  <c r="M28" i="43"/>
  <c r="N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D37" i="68"/>
  <c r="C37" i="68"/>
  <c r="C49" i="67"/>
  <c r="C49" i="15"/>
  <c r="C38" i="68"/>
  <c r="C35" i="68"/>
  <c r="C18" i="67"/>
  <c r="C15" i="67"/>
  <c r="F11" i="67"/>
  <c r="M11" i="67"/>
  <c r="J10" i="67"/>
  <c r="J5" i="67"/>
  <c r="G21" i="9"/>
  <c r="Q73" i="67"/>
  <c r="Q60" i="67"/>
  <c r="B2" i="70"/>
  <c r="B3" i="70"/>
  <c r="P28" i="43"/>
  <c r="Q60" i="15"/>
  <c r="Q73" i="15"/>
  <c r="Q74" i="15"/>
  <c r="Q61" i="15"/>
  <c r="Q61" i="67"/>
  <c r="Q74" i="67"/>
  <c r="O28" i="43"/>
  <c r="F22" i="68"/>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C33" i="68"/>
  <c r="C39" i="68"/>
  <c r="J24" i="67"/>
  <c r="J26" i="67"/>
  <c r="J29" i="67"/>
  <c r="C35" i="9"/>
  <c r="F118" i="9"/>
  <c r="C53" i="67"/>
  <c r="C48" i="67"/>
  <c r="C10" i="67"/>
  <c r="C5" i="67"/>
  <c r="J24" i="15"/>
  <c r="C53" i="15"/>
  <c r="C48" i="15"/>
  <c r="F24" i="67"/>
  <c r="C24" i="67"/>
  <c r="F25" i="12"/>
  <c r="C26" i="12"/>
  <c r="D25" i="12"/>
  <c r="F22" i="11"/>
  <c r="C44" i="11"/>
  <c r="D41" i="11"/>
  <c r="F22" i="69"/>
  <c r="C23" i="69"/>
  <c r="F65" i="40"/>
  <c r="G63" i="40"/>
  <c r="AC7"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46" i="68"/>
  <c r="C45" i="68"/>
  <c r="C23" i="68"/>
  <c r="C26" i="68"/>
  <c r="D22" i="68"/>
  <c r="C24" i="68"/>
  <c r="C44" i="68"/>
  <c r="D41" i="68"/>
  <c r="C25" i="68"/>
  <c r="C42" i="68"/>
  <c r="C66" i="15"/>
  <c r="C60" i="15"/>
  <c r="C60" i="67"/>
  <c r="C66" i="67"/>
  <c r="D14" i="74"/>
  <c r="H119" i="9"/>
  <c r="H5" i="52"/>
  <c r="H4" i="52"/>
  <c r="C104" i="9"/>
  <c r="C38" i="67"/>
  <c r="F4" i="52"/>
  <c r="B51" i="72"/>
  <c r="F119" i="9"/>
  <c r="F5" i="52"/>
  <c r="B53" i="72"/>
  <c r="G118" i="9"/>
  <c r="G4" i="52"/>
  <c r="B52" i="72"/>
  <c r="C43" i="68"/>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E49" i="34"/>
  <c r="U7" i="34"/>
  <c r="AB7"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C41" i="68"/>
  <c r="C49" i="68"/>
  <c r="C51" i="68"/>
  <c r="E14" i="74"/>
  <c r="B5" i="74"/>
  <c r="F14" i="74"/>
  <c r="C57" i="67"/>
  <c r="J17" i="67"/>
  <c r="C36" i="67"/>
  <c r="C22" i="68"/>
  <c r="C31" i="68"/>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49" i="34"/>
  <c r="I68" i="39"/>
  <c r="H70" i="39"/>
  <c r="G53" i="34"/>
  <c r="H53" i="34"/>
  <c r="G54" i="34"/>
  <c r="H54" i="34"/>
  <c r="E54" i="34"/>
  <c r="F54" i="34"/>
  <c r="E53" i="34"/>
  <c r="F53" i="34"/>
  <c r="G39" i="43"/>
  <c r="I39" i="43"/>
  <c r="G34" i="43"/>
  <c r="I34" i="43"/>
  <c r="C27" i="43"/>
  <c r="C52" i="68"/>
  <c r="B2" i="68"/>
  <c r="B3" i="68"/>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<sst xmlns="http://schemas.openxmlformats.org/spreadsheetml/2006/main" count="7766" uniqueCount="3318">
  <si>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</si>
  <si>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</si>
  <si>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</si>
  <si>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</si>
  <si>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</si>
  <si>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</si>
  <si>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</si>
  <si>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</si>
  <si>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</si>
  <si>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</si>
  <si>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</si>
  <si>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</si>
  <si>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</si>
  <si>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</si>
  <si>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</si>
  <si>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</si>
  <si>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</si>
  <si>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</si>
  <si>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</si>
  <si>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</si>
  <si>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</si>
  <si>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</si>
  <si>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</si>
  <si>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</si>
  <si>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</si>
  <si>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</si>
  <si>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</si>
  <si>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</si>
  <si>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</si>
  <si>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</si>
  <si>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</si>
  <si>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</si>
  <si>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</si>
  <si>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</si>
  <si>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</si>
  <si>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</si>
  <si>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</si>
  <si>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</si>
  <si>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</si>
  <si>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</si>
  <si>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</si>
  <si>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</si>
  <si>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</si>
  <si>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</si>
  <si>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</si>
  <si>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</si>
  <si>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</si>
  <si>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</si>
  <si>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</si>
  <si>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</si>
  <si>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</si>
  <si>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</si>
  <si>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</si>
  <si>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</si>
  <si>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</si>
  <si>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</si>
  <si>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</si>
  <si>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</si>
  <si>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</si>
  <si>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</si>
  <si>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</si>
  <si>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</si>
  <si>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</si>
  <si>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</si>
  <si>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</si>
  <si>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</si>
  <si>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</si>
  <si>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</si>
  <si>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</si>
  <si>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</si>
  <si>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</si>
  <si>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</si>
  <si>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</si>
  <si>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</si>
  <si>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</si>
  <si>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</si>
  <si>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</si>
  <si>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</si>
  <si>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</si>
  <si>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</si>
  <si>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</si>
  <si>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</si>
  <si>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</si>
  <si>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</si>
  <si>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</si>
  <si>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</si>
  <si>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</si>
  <si>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</si>
  <si>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</si>
  <si>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</si>
  <si>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</si>
  <si>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</si>
  <si>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</si>
  <si>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</si>
  <si>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</si>
  <si>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</si>
  <si>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</si>
  <si>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</si>
  <si>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</si>
  <si>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</si>
  <si>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</si>
  <si>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</si>
  <si>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</si>
  <si>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</si>
  <si>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</si>
  <si>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</si>
  <si>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</si>
  <si>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</si>
  <si>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</si>
  <si>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</si>
  <si>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</si>
  <si>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</si>
  <si>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</si>
  <si>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</si>
  <si>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</si>
  <si>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</si>
  <si>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</si>
  <si>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</si>
  <si>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</si>
  <si>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</si>
  <si>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</si>
  <si>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</si>
  <si>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</si>
  <si>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</si>
  <si>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</si>
  <si>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</si>
  <si>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</si>
  <si>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</si>
  <si>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</si>
  <si>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</si>
  <si>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</si>
  <si>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</si>
  <si>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</si>
  <si>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</si>
  <si>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</si>
  <si>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</si>
  <si>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</si>
  <si>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</si>
  <si>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</si>
  <si>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</si>
  <si>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</si>
  <si>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</si>
  <si>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</si>
  <si>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</si>
  <si>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</si>
  <si>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</si>
  <si>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</si>
  <si>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</si>
  <si>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</si>
  <si>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</si>
  <si>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</si>
  <si>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</si>
  <si>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</si>
  <si>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</si>
  <si>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</si>
  <si>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</si>
  <si>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</si>
  <si>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</si>
  <si>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</si>
  <si>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</si>
  <si>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</si>
  <si>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</si>
  <si>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</si>
  <si>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</si>
  <si>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</si>
  <si>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</si>
  <si>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</si>
  <si>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</si>
  <si>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</si>
  <si>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</si>
  <si>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</si>
  <si>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</si>
  <si>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</si>
  <si>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</si>
  <si>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</si>
  <si>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</si>
  <si>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</si>
  <si>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</si>
  <si>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</si>
  <si>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</si>
  <si>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</si>
  <si>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</si>
  <si>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</si>
  <si>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</si>
  <si>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</si>
  <si>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</si>
  <si>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</si>
  <si>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</si>
  <si>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</si>
  <si>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</si>
  <si>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</si>
  <si>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</si>
  <si>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</si>
  <si>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</si>
  <si>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</si>
  <si>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</si>
  <si>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</si>
  <si>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</si>
  <si>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</si>
  <si>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</si>
  <si>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</si>
  <si>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</si>
  <si>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</si>
  <si>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</si>
  <si>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</si>
  <si>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</si>
  <si>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</si>
  <si>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</si>
  <si>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</si>
  <si>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</si>
  <si>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</si>
  <si>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</si>
  <si>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</si>
  <si>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</si>
  <si>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</si>
  <si>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</si>
  <si>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</si>
  <si>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</si>
  <si>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</si>
  <si>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</si>
  <si>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</si>
  <si>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</si>
  <si>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</si>
  <si>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</si>
  <si>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</si>
  <si>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</si>
  <si>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</si>
  <si>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</si>
  <si>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</si>
  <si>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</si>
  <si>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</si>
  <si>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</si>
  <si>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</si>
  <si>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</si>
  <si>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</si>
  <si>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</si>
  <si>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</si>
  <si>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</si>
  <si>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</si>
  <si>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</si>
  <si>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</si>
  <si>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</si>
  <si>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</si>
  <si>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</si>
  <si>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</si>
  <si>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</si>
  <si>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</si>
  <si>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</si>
  <si>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</si>
  <si>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</si>
  <si>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</si>
  <si>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</si>
  <si>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</si>
  <si>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</si>
  <si>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</si>
  <si>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</si>
  <si>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</si>
  <si>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</si>
  <si>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</si>
  <si>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</si>
  <si>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</si>
  <si>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</si>
  <si>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</si>
  <si>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</si>
  <si>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</si>
  <si>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</si>
  <si>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</si>
  <si>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</si>
  <si>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</si>
  <si>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</si>
  <si>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</si>
  <si>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</si>
  <si>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</si>
  <si>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</si>
  <si>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</si>
  <si>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</si>
  <si>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</si>
  <si>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</si>
  <si>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</si>
  <si>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</si>
  <si>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</si>
  <si>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</si>
  <si>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</si>
  <si>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</si>
  <si>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</si>
  <si>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</si>
  <si>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</si>
  <si>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</si>
  <si>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</si>
  <si>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</si>
  <si>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</si>
  <si>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</si>
  <si>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</si>
  <si>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</si>
  <si>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</si>
  <si>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</si>
  <si>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</si>
  <si>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</si>
  <si>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</si>
  <si>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</si>
  <si>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</si>
  <si>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</si>
  <si>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</si>
  <si>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</si>
  <si>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</si>
  <si>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</si>
  <si>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</si>
  <si>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</si>
  <si>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</si>
  <si>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</si>
  <si>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</si>
  <si>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</si>
  <si>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</si>
  <si>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</si>
  <si>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</si>
  <si>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</si>
  <si>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</si>
  <si>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</si>
  <si>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</si>
  <si>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</si>
  <si>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</si>
  <si>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</si>
  <si>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</si>
  <si>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</si>
  <si>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</si>
  <si>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</si>
  <si>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</si>
  <si>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</si>
  <si>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</si>
  <si>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</si>
  <si>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</si>
  <si>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</si>
  <si>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</si>
  <si>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</si>
  <si>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</si>
  <si>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</si>
  <si>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</si>
  <si>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</si>
  <si>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</si>
  <si>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</si>
  <si>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</si>
  <si>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</si>
  <si>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</si>
  <si>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</si>
  <si>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</si>
  <si>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</si>
  <si>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</si>
  <si>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</si>
  <si>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</si>
  <si>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</si>
  <si>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</si>
  <si>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</si>
  <si>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</si>
  <si>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</si>
  <si>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</si>
  <si>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</si>
  <si>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</si>
  <si>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</si>
  <si>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</si>
  <si>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</si>
  <si>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</si>
  <si>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</si>
  <si>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</si>
  <si>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</si>
  <si>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</si>
  <si>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</si>
  <si>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</si>
  <si>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</si>
  <si>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</si>
  <si>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</si>
  <si>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</si>
  <si>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</si>
  <si>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</si>
  <si>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</si>
  <si>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</si>
  <si>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</si>
  <si>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</si>
  <si>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</si>
  <si>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</si>
  <si>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</si>
  <si>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</si>
  <si>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</si>
  <si>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</si>
  <si>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</si>
  <si>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</si>
  <si>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</si>
  <si>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</si>
  <si>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</si>
  <si>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</si>
  <si>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</si>
  <si>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</si>
  <si>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</si>
  <si>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</si>
  <si>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</si>
  <si>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</si>
  <si>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</si>
  <si>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</si>
  <si>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</si>
  <si>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</si>
  <si>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</si>
  <si>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</si>
  <si>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</si>
  <si>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</si>
  <si>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</si>
  <si>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</si>
  <si>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</si>
  <si>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</si>
  <si>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</si>
  <si>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</si>
  <si>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</si>
  <si>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</si>
  <si>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</si>
  <si>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</si>
  <si>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</si>
  <si>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</si>
  <si>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</si>
  <si>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</si>
  <si>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</si>
  <si>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</si>
  <si>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</si>
  <si>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</si>
  <si>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</si>
  <si>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</si>
  <si>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</si>
  <si>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</si>
  <si>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</si>
  <si>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</si>
  <si>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</si>
  <si>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</si>
  <si>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</si>
  <si>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</si>
  <si>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</si>
  <si>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</si>
  <si>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</si>
  <si>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</si>
  <si>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</si>
  <si>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</si>
  <si>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</si>
  <si>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</si>
  <si>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</si>
  <si>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</si>
  <si>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</si>
  <si>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</si>
  <si>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</si>
  <si>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</si>
  <si>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</si>
  <si>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</si>
  <si>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</si>
  <si>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</si>
  <si>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</si>
  <si>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</si>
  <si>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</si>
  <si>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</si>
  <si>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</si>
  <si>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</si>
  <si>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</si>
  <si>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</si>
  <si>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</si>
  <si>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</si>
  <si>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</si>
  <si>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</si>
  <si>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</si>
  <si>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</si>
  <si>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</si>
  <si>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</si>
  <si>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</si>
  <si>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</si>
  <si>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</si>
  <si>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</si>
  <si>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</si>
  <si>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</si>
  <si>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</si>
  <si>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</si>
  <si>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</si>
  <si>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</si>
  <si>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</si>
  <si>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</si>
  <si>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</si>
  <si>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</si>
  <si>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</si>
  <si>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</si>
  <si>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</si>
  <si>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</si>
  <si>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</si>
  <si>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</si>
  <si>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</si>
  <si>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</si>
  <si>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</si>
  <si>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</si>
  <si>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</si>
  <si>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</si>
  <si>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</si>
  <si>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</si>
  <si>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</si>
  <si>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</si>
  <si>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</si>
  <si>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</si>
  <si>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</si>
  <si>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</si>
  <si>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</si>
  <si>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</si>
  <si>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</si>
  <si>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</si>
  <si>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</si>
  <si>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</si>
  <si>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</si>
  <si>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</si>
  <si>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</si>
  <si>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</si>
  <si>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</si>
  <si>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</si>
  <si>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</si>
  <si>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</si>
  <si>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</si>
  <si>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</si>
  <si>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</si>
  <si>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</si>
  <si>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</si>
  <si>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</si>
  <si>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</si>
  <si>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</si>
  <si>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</si>
  <si>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</si>
  <si>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</si>
  <si>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</si>
  <si>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</si>
  <si>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</si>
  <si>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</si>
  <si>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</si>
  <si>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</si>
  <si>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</si>
  <si>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</si>
  <si>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</si>
  <si>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</si>
  <si>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</si>
  <si>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</si>
  <si>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</si>
  <si>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</si>
  <si>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</si>
  <si>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</si>
  <si>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</si>
  <si>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</si>
  <si>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</si>
  <si>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</si>
  <si>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</si>
  <si>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</si>
  <si>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</si>
  <si>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</si>
  <si>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</si>
  <si>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</si>
  <si>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</si>
  <si>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</si>
  <si>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</si>
  <si>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</si>
  <si>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</si>
  <si>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</si>
  <si>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</si>
  <si>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</si>
  <si>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</si>
  <si>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</si>
  <si>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</si>
  <si>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</si>
  <si>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</si>
  <si>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</si>
  <si>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</si>
  <si>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</si>
  <si>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</si>
  <si>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</si>
  <si>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</si>
  <si>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</si>
  <si>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</si>
  <si>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</si>
  <si>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</si>
  <si>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</si>
  <si>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</si>
  <si>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</si>
  <si>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</si>
  <si>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</si>
  <si>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</si>
  <si>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</si>
  <si>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</si>
  <si>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</si>
  <si>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</si>
  <si>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</si>
  <si>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</si>
  <si>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</si>
  <si>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</si>
  <si>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</si>
  <si>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</si>
  <si>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</si>
  <si>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</si>
  <si>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</si>
  <si>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</si>
  <si>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</si>
  <si>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</si>
  <si>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</si>
  <si>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</si>
  <si>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</si>
  <si>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</si>
  <si>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</si>
  <si>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</si>
  <si>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</si>
  <si>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</si>
  <si>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</si>
  <si>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</si>
  <si>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</si>
  <si>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</si>
  <si>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</si>
  <si>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</si>
  <si>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</si>
  <si>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</si>
  <si>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</si>
  <si>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</si>
  <si>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</si>
  <si>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</si>
  <si>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</si>
  <si>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</si>
  <si>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</si>
  <si>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</si>
  <si>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</si>
  <si>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</si>
  <si>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</si>
  <si>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</si>
  <si>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</si>
  <si>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</si>
  <si>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</si>
  <si>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</si>
  <si>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</si>
  <si>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</si>
  <si>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</si>
  <si>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</si>
  <si>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</si>
  <si>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</si>
  <si>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</si>
  <si>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</si>
  <si>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</si>
  <si>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</si>
  <si>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</si>
  <si>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</si>
  <si>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</si>
  <si>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</si>
  <si>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</si>
  <si>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</si>
  <si>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</si>
  <si>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</si>
  <si>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</si>
  <si>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</si>
  <si>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</si>
  <si>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</si>
  <si>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</si>
  <si>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</si>
  <si>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</si>
  <si>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</si>
  <si>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</si>
  <si>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</si>
  <si>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</si>
  <si>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</si>
  <si>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</si>
  <si>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</si>
  <si>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</si>
  <si>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</si>
  <si>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</si>
  <si>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</si>
  <si>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</si>
  <si>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</si>
  <si>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</si>
  <si>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</si>
  <si>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</si>
  <si>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</si>
  <si>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</si>
  <si>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</si>
  <si>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</si>
  <si>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</si>
  <si>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</si>
  <si>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</si>
  <si>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</si>
  <si>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</si>
  <si>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</si>
  <si>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</si>
  <si>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</si>
  <si>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</si>
  <si>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</si>
  <si>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</si>
  <si>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</si>
  <si>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</si>
  <si>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</si>
  <si>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</si>
  <si>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</si>
  <si>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</si>
  <si>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</si>
  <si>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</si>
  <si>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</si>
  <si>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</si>
  <si>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</si>
  <si>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</si>
  <si>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</si>
  <si>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</si>
  <si>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</si>
  <si>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</si>
  <si>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</si>
  <si>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</si>
  <si>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</si>
  <si>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</si>
  <si>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</si>
  <si>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</si>
  <si>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</si>
  <si>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</si>
  <si>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</si>
  <si>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</si>
  <si>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</si>
  <si>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</si>
  <si>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</si>
  <si>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</si>
  <si>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</si>
  <si>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</si>
  <si>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</si>
  <si>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</si>
  <si>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</si>
  <si>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</si>
  <si>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</si>
  <si>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</si>
  <si>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</si>
  <si>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</si>
  <si>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</si>
  <si>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</si>
  <si>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</si>
  <si>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</si>
  <si>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</si>
  <si>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</si>
  <si>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</si>
  <si>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</si>
  <si>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</si>
  <si>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</si>
  <si>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</si>
  <si>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</si>
  <si>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</si>
  <si>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</si>
  <si>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</si>
  <si>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</si>
  <si>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</si>
  <si>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</si>
  <si>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</si>
  <si>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</si>
  <si>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</si>
  <si>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</si>
  <si>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</si>
  <si>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</si>
  <si>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</si>
  <si>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</si>
  <si>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</si>
  <si>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</si>
  <si>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</si>
  <si>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</si>
  <si>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</si>
  <si>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</si>
  <si>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</si>
  <si>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</si>
  <si>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</si>
  <si>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</si>
  <si>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</si>
  <si>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</si>
  <si>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</si>
  <si>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</si>
  <si>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</si>
  <si>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</si>
  <si>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</si>
  <si>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</si>
  <si>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</si>
  <si>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</si>
  <si>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</si>
  <si>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</si>
  <si>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</si>
  <si>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</si>
  <si>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</si>
  <si>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</si>
  <si>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</si>
  <si>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</si>
  <si>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</si>
  <si>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</si>
  <si>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</si>
  <si>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</si>
  <si>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</si>
  <si>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</si>
  <si>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</si>
  <si>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</si>
  <si>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</si>
  <si>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</si>
  <si>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</si>
  <si>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</si>
  <si>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</si>
  <si>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</si>
  <si>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</si>
  <si>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</si>
  <si>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</si>
  <si>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</si>
  <si>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</si>
  <si>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</si>
  <si>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</si>
  <si>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</si>
  <si>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</si>
  <si>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</si>
  <si>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</si>
  <si>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</si>
  <si>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</si>
  <si>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</si>
  <si>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</si>
  <si>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</si>
  <si>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</si>
  <si>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</si>
  <si>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</si>
  <si>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</si>
  <si>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</si>
  <si>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</si>
  <si>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</si>
  <si>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</si>
  <si>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</si>
  <si>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</si>
  <si>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</si>
  <si>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</si>
  <si>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</si>
  <si>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</si>
  <si>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</si>
  <si>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</si>
  <si>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</si>
  <si>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</si>
  <si>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</si>
  <si>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</si>
  <si>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</si>
  <si>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</si>
  <si>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</si>
  <si>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</si>
  <si>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</si>
  <si>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</si>
  <si>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</si>
  <si>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</si>
  <si>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</si>
  <si>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</si>
  <si>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</si>
  <si>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</si>
  <si>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</si>
  <si>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</si>
  <si>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</si>
  <si>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</si>
  <si>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</si>
  <si>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</si>
  <si>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</si>
  <si>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</si>
  <si>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</si>
  <si>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</si>
  <si>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</si>
  <si>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</si>
  <si>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</si>
  <si>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</si>
  <si>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</si>
  <si>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</si>
  <si>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</si>
  <si>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</si>
  <si>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</si>
  <si>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</si>
  <si>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</si>
  <si>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</si>
  <si>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</si>
  <si>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</si>
  <si>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</si>
  <si>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</si>
  <si>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</si>
  <si>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</si>
  <si>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</si>
  <si>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</si>
  <si>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</si>
  <si>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</si>
  <si>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</si>
  <si>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</si>
  <si>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</si>
  <si>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</si>
  <si>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</si>
  <si>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</si>
  <si>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</si>
  <si>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</si>
  <si>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</si>
  <si>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</si>
  <si>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</si>
  <si>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</si>
  <si>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</si>
  <si>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</si>
  <si>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</si>
  <si>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</si>
  <si>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</si>
  <si>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</si>
  <si>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</si>
  <si>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</si>
  <si>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</si>
  <si>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</si>
  <si>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</si>
  <si>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</si>
  <si>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</si>
  <si>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</si>
  <si>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</si>
  <si>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</si>
  <si>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</si>
  <si>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</si>
  <si>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</si>
  <si>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</si>
  <si>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</si>
  <si>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</si>
  <si>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</si>
  <si>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</si>
  <si>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</si>
  <si>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</si>
  <si>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</si>
  <si>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</si>
  <si>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</si>
  <si>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</si>
  <si>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</si>
  <si>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</si>
  <si>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</si>
  <si>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</si>
  <si>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</si>
  <si>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</si>
  <si>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</si>
  <si>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</si>
  <si>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</si>
  <si>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</si>
  <si>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</si>
  <si>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</si>
  <si>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</si>
  <si>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</si>
  <si>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</si>
  <si>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</si>
  <si>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</si>
  <si>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</si>
  <si>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</si>
  <si>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</si>
  <si>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</si>
  <si>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</si>
  <si>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</si>
  <si>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</si>
  <si>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</si>
  <si>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</si>
  <si>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</si>
  <si>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</si>
  <si>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</si>
  <si>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</si>
  <si>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</si>
  <si>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</si>
  <si>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</si>
  <si>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</si>
  <si>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</si>
  <si>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</si>
  <si>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</si>
  <si>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</si>
  <si>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</si>
  <si>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</si>
  <si>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</si>
  <si>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</si>
  <si>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</si>
  <si>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</si>
  <si>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</si>
  <si>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</si>
  <si>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</si>
  <si>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</si>
  <si>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</si>
  <si>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</si>
  <si>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</si>
  <si>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</si>
  <si>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</si>
  <si>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</si>
  <si>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</si>
  <si>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</si>
  <si>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</si>
  <si>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</si>
  <si>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</si>
  <si>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</si>
  <si>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</si>
  <si>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</si>
  <si>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</si>
  <si>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</si>
  <si>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</si>
  <si>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</si>
  <si>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</si>
  <si>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</si>
  <si>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</si>
  <si>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</si>
  <si>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</si>
  <si>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</si>
  <si>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</si>
  <si>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</si>
  <si>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</si>
  <si>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</si>
  <si>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</si>
  <si>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</si>
  <si>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</si>
  <si>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</si>
  <si>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</si>
  <si>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</si>
  <si>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</si>
  <si>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</si>
  <si>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</si>
  <si>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</si>
  <si>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</si>
  <si>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</si>
  <si>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</si>
  <si>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</si>
  <si>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</si>
  <si>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</si>
  <si>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</si>
  <si>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</si>
  <si>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</si>
  <si>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</si>
  <si>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</si>
  <si>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</si>
  <si>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</si>
  <si>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</si>
  <si>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</si>
  <si>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</si>
  <si>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</si>
  <si>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</si>
  <si>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</si>
  <si>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</si>
  <si>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</si>
  <si>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</si>
  <si>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</si>
  <si>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</si>
  <si>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</si>
  <si>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</si>
  <si>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</si>
  <si>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</si>
  <si>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</si>
  <si>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</si>
  <si>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</si>
  <si>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</si>
  <si>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</si>
  <si>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</si>
  <si>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</si>
  <si>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</si>
  <si>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</si>
  <si>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</si>
  <si>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</si>
  <si>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</si>
  <si>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</si>
  <si>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</si>
  <si>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</si>
  <si>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</si>
  <si>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</si>
  <si>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</si>
  <si>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</si>
  <si>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</si>
  <si>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</si>
  <si>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</si>
  <si>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</si>
  <si>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</si>
  <si>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</si>
  <si>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</si>
  <si>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</si>
  <si>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</si>
  <si>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</si>
  <si>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</si>
  <si>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</si>
  <si>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</si>
  <si>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</si>
  <si>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</si>
  <si>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</si>
  <si>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</si>
  <si>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</si>
  <si>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</si>
  <si>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</si>
  <si>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</si>
  <si>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</si>
  <si>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</si>
  <si>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</si>
  <si>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</si>
  <si>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</si>
  <si>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</si>
  <si>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</si>
  <si>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</si>
  <si>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</si>
  <si>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</si>
  <si>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</si>
  <si>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</si>
  <si>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</si>
  <si>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</si>
  <si>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</si>
  <si>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</si>
  <si>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</si>
  <si>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</si>
  <si>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</si>
  <si>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</si>
  <si>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</si>
  <si>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</si>
  <si>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</si>
  <si>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</si>
  <si>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</si>
  <si>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</si>
  <si>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</si>
  <si>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</si>
  <si>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</si>
  <si>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</si>
  <si>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</si>
  <si>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</si>
  <si>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</si>
  <si>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</si>
  <si>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</si>
  <si>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</si>
  <si>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</si>
  <si>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</si>
  <si>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</si>
  <si>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</si>
  <si>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</si>
  <si>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</si>
  <si>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</si>
  <si>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</si>
  <si>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</si>
  <si>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</si>
  <si>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</si>
  <si>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</si>
  <si>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</si>
  <si>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</si>
  <si>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</si>
  <si>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</si>
  <si>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</si>
  <si>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</si>
  <si>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</si>
  <si>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</si>
  <si>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</si>
  <si>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</si>
  <si>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</si>
  <si>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</si>
  <si>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</si>
  <si>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</si>
  <si>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</si>
  <si>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</si>
  <si>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</si>
  <si>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</si>
  <si>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</si>
  <si>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</si>
  <si>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</si>
  <si>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</si>
  <si>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</si>
  <si>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</si>
  <si>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</si>
  <si>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</si>
  <si>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</si>
  <si>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</si>
  <si>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</si>
  <si>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</si>
  <si>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</si>
  <si>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</si>
  <si>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</si>
  <si>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</si>
  <si>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</si>
  <si>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</si>
  <si>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</si>
  <si>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</si>
  <si>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</si>
  <si>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</si>
  <si>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</si>
  <si>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</si>
  <si>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</si>
  <si>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</si>
  <si>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</si>
  <si>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</si>
  <si>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</si>
  <si>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</si>
  <si>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</si>
  <si>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</si>
  <si>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</si>
  <si>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</si>
  <si>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</si>
  <si>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</si>
  <si>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</si>
  <si>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</si>
  <si>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</si>
  <si>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</si>
  <si>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</si>
  <si>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</si>
  <si>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</si>
  <si>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</si>
  <si>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</si>
  <si>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</si>
  <si>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</si>
  <si>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</si>
  <si>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</si>
  <si>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</si>
  <si>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</si>
  <si>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</si>
  <si>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</si>
  <si>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</si>
  <si>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</si>
  <si>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</si>
  <si>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</si>
  <si>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</si>
  <si>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</si>
  <si>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</si>
  <si>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</si>
  <si>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</si>
  <si>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</si>
  <si>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</si>
  <si>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</si>
  <si>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</si>
  <si>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</si>
  <si>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</si>
  <si>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</si>
  <si>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</si>
  <si>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</si>
  <si>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</si>
  <si>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</si>
  <si>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</si>
  <si>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</si>
  <si>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</si>
  <si>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</si>
  <si>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</si>
  <si>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</si>
  <si>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</si>
  <si>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</si>
  <si>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</si>
  <si>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</si>
  <si>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</si>
  <si>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</si>
  <si>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</si>
  <si>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</si>
  <si>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</si>
  <si>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</si>
  <si>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</si>
  <si>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</si>
  <si>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</si>
  <si>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</si>
  <si>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</si>
  <si>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</si>
  <si>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</si>
  <si>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</si>
  <si>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</si>
  <si>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</si>
  <si>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</si>
  <si>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</si>
  <si>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</si>
  <si>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</si>
  <si>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</si>
  <si>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</si>
  <si>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</si>
  <si>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</si>
  <si>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</si>
  <si>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</si>
  <si>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</si>
  <si>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</si>
  <si>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</si>
  <si>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</si>
  <si>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</si>
  <si>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</si>
  <si>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</si>
  <si>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</si>
  <si>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</si>
  <si>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</si>
  <si>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</si>
  <si>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</si>
  <si>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</si>
  <si>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</si>
  <si>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</si>
  <si>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</si>
  <si>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</si>
  <si>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</si>
  <si>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</si>
  <si>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</si>
  <si>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</si>
  <si>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</si>
  <si>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</si>
  <si>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</si>
  <si>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</si>
  <si>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</si>
  <si>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</si>
  <si>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</si>
  <si>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</si>
  <si>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</si>
  <si>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</si>
  <si>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</si>
  <si>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</si>
  <si>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</si>
  <si>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</si>
  <si>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</si>
  <si>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</si>
  <si>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</si>
  <si>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</si>
  <si>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</si>
  <si>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</si>
  <si>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</si>
  <si>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</si>
  <si>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</si>
  <si>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</si>
  <si>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</si>
  <si>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</si>
  <si>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</si>
  <si>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</si>
  <si>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</si>
  <si>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</si>
  <si>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</si>
  <si>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</si>
  <si>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</si>
  <si>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</si>
  <si>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</si>
  <si>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</si>
  <si>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</si>
  <si>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</si>
  <si>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</si>
  <si>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</si>
  <si>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</si>
  <si>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</si>
  <si>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</si>
  <si>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</si>
  <si>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</si>
  <si>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</si>
  <si>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</si>
  <si>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</si>
  <si>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</si>
  <si>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</si>
  <si>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</si>
  <si>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</si>
  <si>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</si>
  <si>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</si>
  <si>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</si>
  <si>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</si>
  <si>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</si>
  <si>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</si>
  <si>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</si>
  <si>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</si>
  <si>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</si>
  <si>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</si>
  <si>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</si>
  <si>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</si>
  <si>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</si>
  <si>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</si>
  <si>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</si>
  <si>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</si>
  <si>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</si>
  <si>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</si>
  <si>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</si>
  <si>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</si>
  <si>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</si>
  <si>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</si>
  <si>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</si>
  <si>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</si>
  <si>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</si>
  <si>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</si>
  <si>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</si>
  <si>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</si>
  <si>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</si>
  <si>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</si>
  <si>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</si>
  <si>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</si>
  <si>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</si>
  <si>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</si>
  <si>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</si>
  <si>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</si>
  <si>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</si>
  <si>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</si>
  <si>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</si>
  <si>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</si>
  <si>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</si>
  <si>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</si>
  <si>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</si>
  <si>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</si>
  <si>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</si>
  <si>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</si>
  <si>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</si>
  <si>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</si>
  <si>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</si>
  <si>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</si>
  <si>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</si>
  <si>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</si>
  <si>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</si>
  <si>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</si>
  <si>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</si>
  <si>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</si>
  <si>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</si>
  <si>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</si>
  <si>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</si>
  <si>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</si>
  <si>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</si>
  <si>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</si>
  <si>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</si>
  <si>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</si>
  <si>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</si>
  <si>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</si>
  <si>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</si>
  <si>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</si>
  <si>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</si>
  <si>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</si>
  <si>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</si>
  <si>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</si>
  <si>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</si>
  <si>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</si>
  <si>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</si>
  <si>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</si>
  <si>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</si>
  <si>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</si>
  <si>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</si>
  <si>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</si>
  <si>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</si>
  <si>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</si>
  <si>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</si>
  <si>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</si>
  <si>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</si>
  <si>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</si>
  <si>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</si>
  <si>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</si>
  <si>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</si>
  <si>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</si>
  <si>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</si>
  <si>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</si>
  <si>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</si>
  <si>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</si>
  <si>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</si>
  <si>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</si>
  <si>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</si>
  <si>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</si>
  <si>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</si>
  <si>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</si>
  <si>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</si>
  <si>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</si>
  <si>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</si>
  <si>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</si>
  <si>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</si>
  <si>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</si>
  <si>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</si>
  <si>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</si>
  <si>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</si>
  <si>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</si>
  <si>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</si>
  <si>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</si>
  <si>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</si>
  <si>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</si>
  <si>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</si>
  <si>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</si>
  <si>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</si>
  <si>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</si>
  <si>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</si>
  <si>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</si>
  <si>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</si>
  <si>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</si>
  <si>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</si>
  <si>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</si>
  <si>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</si>
  <si>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</si>
  <si>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</si>
  <si>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</si>
  <si>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</si>
  <si>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</si>
  <si>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</si>
  <si>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</si>
  <si>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</si>
  <si>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</si>
  <si>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</si>
  <si>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</si>
  <si>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</si>
  <si>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</si>
  <si>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</si>
  <si>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</si>
  <si>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</si>
  <si>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</si>
  <si>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</si>
  <si>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</si>
  <si>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</si>
  <si>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</si>
  <si>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</si>
  <si>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</si>
  <si>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</si>
  <si>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</si>
  <si>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</si>
  <si>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</si>
  <si>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</si>
  <si>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</si>
  <si>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</si>
  <si>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</si>
  <si>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</si>
  <si>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</si>
  <si>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</si>
  <si>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</si>
  <si>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</si>
  <si>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</si>
  <si>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</si>
  <si>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</si>
  <si>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</si>
  <si>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</si>
  <si>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</si>
  <si>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</si>
  <si>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</si>
  <si>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</si>
  <si>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</si>
  <si>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</si>
  <si>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</si>
  <si>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</si>
  <si>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</si>
  <si>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</si>
  <si>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</si>
  <si>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</si>
  <si>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</si>
  <si>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</si>
  <si>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</si>
  <si>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</si>
  <si>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</si>
  <si>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</si>
  <si>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</si>
  <si>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</si>
  <si>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</si>
  <si>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</si>
  <si>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</si>
  <si>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</si>
  <si>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</si>
  <si>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</si>
  <si>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</si>
  <si>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</si>
  <si>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</si>
  <si>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</si>
  <si>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</si>
  <si>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</si>
  <si>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</si>
  <si>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</si>
  <si>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</si>
  <si>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</si>
  <si>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</si>
  <si>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</si>
  <si>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</si>
  <si>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</si>
  <si>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</si>
  <si>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</si>
  <si>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</si>
  <si>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</si>
  <si>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</si>
  <si>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</si>
  <si>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</si>
  <si>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</si>
  <si>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</si>
  <si>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</si>
  <si>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</si>
  <si>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</si>
  <si>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</si>
  <si>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</si>
  <si>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</si>
  <si>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</si>
  <si>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</si>
  <si>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</si>
  <si>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</si>
  <si>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</si>
  <si>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</si>
  <si>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</si>
  <si>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</si>
  <si>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</si>
  <si>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</si>
  <si>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</si>
  <si>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</si>
  <si>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</si>
  <si>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</si>
  <si>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</si>
  <si>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</si>
  <si>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</si>
  <si>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</si>
  <si>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</si>
  <si>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</si>
  <si>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</si>
  <si>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</si>
  <si>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</si>
  <si>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</si>
  <si>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</si>
  <si>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</si>
  <si>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</si>
  <si>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</si>
  <si>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</si>
  <si>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</si>
  <si>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</si>
  <si>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</si>
  <si>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</si>
  <si>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</si>
  <si>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</si>
  <si>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</si>
  <si>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</si>
  <si>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</si>
  <si>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</si>
  <si>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</si>
  <si>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</si>
  <si>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</si>
  <si>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</si>
  <si>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</si>
  <si>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</si>
  <si>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</si>
  <si>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</si>
  <si>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</si>
  <si>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</si>
  <si>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</si>
  <si>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</si>
  <si>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</si>
  <si>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</si>
  <si>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</si>
  <si>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</si>
  <si>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</si>
  <si>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</si>
  <si>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</si>
  <si>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</si>
  <si>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</si>
  <si>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</si>
  <si>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</si>
  <si>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</si>
  <si>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</si>
  <si>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</si>
  <si>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</si>
  <si>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</si>
  <si>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</si>
  <si>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</si>
  <si>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</si>
  <si>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</si>
  <si>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</si>
  <si>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</si>
  <si>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</si>
  <si>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</si>
  <si>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</si>
  <si>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</si>
  <si>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</si>
  <si>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</si>
  <si>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</si>
  <si>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</si>
  <si>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</si>
  <si>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</si>
  <si>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</si>
  <si>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</si>
  <si>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</si>
  <si>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</si>
  <si>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</si>
  <si>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</si>
  <si>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</si>
  <si>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</si>
  <si>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</si>
  <si>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</si>
  <si>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</si>
  <si>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</si>
  <si>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</si>
  <si>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</si>
  <si>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</si>
  <si>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</si>
  <si>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</si>
  <si>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</si>
  <si>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</si>
  <si>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</si>
  <si>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</si>
  <si>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</si>
  <si>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</si>
  <si>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</si>
  <si>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</si>
  <si>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</si>
  <si>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</si>
  <si>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</si>
  <si>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</si>
  <si>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</si>
  <si>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</si>
  <si>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</si>
  <si>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</si>
  <si>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</si>
  <si>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</si>
  <si>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</si>
  <si>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</si>
  <si>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</si>
  <si>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</si>
  <si>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</si>
  <si>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</si>
  <si>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</si>
  <si>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</si>
  <si>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</si>
  <si>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</si>
  <si>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</si>
  <si>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</si>
  <si>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</si>
  <si>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</si>
  <si>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</si>
  <si>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</si>
  <si>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</si>
  <si>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</si>
  <si>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</si>
  <si>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</si>
  <si>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</si>
  <si>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</si>
  <si>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</si>
  <si>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</si>
  <si>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</si>
  <si>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</si>
  <si>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</si>
  <si>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</si>
  <si>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</si>
  <si>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</si>
  <si>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</si>
  <si>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</si>
  <si>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</si>
  <si>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</si>
  <si>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</si>
  <si>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</si>
  <si>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</si>
  <si>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</si>
  <si>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</si>
  <si>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</si>
  <si>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</si>
  <si>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</si>
  <si>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</si>
  <si>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</si>
  <si>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</si>
  <si>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</si>
  <si>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</si>
  <si>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</si>
  <si>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</si>
  <si>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</si>
  <si>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</si>
  <si>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</si>
  <si>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</si>
  <si>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</si>
  <si>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</si>
  <si>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</si>
  <si>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</si>
  <si>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</si>
  <si>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</si>
  <si>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</si>
  <si>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</si>
  <si>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</si>
  <si>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</si>
  <si>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</si>
  <si>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</si>
  <si>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</si>
  <si>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</si>
  <si>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</si>
  <si>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</si>
  <si>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</si>
  <si>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</si>
  <si>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</si>
  <si>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</si>
  <si>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</si>
  <si>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</si>
  <si>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</si>
  <si>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</si>
  <si>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</si>
  <si>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</si>
  <si>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</si>
  <si>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</si>
  <si>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</si>
  <si>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</si>
  <si>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</si>
  <si>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</si>
  <si>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</si>
  <si>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</si>
  <si>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</si>
  <si>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</si>
  <si>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</si>
  <si>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</si>
  <si>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</si>
  <si>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</si>
  <si>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</si>
  <si>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</si>
  <si>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</si>
  <si>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</si>
  <si>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</si>
  <si>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</si>
  <si>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</si>
  <si>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</si>
  <si>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</si>
  <si>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</si>
  <si>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</si>
  <si>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</si>
  <si>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</si>
  <si>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</si>
  <si>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</si>
  <si>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</si>
  <si>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</si>
  <si>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</si>
  <si>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</si>
  <si>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</si>
  <si>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</si>
  <si>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</si>
  <si>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</si>
  <si>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</si>
  <si>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</si>
  <si>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</si>
  <si>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</si>
  <si>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</si>
  <si>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</si>
  <si>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</si>
  <si>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</si>
  <si>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</si>
  <si>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</si>
  <si>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</si>
  <si>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</si>
  <si>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</si>
  <si>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</si>
  <si>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</si>
  <si>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</si>
  <si>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</si>
  <si>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</si>
  <si>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</si>
  <si>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</si>
  <si>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</si>
  <si>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</si>
  <si>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</si>
  <si>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</si>
  <si>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</si>
  <si>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</si>
  <si>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</si>
  <si>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</si>
  <si>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</si>
  <si>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</si>
  <si>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</si>
  <si>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</si>
  <si>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</si>
  <si>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</si>
  <si>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</si>
  <si>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</si>
  <si>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</si>
  <si>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</si>
  <si>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</si>
  <si>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</si>
  <si>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</si>
  <si>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</si>
  <si>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</si>
  <si>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</si>
  <si>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</si>
  <si>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</si>
  <si>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</si>
  <si>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</si>
  <si>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</si>
  <si>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</si>
  <si>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</si>
  <si>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</si>
  <si>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</si>
  <si>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</si>
  <si>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</si>
  <si>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</si>
  <si>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</si>
  <si>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</si>
  <si>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</si>
  <si>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</si>
  <si>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</si>
  <si>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</si>
  <si>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</si>
  <si>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</si>
  <si>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</si>
  <si>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</si>
  <si>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</si>
  <si>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</si>
  <si>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</si>
  <si>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</si>
  <si>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</si>
  <si>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</si>
  <si>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</si>
  <si>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</si>
  <si>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</si>
  <si>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</si>
  <si>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</si>
  <si>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</si>
  <si>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</si>
  <si>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</si>
  <si>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</si>
  <si>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</si>
  <si>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</si>
  <si>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</si>
  <si>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</si>
  <si>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</si>
  <si>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</si>
  <si>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</si>
  <si>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</si>
  <si>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</si>
  <si>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</si>
  <si>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</si>
  <si>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</si>
  <si>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</si>
  <si>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</si>
  <si>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</si>
  <si>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</si>
  <si>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</si>
  <si>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</si>
  <si>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</si>
  <si>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</si>
  <si>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</si>
  <si>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</si>
  <si>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</si>
  <si>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</si>
  <si>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</si>
  <si>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</si>
  <si>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</si>
  <si>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</si>
  <si>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</si>
  <si>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</si>
  <si>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</si>
  <si>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</si>
  <si>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</si>
  <si>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</si>
  <si>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</si>
  <si>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</si>
  <si>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</si>
  <si>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</si>
  <si>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</si>
  <si>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</si>
  <si>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</si>
  <si>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</si>
  <si>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</si>
  <si>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</si>
  <si>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</si>
  <si>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</si>
  <si>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</si>
  <si>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</si>
  <si>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</si>
  <si>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</si>
  <si>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</si>
  <si>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</si>
  <si>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</si>
  <si>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</si>
  <si>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</si>
  <si>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</si>
  <si>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</si>
  <si>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</si>
  <si>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</si>
  <si>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</si>
  <si>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</si>
  <si>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</si>
  <si>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</si>
  <si>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</si>
  <si>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</si>
  <si>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</si>
  <si>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</si>
  <si>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</si>
  <si>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</si>
  <si>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</si>
  <si>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</si>
  <si>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</si>
  <si>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</si>
  <si>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</si>
  <si>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</si>
  <si>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</si>
  <si>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</si>
  <si>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</si>
  <si>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</si>
  <si>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</si>
  <si>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</si>
  <si>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</si>
  <si>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</si>
  <si>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</si>
  <si>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</si>
  <si>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</si>
  <si>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</si>
  <si>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</si>
  <si>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</si>
  <si>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</si>
  <si>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</si>
  <si>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</si>
  <si>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</si>
  <si>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</si>
  <si>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</si>
  <si>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</si>
  <si>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</si>
  <si>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</si>
  <si>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</si>
  <si>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</si>
  <si>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</si>
  <si>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</si>
  <si>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</si>
  <si>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</si>
  <si>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</si>
  <si>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</si>
  <si>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</si>
  <si>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</si>
  <si>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</si>
  <si>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</si>
  <si>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</si>
  <si>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</si>
  <si>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</si>
  <si>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</si>
  <si>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</si>
  <si>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</si>
  <si>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</si>
  <si>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</si>
  <si>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</si>
  <si>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</si>
  <si>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</si>
  <si>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</si>
  <si>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</si>
  <si>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</si>
  <si>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</si>
  <si>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</si>
  <si>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</si>
  <si>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</si>
  <si>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</si>
  <si>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</si>
  <si>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</si>
  <si>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</si>
  <si>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</si>
  <si>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</si>
  <si>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</si>
  <si>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</si>
  <si>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</si>
  <si>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</si>
  <si>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</si>
  <si>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</si>
  <si>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</si>
  <si>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</si>
  <si>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</si>
  <si>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</si>
  <si>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</si>
  <si>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</si>
  <si>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</si>
  <si>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</si>
  <si>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</si>
  <si>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</si>
  <si>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</si>
  <si>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</si>
  <si>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</si>
  <si>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</si>
  <si>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</si>
  <si>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</si>
  <si>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</si>
  <si>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</si>
  <si>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</si>
  <si>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</si>
  <si>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</si>
  <si>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</si>
  <si>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</si>
  <si>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</si>
  <si>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</si>
  <si>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</si>
  <si>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</si>
  <si>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</si>
  <si>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</si>
  <si>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</si>
  <si>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</si>
  <si>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</si>
  <si>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</si>
  <si>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</si>
  <si>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</si>
  <si>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</si>
  <si>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</si>
  <si>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</si>
  <si>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</si>
  <si>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</si>
  <si>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</si>
  <si>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</si>
  <si>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</si>
  <si>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</si>
  <si>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</si>
  <si>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</si>
  <si>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</si>
  <si>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</si>
  <si>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</si>
  <si>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</si>
  <si>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</si>
  <si>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</si>
  <si>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</si>
  <si>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</si>
  <si>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</si>
  <si>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</si>
  <si>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</si>
  <si>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</si>
  <si>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</si>
  <si>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</si>
  <si>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</si>
  <si>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</si>
  <si>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</si>
  <si>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</si>
  <si>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</si>
  <si>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</si>
  <si>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</si>
  <si>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</si>
  <si>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</si>
  <si>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</si>
  <si>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</si>
  <si>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</si>
  <si>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</si>
  <si>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</si>
  <si>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</si>
  <si>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</si>
  <si>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</si>
  <si>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</si>
  <si>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</si>
  <si>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</si>
  <si>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</si>
  <si>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</si>
  <si>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</si>
  <si>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</si>
  <si>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</si>
  <si>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</si>
  <si>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</si>
  <si>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</si>
  <si>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</si>
  <si>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</si>
  <si>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</si>
  <si>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</si>
  <si>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</si>
  <si>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</si>
  <si>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</si>
  <si>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</si>
  <si>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</si>
  <si>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</si>
  <si>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</si>
  <si>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</si>
  <si>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</si>
  <si>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</si>
  <si>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</si>
  <si>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</si>
  <si>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</si>
  <si>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</si>
  <si>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</si>
  <si>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</si>
  <si>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</si>
  <si>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</si>
  <si>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</si>
  <si>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</si>
  <si>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</si>
  <si>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</si>
  <si>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</si>
  <si>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</si>
  <si>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</si>
  <si>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</si>
  <si>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</si>
  <si>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</si>
  <si>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</si>
  <si>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</si>
  <si>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</si>
  <si>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</si>
  <si>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</si>
  <si>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</si>
  <si>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</si>
  <si>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</si>
  <si>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</si>
  <si>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</si>
  <si>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</si>
  <si>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</si>
  <si>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</si>
  <si>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</si>
  <si>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</si>
  <si>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</si>
  <si>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</si>
  <si>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</si>
  <si>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</si>
  <si>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</si>
  <si>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</si>
  <si>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</si>
  <si>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</si>
  <si>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</si>
  <si>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</si>
  <si>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</si>
  <si>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</si>
  <si>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</si>
  <si>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</si>
  <si>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</si>
  <si>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</si>
  <si>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</si>
  <si>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</si>
  <si>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</si>
  <si>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</si>
  <si>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</si>
  <si>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</si>
  <si>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</si>
  <si>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</si>
  <si>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</si>
  <si>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</si>
  <si>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</si>
  <si>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</si>
  <si>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</si>
  <si>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</si>
  <si>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</si>
  <si>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</si>
  <si>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</si>
  <si>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</si>
  <si>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</si>
  <si>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</si>
  <si>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</si>
  <si>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</si>
  <si>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</si>
  <si>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</si>
  <si>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</si>
  <si>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</si>
  <si>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</si>
  <si>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</si>
  <si>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</si>
  <si>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</si>
  <si>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</si>
  <si>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</si>
  <si>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</si>
  <si>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</si>
  <si>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</si>
  <si>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</si>
  <si>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</si>
  <si>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</si>
  <si>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</si>
  <si>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</si>
  <si>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</si>
  <si>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</si>
  <si>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</si>
  <si>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</si>
  <si>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</si>
  <si>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</si>
  <si>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</si>
  <si>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</si>
  <si>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</si>
  <si>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</si>
  <si>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</si>
  <si>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</si>
  <si>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</si>
  <si>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</si>
  <si>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</si>
  <si>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</si>
  <si>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</si>
  <si>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</si>
  <si>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</si>
  <si>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</si>
  <si>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</si>
  <si>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</si>
  <si>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</si>
  <si>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</si>
  <si>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</si>
  <si>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</si>
  <si>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</si>
  <si>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</si>
  <si>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</si>
  <si>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</si>
  <si>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</si>
  <si>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</si>
  <si>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</si>
  <si>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</si>
  <si>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</si>
  <si>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</si>
  <si>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</si>
  <si>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</si>
  <si>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</si>
  <si>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</si>
  <si>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</si>
  <si>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</si>
  <si>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</si>
  <si>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</si>
  <si>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</si>
  <si>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</si>
  <si>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</si>
  <si>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</si>
  <si>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</si>
  <si>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</si>
  <si>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</si>
  <si>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</si>
  <si>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</si>
  <si>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</si>
  <si>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</si>
  <si>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</si>
  <si>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</si>
  <si>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</si>
  <si>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</si>
  <si>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</si>
  <si>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</si>
  <si>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</si>
  <si>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</si>
  <si>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</si>
  <si>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</si>
  <si>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</si>
  <si>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</si>
  <si>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</si>
  <si>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</si>
  <si>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</si>
  <si>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</si>
  <si>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</si>
  <si>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</si>
  <si>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</si>
  <si>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</si>
  <si>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</si>
  <si>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</si>
  <si>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</si>
  <si>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</si>
  <si>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</si>
  <si>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</si>
  <si>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</si>
  <si>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</si>
  <si>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</si>
  <si>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</si>
  <si>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</si>
  <si>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</si>
  <si>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</si>
  <si>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</si>
  <si>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</si>
  <si>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</si>
  <si>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</si>
  <si>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</si>
  <si>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</si>
  <si>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</si>
  <si>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</si>
  <si>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</si>
  <si>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</si>
  <si>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</si>
  <si>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</si>
  <si>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</si>
  <si>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</si>
  <si>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</si>
  <si>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</si>
  <si>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</si>
  <si>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</si>
  <si>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</si>
  <si>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</si>
  <si>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</si>
  <si>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</si>
  <si>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</si>
  <si>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</si>
  <si>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</si>
  <si>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</si>
  <si>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</si>
  <si>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</si>
  <si>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</si>
  <si>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</si>
  <si>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</si>
  <si>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</si>
  <si>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</si>
  <si>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</si>
  <si>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</si>
  <si>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</si>
  <si>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</si>
  <si>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</si>
  <si>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</si>
  <si>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</si>
  <si>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</si>
  <si>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</si>
  <si>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</si>
  <si>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</si>
  <si>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</si>
  <si>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</si>
  <si>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</si>
  <si>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</si>
  <si>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</si>
  <si>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</si>
  <si>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</si>
  <si>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</si>
  <si>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</si>
  <si>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</si>
  <si>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</si>
  <si>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</si>
  <si>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</si>
  <si>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</si>
  <si>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</si>
  <si>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</si>
  <si>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</si>
  <si>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</si>
  <si>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</si>
  <si>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</si>
  <si>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</si>
  <si>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</si>
  <si>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</si>
  <si>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</si>
  <si>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</si>
  <si>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</si>
  <si>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</si>
  <si>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</si>
  <si>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</si>
  <si>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</si>
  <si>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</si>
  <si>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</si>
  <si>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</si>
  <si>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</si>
  <si>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</si>
  <si>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</si>
  <si>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</si>
  <si>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</si>
  <si>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</si>
  <si>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</si>
  <si>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</si>
  <si>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</si>
  <si>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</si>
  <si>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</si>
  <si>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</si>
  <si>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</si>
  <si>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</si>
  <si>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</si>
  <si>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</si>
  <si>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</si>
  <si>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</si>
  <si>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</si>
  <si>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</si>
  <si>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</si>
  <si>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</si>
  <si>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</si>
  <si>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</si>
  <si>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</si>
  <si>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</si>
  <si>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</si>
  <si>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</si>
  <si>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</si>
  <si>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</si>
  <si>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</si>
  <si>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</si>
  <si>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</si>
  <si>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</si>
  <si>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</si>
  <si>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</si>
  <si>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</si>
  <si>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</si>
  <si>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</si>
  <si>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</si>
  <si>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</si>
  <si>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</si>
  <si>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</si>
  <si>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</si>
  <si>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</si>
  <si>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</si>
  <si>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</si>
  <si>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</si>
  <si>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</si>
  <si>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</si>
  <si>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</si>
  <si>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</si>
  <si>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</si>
  <si>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</si>
  <si>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</si>
  <si>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</si>
  <si>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</si>
  <si>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</si>
  <si>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</si>
  <si>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</si>
  <si>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</si>
  <si>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</si>
  <si>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</si>
  <si>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</si>
  <si>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</si>
  <si>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</si>
  <si>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</si>
  <si>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</si>
  <si>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</si>
  <si>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</si>
  <si>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</si>
  <si>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</si>
  <si>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</si>
  <si>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</si>
  <si>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</si>
  <si>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</si>
  <si>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</si>
  <si>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</si>
  <si>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</si>
  <si>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</si>
  <si>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</si>
  <si>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</si>
  <si>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</si>
  <si>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</si>
  <si>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</si>
  <si>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</si>
  <si>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</si>
  <si>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</si>
  <si>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</si>
  <si>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</si>
  <si>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</si>
  <si>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</si>
  <si>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</si>
  <si>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</si>
  <si>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</si>
  <si>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</si>
  <si>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</si>
  <si>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</si>
  <si>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</si>
  <si>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</si>
  <si>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</si>
  <si>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</si>
  <si>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</si>
  <si>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</si>
  <si>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</si>
  <si>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</si>
  <si>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</si>
  <si>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</si>
  <si>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</si>
  <si>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</si>
  <si>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</si>
  <si>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</si>
  <si>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</si>
  <si>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</si>
  <si>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</si>
  <si>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</si>
  <si>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</si>
  <si>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</si>
  <si>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</si>
  <si>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</si>
  <si>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</si>
  <si>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</si>
  <si>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</si>
  <si>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</si>
  <si>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</si>
  <si>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</si>
  <si>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</si>
  <si>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</si>
  <si>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</si>
  <si>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</si>
  <si>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</si>
  <si>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</si>
  <si>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</si>
  <si>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</si>
  <si>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</si>
  <si>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</si>
  <si>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</si>
  <si>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</si>
  <si>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</si>
  <si>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</si>
  <si>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</si>
  <si>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</si>
  <si>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</si>
  <si>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</si>
  <si>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</si>
  <si>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</si>
  <si>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</si>
  <si>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</si>
  <si>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</si>
  <si>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</si>
  <si>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</si>
  <si>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</si>
  <si>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</si>
  <si>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</si>
  <si>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</si>
  <si>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</si>
  <si>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</si>
  <si>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</si>
  <si>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</si>
  <si>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</si>
  <si>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</si>
  <si>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</si>
  <si>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</si>
  <si>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</si>
  <si>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</si>
  <si>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</si>
  <si>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</si>
  <si>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</si>
  <si>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</si>
  <si>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</si>
  <si>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</si>
  <si>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</si>
  <si>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</si>
  <si>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</si>
  <si>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</si>
  <si>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</si>
  <si>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</si>
  <si>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</si>
  <si>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</si>
  <si>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</si>
  <si>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</si>
  <si>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</si>
  <si>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</si>
  <si>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</si>
  <si>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</si>
  <si>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</si>
  <si>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</si>
  <si>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</si>
  <si>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</si>
  <si>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</si>
  <si>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</si>
  <si>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</si>
  <si>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</si>
  <si>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</si>
  <si>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</si>
  <si>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</si>
  <si>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</si>
  <si>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</si>
  <si>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</si>
  <si>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</si>
  <si>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</si>
  <si>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</si>
  <si>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</si>
  <si>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</si>
  <si>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</si>
  <si>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</si>
  <si>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</si>
  <si>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</si>
  <si>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</si>
  <si>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</si>
  <si>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</si>
  <si>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</si>
  <si>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</si>
  <si>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</si>
  <si>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</si>
  <si>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</si>
  <si>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</si>
  <si>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</si>
  <si>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</si>
  <si>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</si>
  <si>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</si>
  <si>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</si>
  <si>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</si>
  <si>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</si>
  <si>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</si>
  <si>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</si>
  <si>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</si>
  <si>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</si>
  <si>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</si>
  <si>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</si>
  <si>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</si>
  <si>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</si>
  <si>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</si>
  <si>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</si>
  <si>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</si>
  <si>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</si>
  <si>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</si>
  <si>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</si>
  <si>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</si>
  <si>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</si>
  <si>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</si>
  <si>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</si>
  <si>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</si>
  <si>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</si>
  <si>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</si>
  <si>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</si>
  <si>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</si>
  <si>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</si>
  <si>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</si>
  <si>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</si>
  <si>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</si>
  <si>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</si>
  <si>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</si>
  <si>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</si>
  <si>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</si>
  <si>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</si>
  <si>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</si>
  <si>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</si>
  <si>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</si>
  <si>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</si>
  <si>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</si>
  <si>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</si>
  <si>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</si>
  <si>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</si>
  <si>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</si>
  <si>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</si>
  <si>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</si>
  <si>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</si>
  <si>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</si>
  <si>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</si>
  <si>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</si>
  <si>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</si>
  <si>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</si>
  <si>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</si>
  <si>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</si>
  <si>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</si>
  <si>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</si>
  <si>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</si>
  <si>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</si>
  <si>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</si>
  <si>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</si>
  <si>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</si>
  <si>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</si>
  <si>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</si>
  <si>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</si>
  <si>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</si>
  <si>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</si>
  <si>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</si>
  <si>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</si>
  <si>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</si>
  <si>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</si>
  <si>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</si>
  <si>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</si>
  <si>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</si>
  <si>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</si>
  <si>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</si>
  <si>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</si>
  <si>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</si>
  <si>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</si>
  <si>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</si>
  <si>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</si>
  <si>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</si>
  <si>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</si>
  <si>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</si>
  <si>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</si>
  <si>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</si>
  <si>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</si>
  <si>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</si>
  <si>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</si>
  <si>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</si>
  <si>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</si>
  <si>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</si>
  <si>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</si>
  <si>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</si>
  <si>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</si>
  <si>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</si>
  <si>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</si>
  <si>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</si>
  <si>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</si>
  <si>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</si>
  <si>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</si>
  <si>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</si>
  <si>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</si>
  <si>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</si>
  <si>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</si>
  <si>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</si>
  <si>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</si>
  <si>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</si>
  <si>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</si>
  <si>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</si>
  <si>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</si>
  <si>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</si>
  <si>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</si>
  <si>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</si>
  <si>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</si>
  <si>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</si>
  <si>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</si>
  <si>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</si>
  <si>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</si>
  <si>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</si>
  <si>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</si>
  <si>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</si>
  <si>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</si>
  <si>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</si>
  <si>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</si>
  <si>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</si>
  <si>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</si>
  <si>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</si>
  <si>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</si>
  <si>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</si>
  <si>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</si>
  <si>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</si>
  <si>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</si>
  <si>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</si>
  <si>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</si>
  <si>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</si>
  <si>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</si>
  <si>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</si>
  <si>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</si>
  <si>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</si>
  <si>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</si>
  <si>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</si>
  <si>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</si>
  <si>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</si>
  <si>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</si>
  <si>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</si>
  <si>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</si>
  <si>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</si>
  <si>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</si>
  <si>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</si>
  <si>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</si>
  <si>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</si>
  <si>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</si>
  <si>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</si>
  <si>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</si>
  <si>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</si>
  <si>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</si>
  <si>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</si>
  <si>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</si>
  <si>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</si>
  <si>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</si>
  <si>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</si>
  <si>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</si>
  <si>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</si>
  <si>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</si>
  <si>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</si>
  <si>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</si>
  <si>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</si>
  <si>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</si>
  <si>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</si>
  <si>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</si>
  <si>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</si>
  <si>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</si>
  <si>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</si>
  <si>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</si>
  <si>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</si>
  <si>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</si>
  <si>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</si>
  <si>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</si>
  <si>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</si>
  <si>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</si>
  <si>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</si>
  <si>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</si>
  <si>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</si>
  <si>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</si>
  <si>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</si>
  <si>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</si>
  <si>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</si>
  <si>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</si>
  <si>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</si>
  <si>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</si>
  <si>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</si>
  <si>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</si>
  <si>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</si>
  <si>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</si>
  <si>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</si>
  <si>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</si>
  <si>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</si>
  <si>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</si>
  <si>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</si>
  <si>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</si>
  <si>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</si>
  <si>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</si>
  <si>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</si>
  <si>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</si>
  <si>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</si>
  <si>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</si>
  <si>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</si>
  <si>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</si>
  <si>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</si>
  <si>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</si>
  <si>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</si>
  <si>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</si>
  <si>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</si>
  <si>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</si>
  <si>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</si>
  <si>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</si>
  <si>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</si>
  <si>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</si>
  <si>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</si>
  <si>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</si>
  <si>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</si>
  <si>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</si>
  <si>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</si>
  <si>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</si>
  <si>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</si>
  <si>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</si>
  <si>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</si>
  <si>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</si>
  <si>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</si>
  <si>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</si>
  <si>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</si>
  <si>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</si>
  <si>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</si>
  <si>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</si>
  <si>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</si>
  <si>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</si>
  <si>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</si>
  <si>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</si>
  <si>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</si>
  <si>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</si>
  <si>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</si>
  <si>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</si>
  <si>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</si>
  <si>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</si>
  <si>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</si>
  <si>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</si>
  <si>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</si>
  <si>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</si>
  <si>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</si>
  <si>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</si>
  <si>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</si>
  <si>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</si>
  <si>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</si>
  <si>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</si>
  <si>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</si>
  <si>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</si>
  <si>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</si>
  <si>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</si>
  <si>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</si>
  <si>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</si>
  <si>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</si>
  <si>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</si>
  <si>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</si>
  <si>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</si>
  <si>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</si>
  <si>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</si>
  <si>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</si>
  <si>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</si>
  <si>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</si>
  <si>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</si>
  <si>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</si>
  <si>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</si>
  <si>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</si>
  <si>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</si>
  <si>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</si>
  <si>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</si>
  <si>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</si>
  <si>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</si>
  <si>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</si>
  <si>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</si>
  <si>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</si>
  <si>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</si>
  <si>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</si>
  <si>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</si>
  <si>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</si>
  <si>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</si>
  <si>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</si>
  <si>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</si>
  <si>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</si>
  <si>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</si>
  <si>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</si>
  <si>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</si>
  <si>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</si>
  <si>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</si>
  <si>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</si>
  <si>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</si>
  <si>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</si>
  <si>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</si>
  <si>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</si>
  <si>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</si>
  <si>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</si>
  <si>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</si>
  <si>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</si>
  <si>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</si>
  <si>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</si>
  <si>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</si>
  <si>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</si>
  <si>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</si>
  <si>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</si>
  <si>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</si>
  <si>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</si>
  <si>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</si>
  <si>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</si>
  <si>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</si>
  <si>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</si>
  <si>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</si>
  <si>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</si>
  <si>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</si>
  <si>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</si>
  <si>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</si>
  <si>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</si>
  <si>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</si>
  <si>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</si>
  <si>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</si>
  <si>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</si>
  <si>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</si>
  <si>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</si>
  <si>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</si>
  <si>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</si>
  <si>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</si>
  <si>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</si>
  <si>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</si>
  <si>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</si>
  <si>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</si>
  <si>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</si>
  <si>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</si>
  <si>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</si>
  <si>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</si>
  <si>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</si>
  <si>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</si>
  <si>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</si>
  <si>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</si>
  <si>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</si>
  <si>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</si>
  <si>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</si>
  <si>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</si>
  <si>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</si>
  <si>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</si>
  <si>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</si>
  <si>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</si>
  <si>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</si>
  <si>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</si>
  <si>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</si>
  <si>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</si>
  <si>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</si>
  <si>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</si>
  <si>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</si>
  <si>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</si>
  <si>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</si>
  <si>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</si>
  <si>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</si>
  <si>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</si>
  <si>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</si>
  <si>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</si>
  <si>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</si>
  <si>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</si>
  <si>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</si>
  <si>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</si>
  <si>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</si>
  <si>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</si>
  <si>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</si>
  <si>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</si>
  <si>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</si>
  <si>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</si>
  <si>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</si>
  <si>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</si>
  <si>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</si>
  <si>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</si>
  <si>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</si>
  <si>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</si>
  <si>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</si>
  <si>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</si>
  <si>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</si>
  <si>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</si>
  <si>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</si>
  <si>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</si>
  <si>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</si>
  <si>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</si>
  <si>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</si>
  <si>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</si>
  <si>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</si>
  <si>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</si>
  <si>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</si>
  <si>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</si>
  <si>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</si>
  <si>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</si>
  <si>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</si>
  <si>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</si>
  <si>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</si>
  <si>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</si>
  <si>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</si>
  <si>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</si>
  <si>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</si>
  <si>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</si>
  <si>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</si>
  <si>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</si>
  <si>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</si>
  <si>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</si>
  <si>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</si>
  <si>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</si>
  <si>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</si>
  <si>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</si>
  <si>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</si>
  <si>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</si>
  <si>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</si>
  <si>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</si>
  <si>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</si>
  <si>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</si>
  <si>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</si>
  <si>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</si>
  <si>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</si>
  <si>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</si>
  <si>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</si>
  <si>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</si>
  <si>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</si>
  <si>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</si>
  <si>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</si>
  <si>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</si>
  <si>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</si>
  <si>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</si>
  <si>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</si>
  <si>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</si>
  <si>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</si>
  <si>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</si>
  <si>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</si>
  <si>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</si>
  <si>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</si>
  <si>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</si>
  <si>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</si>
  <si>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</si>
  <si>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</si>
  <si>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</si>
  <si>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</si>
  <si>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</si>
  <si>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</si>
  <si>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</si>
  <si>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</si>
  <si>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</si>
  <si>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</si>
  <si>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</si>
  <si>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</si>
  <si>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</si>
  <si>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</si>
  <si>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</si>
  <si>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</si>
  <si>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</si>
  <si>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</si>
  <si>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</si>
  <si>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</si>
  <si>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</si>
  <si>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</si>
  <si>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</si>
  <si>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</si>
  <si>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</si>
  <si>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</si>
  <si>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</si>
  <si>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</si>
  <si>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</si>
  <si>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</si>
  <si>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</si>
  <si>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</si>
  <si>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</si>
  <si>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</si>
  <si>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</si>
  <si>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</si>
  <si>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</si>
  <si>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</si>
  <si>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</si>
  <si>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</si>
  <si>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</si>
  <si>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</si>
  <si>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</si>
  <si>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</si>
  <si>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吴薇</t>
  </si>
  <si>
    <t>郑燚</t>
  </si>
  <si>
    <t>北京银鹤永泰商业管理有限公司</t>
    <phoneticPr fontId="6" type="noConversion"/>
  </si>
  <si>
    <t>抵押</t>
  </si>
  <si>
    <t>房地产抵押价值</t>
  </si>
  <si>
    <t>已注销及未注销</t>
  </si>
  <si>
    <t>北京市</t>
  </si>
  <si>
    <t>企业</t>
  </si>
  <si>
    <t>出让</t>
  </si>
  <si>
    <t>办公</t>
    <phoneticPr fontId="6" type="noConversion"/>
  </si>
  <si>
    <r>
      <t>43.66</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</si>
  <si>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phoneticPr fontId="6" type="noConversion"/>
  </si>
  <si>
    <t>序号</t>
    <phoneticPr fontId="143" type="noConversion"/>
  </si>
  <si>
    <t>房号</t>
    <phoneticPr fontId="143" type="noConversion"/>
  </si>
  <si>
    <t>不动产权证号</t>
    <phoneticPr fontId="143" type="noConversion"/>
  </si>
  <si>
    <t>建筑面积</t>
    <phoneticPr fontId="143" type="noConversion"/>
  </si>
  <si>
    <t>京（2019）丰不动产权第0008287号</t>
    <phoneticPr fontId="143" type="noConversion"/>
  </si>
  <si>
    <t>京（2019）丰不动产权第0008288号</t>
  </si>
  <si>
    <t>京（2019）丰不动产权第0008605号</t>
    <phoneticPr fontId="143" type="noConversion"/>
  </si>
  <si>
    <t>京（2019）丰不动产权第0008614号</t>
    <phoneticPr fontId="143" type="noConversion"/>
  </si>
  <si>
    <t>京（2019）丰不动产权第0008630号</t>
    <phoneticPr fontId="143" type="noConversion"/>
  </si>
  <si>
    <t>京（2019）丰不动产权第0008618号</t>
    <phoneticPr fontId="143" type="noConversion"/>
  </si>
  <si>
    <t>京（2019）丰不动产权第0008337号</t>
    <phoneticPr fontId="143" type="noConversion"/>
  </si>
  <si>
    <t>京（2019）丰不动产权第0008338号</t>
  </si>
  <si>
    <t>京（2019）丰不动产权第0008547号</t>
    <phoneticPr fontId="143" type="noConversion"/>
  </si>
  <si>
    <t>京（2019）丰不动产权第0008537号</t>
    <phoneticPr fontId="143" type="noConversion"/>
  </si>
  <si>
    <t>京（2019）丰不动产权第0008612号</t>
    <phoneticPr fontId="143" type="noConversion"/>
  </si>
  <si>
    <t>京（2019）丰不动产权第0008340号</t>
    <phoneticPr fontId="143" type="noConversion"/>
  </si>
  <si>
    <t>京（2019）丰不动产权第0008502号</t>
    <phoneticPr fontId="143" type="noConversion"/>
  </si>
  <si>
    <t>京（2019）丰不动产权第0008536号</t>
    <phoneticPr fontId="143" type="noConversion"/>
  </si>
  <si>
    <t>京（2019）丰不动产权第0008615号</t>
    <phoneticPr fontId="143" type="noConversion"/>
  </si>
  <si>
    <t>京（2019）丰不动产权第0008577号</t>
    <phoneticPr fontId="143" type="noConversion"/>
  </si>
  <si>
    <t>京（2019）丰不动产权第0008603号</t>
    <phoneticPr fontId="143" type="noConversion"/>
  </si>
  <si>
    <t>京（2019）丰不动产权第0008497号</t>
    <phoneticPr fontId="143" type="noConversion"/>
  </si>
  <si>
    <t>京（2019）丰不动产权第0008508号</t>
    <phoneticPr fontId="143" type="noConversion"/>
  </si>
  <si>
    <t>京（2019）丰不动产权第0008606号</t>
    <phoneticPr fontId="143" type="noConversion"/>
  </si>
  <si>
    <t>京（2019）丰不动产权第0008481号</t>
    <phoneticPr fontId="143" type="noConversion"/>
  </si>
  <si>
    <t>京（2019）丰不动产权第0008487号</t>
    <phoneticPr fontId="143" type="noConversion"/>
  </si>
  <si>
    <t>京（2019）丰不动产权第0008609号</t>
    <phoneticPr fontId="143" type="noConversion"/>
  </si>
  <si>
    <t>京（2019）丰不动产权第0008511号</t>
    <phoneticPr fontId="143" type="noConversion"/>
  </si>
  <si>
    <t>京（2019）丰不动产权第0008521号</t>
    <phoneticPr fontId="143" type="noConversion"/>
  </si>
  <si>
    <t>京（2019）丰不动产权第0008500号</t>
    <phoneticPr fontId="143" type="noConversion"/>
  </si>
  <si>
    <t>京（2019）丰不动产权第0008517号</t>
    <phoneticPr fontId="143" type="noConversion"/>
  </si>
  <si>
    <t>京（2019）丰不动产权第0008540号</t>
    <phoneticPr fontId="143" type="noConversion"/>
  </si>
  <si>
    <t>京（2019）丰不动产权第0008600号</t>
    <phoneticPr fontId="143" type="noConversion"/>
  </si>
  <si>
    <t>京（2019）丰不动产权第0008608号</t>
    <phoneticPr fontId="143" type="noConversion"/>
  </si>
  <si>
    <t>京（2019）丰不动产权第0021524号</t>
    <phoneticPr fontId="143" type="noConversion"/>
  </si>
  <si>
    <t>京（2019）丰不动产权第0022387号</t>
    <phoneticPr fontId="143" type="noConversion"/>
  </si>
  <si>
    <t>京（2019）丰不动产权第0009501号</t>
    <phoneticPr fontId="143" type="noConversion"/>
  </si>
  <si>
    <t>京（2019）丰不动产权第0021418号</t>
    <phoneticPr fontId="143" type="noConversion"/>
  </si>
  <si>
    <t>京（2019）丰不动产权第0022486号</t>
    <phoneticPr fontId="143" type="noConversion"/>
  </si>
  <si>
    <t>京（2019）丰不动产权第0021389号</t>
    <phoneticPr fontId="143" type="noConversion"/>
  </si>
  <si>
    <t>京（2019）丰不动产权第0021526号</t>
    <phoneticPr fontId="143" type="noConversion"/>
  </si>
  <si>
    <t>京（2019）丰不动产权第0022519号</t>
    <phoneticPr fontId="143" type="noConversion"/>
  </si>
  <si>
    <t>京（2019）丰不动产权第0021378号</t>
    <phoneticPr fontId="143" type="noConversion"/>
  </si>
  <si>
    <t>京（2019）丰不动产权第0021405号</t>
    <phoneticPr fontId="143" type="noConversion"/>
  </si>
  <si>
    <t>京（2019）丰不动产权第0021466号</t>
    <phoneticPr fontId="143" type="noConversion"/>
  </si>
  <si>
    <t>京（2019）丰不动产权第0021391号</t>
    <phoneticPr fontId="143" type="noConversion"/>
  </si>
  <si>
    <t>京（2019）丰不动产权第0021399号</t>
    <phoneticPr fontId="143" type="noConversion"/>
  </si>
  <si>
    <t>京（2019）丰不动产权第0021413号</t>
    <phoneticPr fontId="143" type="noConversion"/>
  </si>
  <si>
    <t>京（2019）丰不动产权第0021521号</t>
    <phoneticPr fontId="143" type="noConversion"/>
  </si>
  <si>
    <t>京（2019）丰不动产权第0021523号</t>
    <phoneticPr fontId="143" type="noConversion"/>
  </si>
  <si>
    <t>京（2019）丰不动产权第0021374号</t>
    <phoneticPr fontId="143" type="noConversion"/>
  </si>
  <si>
    <t>京（2019）丰不动产权第0021369号</t>
    <phoneticPr fontId="143" type="noConversion"/>
  </si>
  <si>
    <t>京（2019）丰不动产权第0021382号</t>
    <phoneticPr fontId="143" type="noConversion"/>
  </si>
  <si>
    <t>京（2019）丰不动产权第0021384号</t>
    <phoneticPr fontId="143" type="noConversion"/>
  </si>
  <si>
    <t>京（2019）丰不动产权第0022516号</t>
    <phoneticPr fontId="143" type="noConversion"/>
  </si>
  <si>
    <t>京（2019）丰不动产权第0022385号</t>
    <phoneticPr fontId="143" type="noConversion"/>
  </si>
  <si>
    <t>京（2019）丰不动产权第0022530号</t>
    <phoneticPr fontId="143" type="noConversion"/>
  </si>
  <si>
    <t>京（2019）丰不动产权第0022542号</t>
    <phoneticPr fontId="143" type="noConversion"/>
  </si>
  <si>
    <t>京（2019）丰不动产权第0022526号</t>
    <phoneticPr fontId="143" type="noConversion"/>
  </si>
  <si>
    <t>京（2019）丰不动产权第0022545号</t>
    <phoneticPr fontId="143" type="noConversion"/>
  </si>
  <si>
    <t>京（2019）丰不动产权第0022508号</t>
    <phoneticPr fontId="143" type="noConversion"/>
  </si>
  <si>
    <t>京（2019）丰不动产权第0022493号</t>
    <phoneticPr fontId="143" type="noConversion"/>
  </si>
  <si>
    <t>京（2019）丰不动产权第0022583号</t>
    <phoneticPr fontId="143" type="noConversion"/>
  </si>
  <si>
    <t>京（2019）丰不动产权第0022537号</t>
    <phoneticPr fontId="143" type="noConversion"/>
  </si>
  <si>
    <t>京（2019）丰不动产权第0022378号</t>
    <phoneticPr fontId="143" type="noConversion"/>
  </si>
  <si>
    <t>京（2019）丰不动产权第0022381号</t>
    <phoneticPr fontId="143" type="noConversion"/>
  </si>
  <si>
    <t>京（2019）丰不动产权第0022374号</t>
    <phoneticPr fontId="143" type="noConversion"/>
  </si>
  <si>
    <t>京（2019）丰不动产权第0022369号</t>
    <phoneticPr fontId="143" type="noConversion"/>
  </si>
  <si>
    <t>京（2019）丰不动产权第0022373号</t>
    <phoneticPr fontId="143" type="noConversion"/>
  </si>
  <si>
    <t>京（2019）丰不动产权第0022392号</t>
    <phoneticPr fontId="143" type="noConversion"/>
  </si>
  <si>
    <t>京（2019）丰不动产权第0022361号</t>
    <phoneticPr fontId="143" type="noConversion"/>
  </si>
  <si>
    <t>京（2019）丰不动产权第0022364号</t>
    <phoneticPr fontId="143" type="noConversion"/>
  </si>
  <si>
    <t>京（2019）丰不动产权第0022584号</t>
    <phoneticPr fontId="143" type="noConversion"/>
  </si>
  <si>
    <t>京（2019）丰不动产权第0022520号</t>
    <phoneticPr fontId="143" type="noConversion"/>
  </si>
  <si>
    <t>京（2019）丰不动产权第0021475号</t>
    <phoneticPr fontId="143" type="noConversion"/>
  </si>
  <si>
    <t>京（2019）丰不动产权第0021507号</t>
    <phoneticPr fontId="143" type="noConversion"/>
  </si>
  <si>
    <t>京（2019）丰不动产权第0021484号</t>
    <phoneticPr fontId="143" type="noConversion"/>
  </si>
  <si>
    <t>京（2019）丰不动产权第0021462号</t>
    <phoneticPr fontId="143" type="noConversion"/>
  </si>
  <si>
    <t>京（2019）丰不动产权第0021527号</t>
    <phoneticPr fontId="143" type="noConversion"/>
  </si>
  <si>
    <t>京（2019）丰不动产权第0021525号</t>
    <phoneticPr fontId="143" type="noConversion"/>
  </si>
  <si>
    <t>京（2019）丰不动产权第0021395号</t>
    <phoneticPr fontId="143" type="noConversion"/>
  </si>
  <si>
    <t>京（2019）丰不动产权第0021473号</t>
    <phoneticPr fontId="143" type="noConversion"/>
  </si>
  <si>
    <t>京（2019）丰不动产权第0021513号</t>
    <phoneticPr fontId="143" type="noConversion"/>
  </si>
  <si>
    <t>京（2019）丰不动产权第0021510号</t>
    <phoneticPr fontId="143" type="noConversion"/>
  </si>
  <si>
    <t>京（2019）丰不动产权第0022092号</t>
    <phoneticPr fontId="143" type="noConversion"/>
  </si>
  <si>
    <t>京（2019）丰不动产权第0022095号</t>
    <phoneticPr fontId="143" type="noConversion"/>
  </si>
  <si>
    <t>京（2019）丰不动产权第0022101号</t>
    <phoneticPr fontId="143" type="noConversion"/>
  </si>
  <si>
    <t>京（2019）丰不动产权第0022106号</t>
    <phoneticPr fontId="143" type="noConversion"/>
  </si>
  <si>
    <t>京（2019）丰不动产权第0022102号</t>
    <phoneticPr fontId="143" type="noConversion"/>
  </si>
  <si>
    <t>京（2019）丰不动产权第0022078号</t>
    <phoneticPr fontId="143" type="noConversion"/>
  </si>
  <si>
    <t>京（2019）丰不动产权第0022098号</t>
    <phoneticPr fontId="143" type="noConversion"/>
  </si>
  <si>
    <t>京（2019）丰不动产权第0022085号</t>
    <phoneticPr fontId="143" type="noConversion"/>
  </si>
  <si>
    <t>京（2019）丰不动产权第0022099号</t>
    <phoneticPr fontId="143" type="noConversion"/>
  </si>
  <si>
    <t>京（2019）丰不动产权第0022072号</t>
    <phoneticPr fontId="143" type="noConversion"/>
  </si>
  <si>
    <t>京（2019）丰不动产权第0022434号</t>
    <phoneticPr fontId="143" type="noConversion"/>
  </si>
  <si>
    <t>京（2019）丰不动产权第0022439号</t>
    <phoneticPr fontId="143" type="noConversion"/>
  </si>
  <si>
    <t>京（2019）丰不动产权第0022383号</t>
    <phoneticPr fontId="143" type="noConversion"/>
  </si>
  <si>
    <t>京（2019）丰不动产权第0022391号</t>
    <phoneticPr fontId="143" type="noConversion"/>
  </si>
  <si>
    <t>京（2019）丰不动产权第0022514号</t>
    <phoneticPr fontId="143" type="noConversion"/>
  </si>
  <si>
    <t>京（2019）丰不动产权第0022396号</t>
    <phoneticPr fontId="143" type="noConversion"/>
  </si>
  <si>
    <t>京（2019）丰不动产权第0022419号</t>
    <phoneticPr fontId="143" type="noConversion"/>
  </si>
  <si>
    <t>京（2019）丰不动产权第0022428号</t>
    <phoneticPr fontId="143" type="noConversion"/>
  </si>
  <si>
    <t>京（2019）丰不动产权第0022511号</t>
    <phoneticPr fontId="143" type="noConversion"/>
  </si>
  <si>
    <t>京（2019）丰不动产权第0022539号</t>
    <phoneticPr fontId="143" type="noConversion"/>
  </si>
  <si>
    <t>京（2019）丰不动产权第0021494号</t>
    <phoneticPr fontId="143" type="noConversion"/>
  </si>
  <si>
    <t>京（2019）丰不动产权第0021516号</t>
    <phoneticPr fontId="143" type="noConversion"/>
  </si>
  <si>
    <t>京（2019）丰不动产权第0021491号</t>
    <phoneticPr fontId="143" type="noConversion"/>
  </si>
  <si>
    <t>京（2019）丰不动产权第0021478号</t>
    <phoneticPr fontId="143" type="noConversion"/>
  </si>
  <si>
    <t>京（2019）丰不动产权第0022500号</t>
    <phoneticPr fontId="143" type="noConversion"/>
  </si>
  <si>
    <t>京（2019）丰不动产权第0022490号</t>
    <phoneticPr fontId="143" type="noConversion"/>
  </si>
  <si>
    <t>京（2019）丰不动产权第0022487号</t>
    <phoneticPr fontId="143" type="noConversion"/>
  </si>
  <si>
    <t>京（2019）丰不动产权第0022506号</t>
    <phoneticPr fontId="143" type="noConversion"/>
  </si>
  <si>
    <t>京（2019）丰不动产权第0022485号</t>
    <phoneticPr fontId="143" type="noConversion"/>
  </si>
  <si>
    <t>京（2019）丰不动产权第0022497号</t>
    <phoneticPr fontId="143" type="noConversion"/>
  </si>
  <si>
    <t>京（2019）丰不动产权第0022139号</t>
    <phoneticPr fontId="143" type="noConversion"/>
  </si>
  <si>
    <t>京（2019）丰不动产权第0022142号</t>
    <phoneticPr fontId="143" type="noConversion"/>
  </si>
  <si>
    <t>京（2019）丰不动产权第0022136号</t>
    <phoneticPr fontId="143" type="noConversion"/>
  </si>
  <si>
    <t>京（2019）丰不动产权第0022138号</t>
    <phoneticPr fontId="143" type="noConversion"/>
  </si>
  <si>
    <t>京（2019）丰不动产权第0022131号</t>
    <phoneticPr fontId="143" type="noConversion"/>
  </si>
  <si>
    <t>京（2019）丰不动产权第0022135号</t>
    <phoneticPr fontId="143" type="noConversion"/>
  </si>
  <si>
    <t>京（2019）丰不动产权第0022132号</t>
    <phoneticPr fontId="143" type="noConversion"/>
  </si>
  <si>
    <t>京（2019）丰不动产权第0022140号</t>
    <phoneticPr fontId="143" type="noConversion"/>
  </si>
  <si>
    <t>京（2019）丰不动产权第0022137号</t>
    <phoneticPr fontId="143" type="noConversion"/>
  </si>
  <si>
    <t>京（2019）丰不动产权第0022141号</t>
    <phoneticPr fontId="143" type="noConversion"/>
  </si>
  <si>
    <t>京（2019）丰不动产权第0021054号</t>
    <phoneticPr fontId="143" type="noConversion"/>
  </si>
  <si>
    <t>京（2019）丰不动产权第0021095号</t>
    <phoneticPr fontId="143" type="noConversion"/>
  </si>
  <si>
    <t>京（2019）丰不动产权第0021066号</t>
    <phoneticPr fontId="143" type="noConversion"/>
  </si>
  <si>
    <t>京（2019）丰不动产权第0021112号</t>
    <phoneticPr fontId="143" type="noConversion"/>
  </si>
  <si>
    <t>京（2019）丰不动产权第0021137号</t>
    <phoneticPr fontId="143" type="noConversion"/>
  </si>
  <si>
    <t>京（2019）丰不动产权第0021365号</t>
    <phoneticPr fontId="143" type="noConversion"/>
  </si>
  <si>
    <t>京（2019）丰不动产权第0021371号</t>
    <phoneticPr fontId="143" type="noConversion"/>
  </si>
  <si>
    <t>京（2019）丰不动产权第0021072号</t>
    <phoneticPr fontId="143" type="noConversion"/>
  </si>
  <si>
    <t>京（2019）丰不动产权第0021140号</t>
    <phoneticPr fontId="143" type="noConversion"/>
  </si>
  <si>
    <t>京（2019）丰不动产权第0021079号</t>
    <phoneticPr fontId="143" type="noConversion"/>
  </si>
  <si>
    <t>京（2019）丰不动产权第0021021号</t>
    <phoneticPr fontId="143" type="noConversion"/>
  </si>
  <si>
    <t>京（2019）丰不动产权第0021164号</t>
    <phoneticPr fontId="143" type="noConversion"/>
  </si>
  <si>
    <t>京（2019）丰不动产权第0021038号</t>
    <phoneticPr fontId="143" type="noConversion"/>
  </si>
  <si>
    <t>京（2019）丰不动产权第0020985号</t>
    <phoneticPr fontId="143" type="noConversion"/>
  </si>
  <si>
    <t>京（2019）丰不动产权第0021018号</t>
    <phoneticPr fontId="143" type="noConversion"/>
  </si>
  <si>
    <t>京（2019）丰不动产权第0020993号</t>
    <phoneticPr fontId="143" type="noConversion"/>
  </si>
  <si>
    <t>京（2019）丰不动产权第0020973号</t>
    <phoneticPr fontId="143" type="noConversion"/>
  </si>
  <si>
    <t>京（2019）丰不动产权第0021160号</t>
    <phoneticPr fontId="143" type="noConversion"/>
  </si>
  <si>
    <t>京（2019）丰不动产权第0020997号</t>
    <phoneticPr fontId="143" type="noConversion"/>
  </si>
  <si>
    <t>京（2019）丰不动产权第0021022号</t>
    <phoneticPr fontId="143" type="noConversion"/>
  </si>
  <si>
    <t>京（2019）丰不动产权第0020951号</t>
    <phoneticPr fontId="143" type="noConversion"/>
  </si>
  <si>
    <t>京（2019）丰不动产权第0021073号</t>
    <phoneticPr fontId="143" type="noConversion"/>
  </si>
  <si>
    <t>京（2019）丰不动产权第0021074号</t>
    <phoneticPr fontId="143" type="noConversion"/>
  </si>
  <si>
    <t>京（2019）丰不动产权第0021078号</t>
    <phoneticPr fontId="143" type="noConversion"/>
  </si>
  <si>
    <t>京（2019）丰不动产权第0021322号</t>
    <phoneticPr fontId="143" type="noConversion"/>
  </si>
  <si>
    <t>京（2019）丰不动产权第0021081号</t>
    <phoneticPr fontId="143" type="noConversion"/>
  </si>
  <si>
    <t>京（2019）丰不动产权第0021085号</t>
    <phoneticPr fontId="143" type="noConversion"/>
  </si>
  <si>
    <t>京（2019）丰不动产权第0021150号</t>
    <phoneticPr fontId="143" type="noConversion"/>
  </si>
  <si>
    <t>京（2019）丰不动产权第0021147号</t>
    <phoneticPr fontId="143" type="noConversion"/>
  </si>
  <si>
    <t>京（2019）丰不动产权第0021096号</t>
    <phoneticPr fontId="143" type="noConversion"/>
  </si>
  <si>
    <t>京（2019）丰不动产权第0023036号</t>
    <phoneticPr fontId="143" type="noConversion"/>
  </si>
  <si>
    <t>京（2019）丰不动产权第0023030号</t>
    <phoneticPr fontId="143" type="noConversion"/>
  </si>
  <si>
    <t>京（2019）丰不动产权第0023072号</t>
    <phoneticPr fontId="143" type="noConversion"/>
  </si>
  <si>
    <t>京（2019）丰不动产权第0023048号</t>
    <phoneticPr fontId="143" type="noConversion"/>
  </si>
  <si>
    <t>京（2019）丰不动产权第0023045号</t>
    <phoneticPr fontId="143" type="noConversion"/>
  </si>
  <si>
    <t>京（2019）丰不动产权第0023065号</t>
    <phoneticPr fontId="143" type="noConversion"/>
  </si>
  <si>
    <t>京（2019）丰不动产权第0023068号</t>
    <phoneticPr fontId="143" type="noConversion"/>
  </si>
  <si>
    <t>京（2019）丰不动产权第0023077号</t>
    <phoneticPr fontId="143" type="noConversion"/>
  </si>
  <si>
    <t>京（2019）丰不动产权第0023033号</t>
    <phoneticPr fontId="143" type="noConversion"/>
  </si>
  <si>
    <t>京（2019）丰不动产权第0023062号</t>
    <phoneticPr fontId="143" type="noConversion"/>
  </si>
  <si>
    <t>京（2019）丰不动产权第0023016号</t>
    <phoneticPr fontId="143" type="noConversion"/>
  </si>
  <si>
    <t>京（2019）丰不动产权第0023027号</t>
    <phoneticPr fontId="143" type="noConversion"/>
  </si>
  <si>
    <t>京（2019）丰不动产权第0023021号</t>
    <phoneticPr fontId="143" type="noConversion"/>
  </si>
  <si>
    <t>京（2019）丰不动产权第0023026号</t>
    <phoneticPr fontId="143" type="noConversion"/>
  </si>
  <si>
    <t>京（2019）丰不动产权第0023031号</t>
    <phoneticPr fontId="143" type="noConversion"/>
  </si>
  <si>
    <t>京（2019）丰不动产权第0023019号</t>
    <phoneticPr fontId="143" type="noConversion"/>
  </si>
  <si>
    <t>京（2019）丰不动产权第0023047号</t>
    <phoneticPr fontId="143" type="noConversion"/>
  </si>
  <si>
    <t>京（2019）丰不动产权第0023044号</t>
    <phoneticPr fontId="143" type="noConversion"/>
  </si>
  <si>
    <t>京（2019）丰不动产权第0023038号</t>
    <phoneticPr fontId="143" type="noConversion"/>
  </si>
  <si>
    <t>京（2019）丰不动产权第0023039号</t>
    <phoneticPr fontId="143" type="noConversion"/>
  </si>
  <si>
    <t>京（2019）丰不动产权第0023101号</t>
    <phoneticPr fontId="143" type="noConversion"/>
  </si>
  <si>
    <t>京（2019）丰不动产权第0023078号</t>
    <phoneticPr fontId="143" type="noConversion"/>
  </si>
  <si>
    <t>京（2019）丰不动产权第0023025号</t>
    <phoneticPr fontId="143" type="noConversion"/>
  </si>
  <si>
    <t>京（2019）丰不动产权第0023112号</t>
    <phoneticPr fontId="143" type="noConversion"/>
  </si>
  <si>
    <t>京（2019）丰不动产权第0023111号</t>
    <phoneticPr fontId="143" type="noConversion"/>
  </si>
  <si>
    <t>京（2019）丰不动产权第0023109号</t>
    <phoneticPr fontId="143" type="noConversion"/>
  </si>
  <si>
    <t>京（2019）丰不动产权第0023419号</t>
    <phoneticPr fontId="143" type="noConversion"/>
  </si>
  <si>
    <t>京（2019）丰不动产权第0023105号</t>
    <phoneticPr fontId="143" type="noConversion"/>
  </si>
  <si>
    <t>合计</t>
    <phoneticPr fontId="143" type="noConversion"/>
  </si>
  <si>
    <t>是</t>
  </si>
  <si>
    <t>地上</t>
  </si>
  <si>
    <t>办公楼</t>
  </si>
  <si>
    <t>办公</t>
    <phoneticPr fontId="7" type="noConversion"/>
  </si>
  <si>
    <t>成新度</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</si>
  <si>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</si>
  <si>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</si>
  <si>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</si>
  <si>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</si>
  <si>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</si>
  <si>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标准写字楼</t>
    <phoneticPr fontId="3" type="noConversion"/>
  </si>
  <si>
    <t>钢混</t>
  </si>
  <si>
    <t>钢混</t>
    <phoneticPr fontId="32" type="noConversion"/>
  </si>
  <si>
    <t>精装修</t>
  </si>
  <si>
    <t>精装修</t>
    <phoneticPr fontId="32" type="noConversion"/>
  </si>
  <si>
    <t>甲级</t>
  </si>
  <si>
    <t>甲级</t>
    <phoneticPr fontId="32" type="noConversion"/>
  </si>
  <si>
    <t>钢</t>
    <phoneticPr fontId="32" type="noConversion"/>
  </si>
  <si>
    <t>砖混</t>
    <phoneticPr fontId="32" type="noConversion"/>
  </si>
  <si>
    <t>普通装修</t>
  </si>
  <si>
    <t>普通装修</t>
    <phoneticPr fontId="32" type="noConversion"/>
  </si>
  <si>
    <t>简单装修</t>
    <phoneticPr fontId="32" type="noConversion"/>
  </si>
  <si>
    <t>毛坯</t>
  </si>
  <si>
    <t>毛坯</t>
    <phoneticPr fontId="32" type="noConversion"/>
  </si>
  <si>
    <t>乙级</t>
    <phoneticPr fontId="32" type="noConversion"/>
  </si>
  <si>
    <t>专业</t>
  </si>
  <si>
    <t>专业</t>
    <phoneticPr fontId="32" type="noConversion"/>
  </si>
  <si>
    <t>普通</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</si>
  <si>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</si>
  <si>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</si>
  <si>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</si>
  <si>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</si>
  <si>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</si>
  <si>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</si>
  <si>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</si>
  <si>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超高层高</t>
    <phoneticPr fontId="32" type="noConversion"/>
  </si>
  <si>
    <t>标准层高</t>
  </si>
  <si>
    <t>标准层高</t>
    <phoneticPr fontId="32" type="noConversion"/>
  </si>
  <si>
    <t>保利佲悦大都汇</t>
    <phoneticPr fontId="3" type="noConversion"/>
  </si>
  <si>
    <t>北京丰台金茂广场</t>
    <phoneticPr fontId="3" type="noConversion"/>
  </si>
  <si>
    <t>主语国际</t>
    <phoneticPr fontId="3" type="noConversion"/>
  </si>
  <si>
    <t>正常</t>
  </si>
  <si>
    <t>办公</t>
    <phoneticPr fontId="32" type="noConversion"/>
  </si>
  <si>
    <t>40-50（含）</t>
  </si>
  <si>
    <t>30-40（含）</t>
  </si>
  <si>
    <t>好</t>
  </si>
  <si>
    <t>较好</t>
  </si>
  <si>
    <t>一般</t>
  </si>
  <si>
    <t>售价</t>
  </si>
  <si>
    <t>城市主干道</t>
  </si>
  <si>
    <t>城市支路</t>
  </si>
  <si>
    <t>城市次干道</t>
  </si>
  <si>
    <t>高</t>
  </si>
  <si>
    <t>高</t>
    <phoneticPr fontId="32" type="noConversion"/>
  </si>
  <si>
    <t>中</t>
  </si>
  <si>
    <t>中</t>
    <phoneticPr fontId="32" type="noConversion"/>
  </si>
  <si>
    <t>低</t>
  </si>
  <si>
    <t>低</t>
    <phoneticPr fontId="32" type="noConversion"/>
  </si>
  <si>
    <t>标准写字楼</t>
  </si>
  <si>
    <t>押一</t>
  </si>
  <si>
    <t>按租金收入计税</t>
  </si>
  <si>
    <t>收益法</t>
  </si>
  <si>
    <t>非生产用房</t>
  </si>
  <si>
    <t>未包含在土地购买价格中</t>
  </si>
  <si>
    <t>比较法-办公</t>
  </si>
  <si>
    <t>楼层</t>
    <phoneticPr fontId="3" type="noConversion"/>
  </si>
  <si>
    <r>
      <rPr>
        <sz val="12"/>
        <color theme="9" tint="-0.249977111117893"/>
        <rFont val="宋体"/>
        <family val="3"/>
        <charset val="134"/>
      </rPr>
      <t>北京市丰台区丽泽路</t>
    </r>
    <r>
      <rPr>
        <sz val="12"/>
        <color theme="9" tint="-0.249977111117893"/>
        <rFont val="Arial"/>
        <family val="2"/>
      </rPr>
      <t>16</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层</t>
    </r>
    <r>
      <rPr>
        <sz val="12"/>
        <color theme="9" tint="-0.249977111117893"/>
        <rFont val="Arial"/>
        <family val="2"/>
      </rPr>
      <t>301</t>
    </r>
    <r>
      <rPr>
        <sz val="12"/>
        <color theme="9" tint="-0.249977111117893"/>
        <rFont val="宋体"/>
        <family val="3"/>
        <charset val="134"/>
      </rPr>
      <t>号等</t>
    </r>
    <r>
      <rPr>
        <sz val="12"/>
        <color theme="9" tint="-0.249977111117893"/>
        <rFont val="Arial"/>
        <family val="2"/>
      </rPr>
      <t>178</t>
    </r>
    <r>
      <rPr>
        <sz val="12"/>
        <color theme="9" tint="-0.249977111117893"/>
        <rFont val="宋体"/>
        <family val="3"/>
        <charset val="134"/>
      </rPr>
      <t>套办公用房房地产</t>
    </r>
    <phoneticPr fontId="6" type="noConversion"/>
  </si>
  <si>
    <t>北京银鹤永泰商业管理有限公司</t>
    <phoneticPr fontId="6" type="noConversion"/>
  </si>
  <si>
    <t>《不动产权证书》[京（2019）丰不动产权第0008287号]等178本及《估价委托书》</t>
    <phoneticPr fontId="6" type="noConversion"/>
  </si>
  <si>
    <t>中国工商银行股份有限公司北京九龙山支行</t>
    <phoneticPr fontId="6" type="noConversion"/>
  </si>
  <si>
    <t>商务金融用地（办公类）</t>
  </si>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</sst>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0" fillId="0" borderId="1" xfId="0" applyBorder="1" applyAlignment="1">
      <alignment horizontal="left"/>
    </xf>
    <xf numFmtId="0" fontId="0" fillId="5" borderId="1" xfId="0" applyFill="1" applyBorder="1" applyAlignment="1">
      <alignment horizontal="left"/>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56" fillId="18" borderId="0"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1" xfId="0" applyBorder="1" applyAlignment="1">
      <alignment horizontal="left"/>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北京市北京市丰台区丽泽路16号院2号楼3层301号等178套办公用房房地产出让国有建设用地使用权及在建建筑物房地产抵押价值预评估</v>
      </c>
    </row>
    <row r="3" spans="1:2" s="1591" customFormat="1">
      <c r="A3" s="1589" t="s">
        <v>1217</v>
      </c>
      <c r="B3" s="1590" t="str">
        <f>'预评函-封皮'!B40</f>
        <v>北京银鹤永泰商业管理有限公司</v>
      </c>
    </row>
    <row r="4" spans="1:2" s="1591" customFormat="1">
      <c r="A4" s="1589" t="s">
        <v>1218</v>
      </c>
      <c r="B4" s="1590" t="str">
        <f ca="1">'预评函-封皮'!B46</f>
        <v>吴薇（注册号：1419970001)、郑燚（注册号：1120070131)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受贵公司委托，我公司对北京市北京市丰台区丽泽路16号院2号楼3层301号等178套办公用房房地产出让国有建设用地使用权及在建建筑物房地产抵押价值进行了预评估。</v>
      </c>
    </row>
    <row r="7" spans="1:2" s="1591" customFormat="1">
      <c r="A7" s="1589" t="s">
        <v>1260</v>
      </c>
      <c r="B7" s="1590" t="str">
        <f>'预评函-1'!A7</f>
        <v>估价对象为北京市北京市丰台区丽泽路16号院2号楼3层301号等178套办公用房房地产出让国有建设用地使用权及在建建筑物房地产，为所有。根据《国有土地使用证》[]，估价对象（分摊）出让国有建设用地使用权面积为0平方米。根据《不动产权证书》[京（2019）丰不动产权第0008287号]等178本及《估价委托书》，估价对象建筑面积为380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北京市丰台区丽泽路16号院2号楼3层301号等178套办公用房房地产出让国有建设用地使用权及在建建筑物房地产,属开发建设的，该项目尚在开发建设中。根据《国有土地使用证》[]，估价对象（分摊）出让国有建设用地使用权面积为0平方米。根据《不动产权证书》[京（2019）丰不动产权第0008287号]等178本及《估价委托书》，估价对象规划建筑面积为380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为估价委托人在向中国工商银行股份有限公司北京九龙山支行办理贷款手续过程中，确定房地产抵押贷款额度提供参考依据而评估房地产抵押价值。</v>
      </c>
    </row>
    <row r="12" spans="1:2" s="1591" customFormat="1">
      <c r="A12" s="1589" t="s">
        <v>1222</v>
      </c>
      <c r="B12" s="1590" t="str">
        <f>'预评函-1'!A15</f>
        <v>2019年7月26日（评估专业人员实地查勘之日）</v>
      </c>
    </row>
    <row r="13" spans="1:2" s="1591" customFormat="1">
      <c r="A13" s="1589" t="s">
        <v>1223</v>
      </c>
      <c r="B13" s="1590" t="str">
        <f>'预评函-1'!A18</f>
        <v>本次估价的“房地产价值”是指在正常市场情况下，在价值时点2019年7月26日，估价对象规划用途为办公，土地取得方式为出让，出让国有建设用地使用权剩余土地使用年限为43.66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七通”（即、、、、、、）、红线内场地平整条件下，剩余土地使用年限为43.66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本次评估采用的主估价方法为收益法和比较法。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2338</v>
      </c>
    </row>
    <row r="21" spans="1:2" s="1591" customFormat="1">
      <c r="A21" s="1589" t="s">
        <v>1231</v>
      </c>
      <c r="B21" s="1590">
        <f ca="1">'预评函-2'!D7</f>
        <v>61526</v>
      </c>
    </row>
    <row r="22" spans="1:2" s="1591" customFormat="1">
      <c r="A22" s="1589" t="s">
        <v>1232</v>
      </c>
      <c r="B22" s="1590" t="str">
        <f ca="1">'预评函-2'!D6</f>
        <v>贰仟叁佰叁拾捌万元整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2338</v>
      </c>
    </row>
    <row r="31" spans="1:2" s="1591" customFormat="1">
      <c r="A31" s="1589" t="s">
        <v>1270</v>
      </c>
      <c r="B31" s="1590">
        <f ca="1">'预评函-2'!D15</f>
        <v>61526</v>
      </c>
    </row>
    <row r="32" spans="1:2" s="1591" customFormat="1">
      <c r="A32" s="1589" t="s">
        <v>1237</v>
      </c>
      <c r="B32" s="1590" t="str">
        <f ca="1">'预评函-2'!D14</f>
        <v>贰仟叁佰叁拾捌万元整</v>
      </c>
    </row>
    <row r="33" spans="1:2" s="1591" customFormat="1">
      <c r="A33" s="1589" t="s">
        <v>1272</v>
      </c>
      <c r="B33" s="1590" t="str">
        <f>'预评函-2'!B16</f>
        <v>4.抵押担保权已注销时的房地产抵押价值</v>
      </c>
    </row>
    <row r="34" spans="1:2" s="1591" customFormat="1">
      <c r="A34" s="1589" t="s">
        <v>1290</v>
      </c>
      <c r="B34" s="1590">
        <f ca="1">'预评函-2'!D16</f>
        <v>2338</v>
      </c>
    </row>
    <row r="35" spans="1:2" s="1591" customFormat="1">
      <c r="A35" s="1589" t="s">
        <v>1271</v>
      </c>
      <c r="B35" s="1590">
        <f ca="1">'预评函-2'!D18</f>
        <v>61526</v>
      </c>
    </row>
    <row r="36" spans="1:2" s="1591" customFormat="1">
      <c r="A36" s="1589" t="s">
        <v>1238</v>
      </c>
      <c r="B36" s="1590" t="str">
        <f ca="1">'预评函-2'!D17</f>
        <v>贰仟叁佰叁拾捌万元整</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北京市北京市丰台区丽泽路16号院2号楼3层301号等178套办公用房房地产出让国有建设用地使用权及在建建筑物房地产</v>
      </c>
    </row>
    <row r="42" spans="1:2" s="1591" customFormat="1">
      <c r="A42" s="1589" t="s">
        <v>1284</v>
      </c>
      <c r="B42" s="1590" t="str">
        <f>'预评函-3'!B2</f>
        <v>建筑面积</v>
      </c>
    </row>
    <row r="43" spans="1:2" s="1591" customFormat="1">
      <c r="A43" s="1589" t="s">
        <v>1285</v>
      </c>
      <c r="B43" s="1590">
        <f>'预评函-3'!B4</f>
        <v>380</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抵押担保权已注销时的房地产抵押价值</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吴薇</v>
      </c>
    </row>
    <row r="71" spans="1:2">
      <c r="A71" s="1589" t="s">
        <v>1257</v>
      </c>
      <c r="B71" s="1590">
        <f ca="1">'预评函-4'!B4</f>
        <v>1419970001</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1685</v>
      </c>
      <c r="C1" s="2005" t="s">
        <v>759</v>
      </c>
      <c r="D1" s="2006" t="s">
        <v>1686</v>
      </c>
      <c r="E1" s="2006" t="s">
        <v>1687</v>
      </c>
      <c r="F1" s="2006" t="s">
        <v>1688</v>
      </c>
      <c r="G1" s="2006" t="s">
        <v>1689</v>
      </c>
      <c r="H1" s="2006" t="s">
        <v>1690</v>
      </c>
      <c r="I1" s="2006" t="s">
        <v>1691</v>
      </c>
      <c r="J1" s="2006" t="s">
        <v>1692</v>
      </c>
      <c r="K1" s="2006" t="s">
        <v>1693</v>
      </c>
      <c r="L1" s="2006" t="s">
        <v>1694</v>
      </c>
      <c r="M1" s="2006" t="s">
        <v>1695</v>
      </c>
      <c r="N1" s="2006" t="s">
        <v>1696</v>
      </c>
      <c r="O1" s="2006" t="s">
        <v>1697</v>
      </c>
      <c r="P1" s="2007" t="s">
        <v>753</v>
      </c>
      <c r="Q1" s="2007" t="s">
        <v>1141</v>
      </c>
      <c r="R1" s="2006" t="s">
        <v>1135</v>
      </c>
      <c r="S1" s="2006" t="s">
        <v>1698</v>
      </c>
      <c r="T1" s="2008" t="s">
        <v>1699</v>
      </c>
      <c r="U1" s="2006" t="s">
        <v>1700</v>
      </c>
      <c r="V1" s="2006" t="s">
        <v>1701</v>
      </c>
      <c r="W1" s="2006" t="s">
        <v>755</v>
      </c>
    </row>
    <row r="2" spans="1:23">
      <c r="A2" s="2010" t="s">
        <v>22</v>
      </c>
      <c r="B2" s="2010" t="s">
        <v>1702</v>
      </c>
      <c r="C2" s="2011" t="s">
        <v>760</v>
      </c>
      <c r="D2" s="2012" t="s">
        <v>1703</v>
      </c>
      <c r="E2" s="2012" t="s">
        <v>1704</v>
      </c>
      <c r="F2" s="2012" t="s">
        <v>1705</v>
      </c>
      <c r="G2" s="2012">
        <v>40</v>
      </c>
      <c r="H2" s="2012" t="s">
        <v>1705</v>
      </c>
      <c r="I2" s="2012" t="s">
        <v>1706</v>
      </c>
      <c r="J2" s="2012" t="s">
        <v>1707</v>
      </c>
      <c r="K2" s="2012" t="s">
        <v>1708</v>
      </c>
      <c r="L2" s="2012" t="s">
        <v>1708</v>
      </c>
      <c r="M2" s="2012" t="s">
        <v>1708</v>
      </c>
      <c r="N2" s="2012" t="s">
        <v>1708</v>
      </c>
      <c r="O2" s="2012" t="s">
        <v>1708</v>
      </c>
      <c r="P2" s="2012" t="s">
        <v>1708</v>
      </c>
      <c r="Q2" s="2012" t="s">
        <v>1708</v>
      </c>
      <c r="R2" s="2012" t="s">
        <v>1137</v>
      </c>
      <c r="S2" s="2012" t="s">
        <v>1708</v>
      </c>
      <c r="T2" s="2012" t="s">
        <v>1709</v>
      </c>
      <c r="U2" s="2012" t="s">
        <v>1708</v>
      </c>
      <c r="V2" s="2012" t="s">
        <v>1710</v>
      </c>
      <c r="W2" s="2012" t="s">
        <v>1708</v>
      </c>
    </row>
    <row r="3" spans="1:23">
      <c r="A3" s="2010" t="s">
        <v>1711</v>
      </c>
      <c r="B3" s="2013" t="s">
        <v>1142</v>
      </c>
      <c r="C3" s="2014" t="s">
        <v>761</v>
      </c>
      <c r="D3" s="2012" t="s">
        <v>1712</v>
      </c>
      <c r="E3" s="2012" t="s">
        <v>16</v>
      </c>
      <c r="F3" s="2012" t="s">
        <v>1713</v>
      </c>
      <c r="G3" s="2012">
        <v>50</v>
      </c>
      <c r="H3" s="2012" t="s">
        <v>1713</v>
      </c>
      <c r="I3" s="2012" t="s">
        <v>1714</v>
      </c>
      <c r="J3" s="2012" t="s">
        <v>1715</v>
      </c>
      <c r="K3" s="2012" t="s">
        <v>1716</v>
      </c>
      <c r="L3" s="2012" t="s">
        <v>1716</v>
      </c>
      <c r="M3" s="2012" t="s">
        <v>1716</v>
      </c>
      <c r="N3" s="2012" t="s">
        <v>1716</v>
      </c>
      <c r="O3" s="2012" t="s">
        <v>1716</v>
      </c>
      <c r="P3" s="2012" t="s">
        <v>1716</v>
      </c>
      <c r="Q3" s="2012" t="s">
        <v>1716</v>
      </c>
      <c r="R3" s="2012" t="s">
        <v>1136</v>
      </c>
      <c r="S3" s="2012" t="s">
        <v>1716</v>
      </c>
      <c r="T3" s="2012" t="s">
        <v>1717</v>
      </c>
      <c r="U3" s="2012" t="s">
        <v>1716</v>
      </c>
      <c r="V3" s="2012" t="s">
        <v>1718</v>
      </c>
      <c r="W3" s="2012" t="s">
        <v>1716</v>
      </c>
    </row>
    <row r="4" spans="1:23">
      <c r="A4" s="2010" t="s">
        <v>1719</v>
      </c>
      <c r="B4" s="2010" t="s">
        <v>1720</v>
      </c>
      <c r="C4" s="2011" t="s">
        <v>762</v>
      </c>
      <c r="D4" s="2012" t="s">
        <v>865</v>
      </c>
      <c r="E4" s="2012" t="s">
        <v>1721</v>
      </c>
      <c r="F4" s="2012" t="s">
        <v>1722</v>
      </c>
      <c r="G4" s="2012">
        <v>70</v>
      </c>
      <c r="H4" s="2012" t="s">
        <v>1722</v>
      </c>
      <c r="I4" s="2012" t="s">
        <v>1723</v>
      </c>
      <c r="K4" s="2012" t="s">
        <v>1724</v>
      </c>
      <c r="L4" s="2012" t="s">
        <v>1724</v>
      </c>
      <c r="M4" s="2012" t="s">
        <v>1724</v>
      </c>
      <c r="N4" s="2012" t="s">
        <v>1724</v>
      </c>
      <c r="O4" s="2012" t="s">
        <v>1724</v>
      </c>
      <c r="P4" s="2012" t="s">
        <v>1724</v>
      </c>
      <c r="Q4" s="2012" t="s">
        <v>1724</v>
      </c>
      <c r="R4" s="2012" t="s">
        <v>1138</v>
      </c>
      <c r="S4" s="2012" t="s">
        <v>1724</v>
      </c>
      <c r="T4" s="2012" t="s">
        <v>1725</v>
      </c>
      <c r="U4" s="2012" t="s">
        <v>1724</v>
      </c>
      <c r="W4" s="2012" t="s">
        <v>1724</v>
      </c>
    </row>
    <row r="5" spans="1:23">
      <c r="A5" s="2010" t="s">
        <v>1726</v>
      </c>
      <c r="B5" s="2010" t="s">
        <v>1727</v>
      </c>
      <c r="C5" s="2011" t="s">
        <v>763</v>
      </c>
      <c r="F5" s="2012" t="s">
        <v>1728</v>
      </c>
      <c r="H5" s="2012" t="s">
        <v>1729</v>
      </c>
      <c r="I5" s="2012" t="s">
        <v>1730</v>
      </c>
      <c r="K5" s="2012" t="s">
        <v>1731</v>
      </c>
      <c r="L5" s="2012" t="s">
        <v>1731</v>
      </c>
      <c r="M5" s="2012" t="s">
        <v>1731</v>
      </c>
      <c r="N5" s="2012" t="s">
        <v>1731</v>
      </c>
      <c r="O5" s="2012" t="s">
        <v>1731</v>
      </c>
      <c r="P5" s="2012" t="s">
        <v>1731</v>
      </c>
      <c r="Q5" s="2012" t="s">
        <v>1731</v>
      </c>
      <c r="R5" s="2012" t="s">
        <v>1139</v>
      </c>
      <c r="S5" s="2012" t="s">
        <v>1731</v>
      </c>
      <c r="T5" s="2012" t="s">
        <v>1732</v>
      </c>
      <c r="U5" s="2012" t="s">
        <v>1731</v>
      </c>
      <c r="W5" s="2012" t="s">
        <v>1731</v>
      </c>
    </row>
    <row r="6" spans="1:23">
      <c r="A6" s="2010" t="s">
        <v>1733</v>
      </c>
      <c r="B6" s="2013" t="s">
        <v>1143</v>
      </c>
      <c r="C6" s="2016" t="s">
        <v>30</v>
      </c>
      <c r="F6" s="2012" t="s">
        <v>1729</v>
      </c>
      <c r="H6" s="2012" t="s">
        <v>1734</v>
      </c>
      <c r="I6" s="2012" t="s">
        <v>1735</v>
      </c>
      <c r="K6" s="2012" t="s">
        <v>1736</v>
      </c>
      <c r="L6" s="2012" t="s">
        <v>1736</v>
      </c>
      <c r="M6" s="2012" t="s">
        <v>1736</v>
      </c>
      <c r="N6" s="2012" t="s">
        <v>1736</v>
      </c>
      <c r="O6" s="2012" t="s">
        <v>1736</v>
      </c>
      <c r="P6" s="2012" t="s">
        <v>1736</v>
      </c>
      <c r="Q6" s="2012" t="s">
        <v>1736</v>
      </c>
      <c r="R6" s="2012" t="s">
        <v>1140</v>
      </c>
      <c r="S6" s="2012" t="s">
        <v>1736</v>
      </c>
      <c r="T6" s="2012"/>
      <c r="U6" s="2012" t="s">
        <v>1736</v>
      </c>
      <c r="W6" s="2012" t="s">
        <v>1736</v>
      </c>
    </row>
    <row r="7" spans="1:23">
      <c r="A7" s="2010" t="s">
        <v>1737</v>
      </c>
      <c r="B7" s="2013" t="s">
        <v>1144</v>
      </c>
      <c r="C7" s="2011" t="s">
        <v>31</v>
      </c>
      <c r="F7" s="2012" t="s">
        <v>1738</v>
      </c>
      <c r="H7" s="2012" t="s">
        <v>1739</v>
      </c>
      <c r="I7" s="2012" t="s">
        <v>1740</v>
      </c>
    </row>
    <row r="8" spans="1:23">
      <c r="A8" s="2010" t="s">
        <v>1741</v>
      </c>
      <c r="B8" s="2010" t="s">
        <v>1742</v>
      </c>
      <c r="C8" s="2011" t="s">
        <v>764</v>
      </c>
      <c r="F8" s="2012" t="s">
        <v>1743</v>
      </c>
      <c r="H8" s="2012"/>
      <c r="I8" s="2012" t="s">
        <v>1744</v>
      </c>
    </row>
    <row r="9" spans="1:23">
      <c r="A9" s="2010" t="s">
        <v>1745</v>
      </c>
      <c r="B9" s="2010" t="s">
        <v>1746</v>
      </c>
      <c r="C9" s="2011" t="s">
        <v>765</v>
      </c>
      <c r="F9" s="2012" t="s">
        <v>1747</v>
      </c>
      <c r="H9" s="2012"/>
    </row>
    <row r="10" spans="1:23">
      <c r="A10" s="2010" t="s">
        <v>1748</v>
      </c>
      <c r="B10" s="2010" t="s">
        <v>1749</v>
      </c>
      <c r="C10" s="2011" t="s">
        <v>766</v>
      </c>
      <c r="F10" s="2012" t="s">
        <v>16</v>
      </c>
    </row>
    <row r="11" spans="1:23">
      <c r="A11" s="2010" t="s">
        <v>1750</v>
      </c>
      <c r="B11" s="2010" t="s">
        <v>1751</v>
      </c>
      <c r="C11" s="2011" t="s">
        <v>767</v>
      </c>
    </row>
    <row r="12" spans="1:23">
      <c r="A12" s="2010" t="s">
        <v>1752</v>
      </c>
      <c r="B12" s="2010" t="s">
        <v>1753</v>
      </c>
      <c r="C12" s="2011" t="s">
        <v>768</v>
      </c>
    </row>
    <row r="13" spans="1:23">
      <c r="A13" s="2010" t="s">
        <v>1754</v>
      </c>
      <c r="B13" s="2010" t="s">
        <v>1755</v>
      </c>
      <c r="C13" s="2011" t="s">
        <v>769</v>
      </c>
    </row>
    <row r="14" spans="1:23">
      <c r="A14" s="2010" t="s">
        <v>1756</v>
      </c>
      <c r="B14" s="2010" t="s">
        <v>1757</v>
      </c>
      <c r="C14" s="2012" t="s">
        <v>16</v>
      </c>
    </row>
    <row r="15" spans="1:23">
      <c r="A15" s="2010" t="s">
        <v>1758</v>
      </c>
      <c r="B15" s="2010" t="s">
        <v>1759</v>
      </c>
      <c r="C15" s="2011"/>
    </row>
    <row r="16" spans="1:23">
      <c r="A16" s="2010" t="s">
        <v>1760</v>
      </c>
      <c r="B16" s="2010" t="s">
        <v>756</v>
      </c>
      <c r="C16" s="2011"/>
    </row>
    <row r="17" spans="1:3">
      <c r="A17" s="2010" t="s">
        <v>1761</v>
      </c>
      <c r="B17" s="2010" t="s">
        <v>757</v>
      </c>
      <c r="C17" s="2011"/>
    </row>
    <row r="18" spans="1:3">
      <c r="A18" s="2010" t="s">
        <v>1762</v>
      </c>
      <c r="B18" s="2010" t="s">
        <v>757</v>
      </c>
      <c r="C18" s="2011"/>
    </row>
    <row r="19" spans="1:3">
      <c r="A19" s="2010" t="s">
        <v>1763</v>
      </c>
      <c r="B19" s="2010" t="s">
        <v>757</v>
      </c>
      <c r="C19" s="2011"/>
    </row>
    <row r="20" spans="1:3">
      <c r="A20" s="2010" t="s">
        <v>1764</v>
      </c>
      <c r="B20" s="2010" t="s">
        <v>757</v>
      </c>
      <c r="C20" s="2011"/>
    </row>
    <row r="21" spans="1:3">
      <c r="A21" s="2010" t="s">
        <v>1765</v>
      </c>
      <c r="B21" s="2010" t="s">
        <v>757</v>
      </c>
      <c r="C21" s="2011"/>
    </row>
    <row r="22" spans="1:3">
      <c r="A22" s="2010" t="s">
        <v>1766</v>
      </c>
      <c r="B22" s="2010" t="s">
        <v>757</v>
      </c>
      <c r="C22" s="2011"/>
    </row>
    <row r="23" spans="1:3">
      <c r="A23" s="2010" t="s">
        <v>1767</v>
      </c>
      <c r="B23" s="2010" t="s">
        <v>757</v>
      </c>
      <c r="C23" s="2011"/>
    </row>
    <row r="24" spans="1:3">
      <c r="A24" s="2010" t="s">
        <v>1768</v>
      </c>
      <c r="B24" s="2010" t="s">
        <v>757</v>
      </c>
      <c r="C24" s="2011"/>
    </row>
    <row r="25" spans="1:3">
      <c r="A25" s="2010" t="s">
        <v>1769</v>
      </c>
      <c r="B25" s="2010" t="s">
        <v>757</v>
      </c>
      <c r="C25" s="2011"/>
    </row>
    <row r="26" spans="1:3">
      <c r="A26" s="2010" t="s">
        <v>1770</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为估价委托人在向中国工商银行股份有限公司北京九龙山支行办理贷款手续过程中，确定房地产抵押贷款额度提供参考依据而评估房地产抵押价值。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银鹤永泰商业管理有限公司拟使用北京市北京市丰台区丽泽路16号院2号楼3层301号等178套办公用房房地产出让国有建设用地使用权及在建建筑物房地产作为抵押担保物，向中国工商银行股份有限公司北京九龙山支行办理贷款手续。中国工商银行股份有限公司北京九龙山支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05"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5"/>
      <c r="B54" s="2018" t="s">
        <v>861</v>
      </c>
      <c r="C54" s="2015" t="s">
        <v>1277</v>
      </c>
    </row>
    <row r="55" spans="1:4">
      <c r="A55" s="3005"/>
      <c r="B55" s="2018" t="s">
        <v>862</v>
      </c>
      <c r="C55" s="2015" t="s">
        <v>1278</v>
      </c>
    </row>
    <row r="56" spans="1:4">
      <c r="A56" s="3005"/>
      <c r="B56" s="2018" t="s">
        <v>863</v>
      </c>
      <c r="C56" s="2015" t="s">
        <v>1282</v>
      </c>
    </row>
    <row r="57" spans="1:4">
      <c r="A57" s="3005"/>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28" customWidth="1"/>
    <col min="2" max="2" width="10" style="2028" customWidth="1"/>
    <col min="3" max="3" width="11.5" style="2028" customWidth="1"/>
    <col min="4" max="4" width="16.75" style="2028" customWidth="1"/>
    <col min="5" max="6" width="10" style="2028" customWidth="1"/>
    <col min="7" max="7" width="10.75" style="2028" customWidth="1"/>
    <col min="8" max="8" width="10" style="2028" customWidth="1"/>
    <col min="9" max="9" width="31.87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1771</v>
      </c>
      <c r="B1" s="3014" t="str">
        <f>IF(B10="北京市","北京市",C10)&amp;F10&amp;IF(结果表!G1="在建","出让国有建设用地使用权及在建建筑物",IF(结果表!G1="土地","出让国有建设用地使用权",))&amp;B9&amp;"预评估"</f>
        <v>北京市北京市丰台区丽泽路16号院2号楼3层301号等178套办公用房房地产出让国有建设用地使用权及在建建筑物房地产抵押价值预评估</v>
      </c>
      <c r="C1" s="3015"/>
      <c r="D1" s="3015"/>
      <c r="E1" s="3015"/>
      <c r="F1" s="3015"/>
      <c r="G1" s="3015"/>
      <c r="H1" s="3015"/>
      <c r="I1" s="3016"/>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北京市北京市丰台区丽泽路16号院2号楼3层301号等178套办公用房房地产出让国有建设用地使用权及在建建筑物房地产抵押价值</v>
      </c>
    </row>
    <row r="2" spans="1:19" ht="18" customHeight="1">
      <c r="A2" s="2022" t="s">
        <v>1772</v>
      </c>
      <c r="B2" s="1037"/>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北京市北京市丰台区丽泽路16号院2号楼3层301号等178套办公用房房地产出让国有建设用地使用权及在建建筑物房地产</v>
      </c>
    </row>
    <row r="3" spans="1:19" ht="18" customHeight="1">
      <c r="A3" s="2031" t="s">
        <v>1773</v>
      </c>
      <c r="B3" s="2032">
        <v>43672</v>
      </c>
      <c r="C3" s="2033" t="s">
        <v>1774</v>
      </c>
      <c r="D3" s="2032">
        <v>43672</v>
      </c>
      <c r="E3" s="2022"/>
      <c r="F3" s="2022"/>
      <c r="G3" s="2022"/>
      <c r="H3" s="2022"/>
      <c r="I3" s="2022"/>
      <c r="J3" s="2022"/>
      <c r="K3" s="2023"/>
      <c r="L3" s="2024"/>
      <c r="M3" s="2024"/>
      <c r="N3" s="2025"/>
      <c r="O3" s="2026"/>
      <c r="P3" s="2025"/>
      <c r="Q3" s="2025"/>
      <c r="R3" s="2025"/>
      <c r="S3" s="2027"/>
    </row>
    <row r="4" spans="1:19" ht="18" customHeight="1" thickBot="1">
      <c r="A4" s="2034" t="s">
        <v>1775</v>
      </c>
      <c r="B4" s="2035" t="s">
        <v>3051</v>
      </c>
      <c r="C4" s="1035">
        <f ca="1">SUMIF(注册房地产估价师,B4,估价师及机构信息!B3:B24)</f>
        <v>1419970001</v>
      </c>
      <c r="D4" s="2035" t="s">
        <v>3052</v>
      </c>
      <c r="E4" s="1036">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吴薇（注册号：1419970001)、郑燚（注册号：1120070131)</v>
      </c>
      <c r="L4" s="2024"/>
      <c r="M4" s="2024"/>
      <c r="N4" s="2025"/>
      <c r="O4" s="2026"/>
      <c r="P4" s="2025"/>
      <c r="Q4" s="2025"/>
      <c r="R4" s="2025"/>
      <c r="S4" s="2027"/>
    </row>
    <row r="5" spans="1:19" ht="18" customHeight="1" thickTop="1">
      <c r="A5" s="2040" t="s">
        <v>1776</v>
      </c>
      <c r="B5" s="2950" t="s">
        <v>3313</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1777</v>
      </c>
      <c r="B6" s="2951" t="s">
        <v>3315</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1778</v>
      </c>
      <c r="B7" s="2951" t="s">
        <v>3053</v>
      </c>
      <c r="C7" s="2044"/>
      <c r="D7" s="2045"/>
      <c r="E7" s="2030"/>
      <c r="F7" s="2038"/>
      <c r="G7" s="2038"/>
      <c r="H7" s="2038"/>
      <c r="I7" s="2038"/>
      <c r="J7" s="2038"/>
      <c r="K7" s="2047"/>
      <c r="L7" s="2024"/>
      <c r="M7" s="2024"/>
      <c r="N7" s="2025"/>
      <c r="O7" s="2026"/>
      <c r="P7" s="2025"/>
      <c r="Q7" s="2025"/>
      <c r="R7" s="2025"/>
    </row>
    <row r="8" spans="1:19" ht="18" customHeight="1">
      <c r="A8" s="2043" t="s">
        <v>1779</v>
      </c>
      <c r="B8" s="2048" t="s">
        <v>3054</v>
      </c>
      <c r="C8" s="2049"/>
      <c r="D8" s="3017" t="s">
        <v>1780</v>
      </c>
      <c r="E8" s="2050" t="s">
        <v>3056</v>
      </c>
      <c r="F8" s="2051"/>
      <c r="G8" s="2022"/>
      <c r="H8" s="2022"/>
      <c r="I8" s="2022"/>
      <c r="J8" s="2038"/>
      <c r="K8" s="2039"/>
      <c r="L8" s="2024"/>
      <c r="M8" s="2024"/>
      <c r="N8" s="2025"/>
      <c r="O8" s="2026"/>
      <c r="P8" s="2025"/>
      <c r="Q8" s="2025"/>
      <c r="R8" s="2025"/>
    </row>
    <row r="9" spans="1:19" ht="18" customHeight="1" thickBot="1">
      <c r="A9" s="2036" t="s">
        <v>1781</v>
      </c>
      <c r="B9" s="2052" t="s">
        <v>3055</v>
      </c>
      <c r="C9" s="2053"/>
      <c r="D9" s="3018"/>
      <c r="E9" s="2052" t="s">
        <v>70</v>
      </c>
      <c r="F9" s="2054"/>
      <c r="G9" s="2055"/>
      <c r="H9" s="2055"/>
      <c r="I9" s="2055"/>
      <c r="J9" s="2038"/>
      <c r="K9" s="2047"/>
      <c r="L9" s="2024"/>
      <c r="M9" s="2024"/>
      <c r="N9" s="2025"/>
      <c r="O9" s="2026"/>
      <c r="P9" s="2025"/>
      <c r="Q9" s="2025"/>
      <c r="R9" s="2025"/>
    </row>
    <row r="10" spans="1:19" ht="18" customHeight="1" thickTop="1">
      <c r="A10" s="2056" t="s">
        <v>1782</v>
      </c>
      <c r="B10" s="2057" t="s">
        <v>3057</v>
      </c>
      <c r="C10" s="2058"/>
      <c r="D10" s="2042"/>
      <c r="E10" s="2059" t="s">
        <v>1783</v>
      </c>
      <c r="F10" s="2060" t="s">
        <v>3312</v>
      </c>
      <c r="G10" s="2061"/>
      <c r="H10" s="2062"/>
      <c r="I10" s="2042"/>
      <c r="J10" s="2038"/>
      <c r="K10" s="2047"/>
      <c r="L10" s="2024"/>
      <c r="M10" s="2024"/>
      <c r="N10" s="2025"/>
      <c r="O10" s="2026"/>
      <c r="P10" s="2025"/>
      <c r="Q10" s="2025"/>
      <c r="R10" s="2025"/>
    </row>
    <row r="11" spans="1:19" ht="18" customHeight="1">
      <c r="A11" s="2063" t="s">
        <v>1784</v>
      </c>
      <c r="B11" s="2064" t="s">
        <v>3058</v>
      </c>
      <c r="C11" s="2065"/>
      <c r="D11" s="2066"/>
      <c r="E11" s="2038"/>
      <c r="F11" s="2038"/>
      <c r="G11" s="2038"/>
      <c r="H11" s="2038"/>
      <c r="I11" s="2038"/>
      <c r="J11" s="2038"/>
      <c r="K11" s="2047"/>
      <c r="L11" s="2024"/>
      <c r="M11" s="2024"/>
      <c r="N11" s="2025"/>
      <c r="O11" s="2026"/>
      <c r="P11" s="2025"/>
      <c r="Q11" s="2025"/>
      <c r="R11" s="2025"/>
    </row>
    <row r="12" spans="1:19" ht="18" customHeight="1">
      <c r="A12" s="2067" t="s">
        <v>1785</v>
      </c>
      <c r="B12" s="2064" t="s">
        <v>3059</v>
      </c>
      <c r="C12" s="2068" t="s">
        <v>1786</v>
      </c>
      <c r="D12" s="2069" t="s">
        <v>1787</v>
      </c>
      <c r="E12" s="2069" t="s">
        <v>1788</v>
      </c>
      <c r="F12" s="2069" t="s">
        <v>1789</v>
      </c>
      <c r="G12" s="2069" t="s">
        <v>1790</v>
      </c>
      <c r="H12" s="2069" t="s">
        <v>1791</v>
      </c>
      <c r="I12" s="2069" t="s">
        <v>1792</v>
      </c>
      <c r="J12" s="2038"/>
      <c r="K12" s="2047"/>
      <c r="L12" s="2024"/>
      <c r="M12" s="2024"/>
      <c r="N12" s="2025"/>
      <c r="O12" s="2026"/>
      <c r="P12" s="2025"/>
      <c r="Q12" s="2025"/>
      <c r="R12" s="2025"/>
    </row>
    <row r="13" spans="1:19" ht="18" customHeight="1">
      <c r="A13" s="2070"/>
      <c r="B13" s="2071"/>
      <c r="C13" s="2072" t="s">
        <v>1793</v>
      </c>
      <c r="D13" s="2073"/>
      <c r="E13" s="2073"/>
      <c r="F13" s="2073">
        <v>59609</v>
      </c>
      <c r="G13" s="2073"/>
      <c r="H13" s="2073"/>
      <c r="I13" s="1045"/>
      <c r="J13" s="2038"/>
      <c r="K13" s="2047"/>
      <c r="L13" s="2024"/>
      <c r="M13" s="2024"/>
      <c r="N13" s="2025"/>
      <c r="O13" s="2026"/>
      <c r="P13" s="2025"/>
      <c r="Q13" s="2025"/>
      <c r="R13" s="2025"/>
    </row>
    <row r="14" spans="1:19" ht="18" customHeight="1">
      <c r="A14" s="2070"/>
      <c r="B14" s="2071"/>
      <c r="C14" s="2072" t="s">
        <v>1794</v>
      </c>
      <c r="D14" s="1048"/>
      <c r="E14" s="1048"/>
      <c r="F14" s="1048">
        <v>50</v>
      </c>
      <c r="G14" s="1048"/>
      <c r="H14" s="1048"/>
      <c r="I14" s="1048"/>
      <c r="J14" s="2038"/>
      <c r="K14" s="2074"/>
      <c r="L14" s="2024"/>
      <c r="M14" s="2024"/>
      <c r="N14" s="2025"/>
      <c r="O14" s="2026"/>
      <c r="P14" s="2025"/>
      <c r="Q14" s="2025"/>
      <c r="R14" s="2025"/>
    </row>
    <row r="15" spans="1:19" ht="18" customHeight="1">
      <c r="A15" s="2056"/>
      <c r="B15" s="2075"/>
      <c r="C15" s="2072" t="s">
        <v>1795</v>
      </c>
      <c r="D15" s="1047" t="str">
        <f>IF(B12="出让",IF(D13="","",ROUNDDOWN(MIN((D13-$D$3)/365,D14),2)),D14)</f>
        <v/>
      </c>
      <c r="E15" s="1047" t="str">
        <f>IF(B12="出让",IF(E13="","",ROUNDDOWN(MIN((E13-$D$3)/365,E14),2)),E14)</f>
        <v/>
      </c>
      <c r="F15" s="1047">
        <f>IF(B12="出让",IF(F13="","",ROUNDDOWN(MIN((F13-$D$3)/365,F14),2)),F14)</f>
        <v>43.66</v>
      </c>
      <c r="G15" s="1047" t="str">
        <f>IF(B12="出让",IF(G13="","",ROUNDDOWN(MIN((G13-$D$3)/365,G14),2)),G14)</f>
        <v/>
      </c>
      <c r="H15" s="1047" t="str">
        <f>IF(B12="出让",IF(H13="","",ROUNDDOWN(MIN((H13-$D$3)/365,H14),2)),H14)</f>
        <v/>
      </c>
      <c r="I15" s="1047" t="str">
        <f>IF(B12="出让",IF(I13="","",ROUNDDOWN(MIN((I13-$D$3)/365,I14),2)),I14)</f>
        <v/>
      </c>
      <c r="J15" s="2038"/>
      <c r="K15" s="2076"/>
      <c r="L15" s="2077"/>
      <c r="M15" s="2077"/>
      <c r="N15" s="2078"/>
      <c r="O15" s="2077"/>
      <c r="P15" s="2078"/>
      <c r="Q15" s="2025"/>
      <c r="R15" s="2025"/>
    </row>
    <row r="16" spans="1:19" ht="30.75" customHeight="1">
      <c r="A16" s="2059" t="s">
        <v>1796</v>
      </c>
      <c r="B16" s="3024" t="s">
        <v>3060</v>
      </c>
      <c r="C16" s="3025"/>
      <c r="D16" s="3026"/>
      <c r="E16" s="2079" t="s">
        <v>1797</v>
      </c>
      <c r="F16" s="3027" t="s">
        <v>3061</v>
      </c>
      <c r="G16" s="3028"/>
      <c r="H16" s="3028"/>
      <c r="I16" s="3029"/>
      <c r="J16" s="2025"/>
      <c r="K16" s="2076"/>
      <c r="L16" s="2077"/>
      <c r="M16" s="2077"/>
      <c r="N16" s="2078"/>
      <c r="O16" s="2077"/>
      <c r="P16" s="2078"/>
      <c r="Q16" s="2025"/>
      <c r="R16" s="2025"/>
    </row>
    <row r="17" spans="1:22" ht="18" customHeight="1">
      <c r="A17" s="2080" t="s">
        <v>1798</v>
      </c>
      <c r="B17" s="2031" t="s">
        <v>1799</v>
      </c>
      <c r="C17" s="1052">
        <f>'数据-汇总表'!E3</f>
        <v>380</v>
      </c>
      <c r="D17" s="2081" t="s">
        <v>1800</v>
      </c>
      <c r="E17" s="3030" t="s">
        <v>3314</v>
      </c>
      <c r="F17" s="3031"/>
      <c r="G17" s="3031"/>
      <c r="H17" s="3031"/>
      <c r="I17" s="3032"/>
      <c r="J17" s="2025"/>
      <c r="K17" s="2082"/>
      <c r="L17" s="2077"/>
      <c r="M17" s="2077"/>
      <c r="N17" s="2078"/>
      <c r="O17" s="2077"/>
      <c r="P17" s="2078"/>
      <c r="Q17" s="2025"/>
      <c r="R17" s="2025"/>
      <c r="S17" s="2025"/>
      <c r="T17" s="2025"/>
      <c r="U17" s="2025"/>
      <c r="V17" s="2025"/>
    </row>
    <row r="18" spans="1:22" ht="36" customHeight="1" thickBot="1">
      <c r="A18" s="2083" t="s">
        <v>70</v>
      </c>
      <c r="B18" s="2034" t="s">
        <v>1801</v>
      </c>
      <c r="C18" s="1442">
        <f>'数据-汇总表'!D3</f>
        <v>0</v>
      </c>
      <c r="D18" s="2084" t="s">
        <v>1800</v>
      </c>
      <c r="E18" s="3033" t="s">
        <v>3062</v>
      </c>
      <c r="F18" s="3034"/>
      <c r="G18" s="3034"/>
      <c r="H18" s="3034"/>
      <c r="I18" s="3035"/>
      <c r="J18" s="2025"/>
      <c r="K18" s="2082"/>
      <c r="L18" s="2077"/>
      <c r="M18" s="2077"/>
      <c r="N18" s="2078"/>
      <c r="O18" s="2077"/>
      <c r="P18" s="2078"/>
      <c r="Q18" s="2025"/>
      <c r="R18" s="2025"/>
      <c r="S18" s="2025"/>
      <c r="T18" s="2025"/>
      <c r="U18" s="2025"/>
      <c r="V18" s="2025"/>
    </row>
    <row r="19" spans="1:22" ht="37.5" customHeight="1" thickTop="1" thickBot="1">
      <c r="A19" s="373" t="s">
        <v>1802</v>
      </c>
      <c r="B19" s="352" t="s">
        <v>1803</v>
      </c>
      <c r="C19" s="2085"/>
      <c r="D19" s="2086" t="s">
        <v>1804</v>
      </c>
      <c r="E19" s="2087"/>
      <c r="F19" s="2088" t="str">
        <f>IF(AND(C19="是",E19="否"),"是否提供他项权证或相关说明","")</f>
        <v/>
      </c>
      <c r="G19" s="2089"/>
      <c r="H19" s="2038"/>
      <c r="I19" s="2038"/>
      <c r="J19" s="2038"/>
      <c r="K19" s="2047"/>
      <c r="L19" s="2024"/>
      <c r="M19" s="2024"/>
      <c r="N19" s="2078"/>
      <c r="O19" s="2077"/>
      <c r="P19" s="2078"/>
      <c r="Q19" s="2025"/>
      <c r="R19" s="2025"/>
      <c r="S19" s="2025"/>
      <c r="T19" s="2025"/>
      <c r="U19" s="2025"/>
      <c r="V19" s="2025"/>
    </row>
    <row r="20" spans="1:22" ht="18" customHeight="1">
      <c r="A20" s="2090" t="s">
        <v>1805</v>
      </c>
      <c r="B20" s="3020" t="s">
        <v>1806</v>
      </c>
      <c r="C20" s="3021"/>
      <c r="D20" s="3022" t="s">
        <v>1807</v>
      </c>
      <c r="E20" s="3023"/>
      <c r="F20" s="2091" t="s">
        <v>1808</v>
      </c>
      <c r="G20" s="2038"/>
      <c r="H20" s="2038"/>
      <c r="I20" s="2038"/>
      <c r="J20" s="2038"/>
      <c r="K20" s="3019" t="s">
        <v>1809</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8"/>
      <c r="O20" s="2077"/>
      <c r="P20" s="2078"/>
      <c r="Q20" s="2025"/>
      <c r="R20" s="2025"/>
      <c r="S20" s="2025"/>
      <c r="T20" s="2025"/>
      <c r="U20" s="2025"/>
      <c r="V20" s="2025"/>
    </row>
    <row r="21" spans="1:22" ht="24.75" customHeight="1">
      <c r="A21" s="2090"/>
      <c r="B21" s="2092" t="s">
        <v>1810</v>
      </c>
      <c r="C21" s="2093" t="s">
        <v>1811</v>
      </c>
      <c r="D21" s="2094" t="s">
        <v>1812</v>
      </c>
      <c r="E21" s="2095" t="s">
        <v>1811</v>
      </c>
      <c r="F21" s="2096"/>
      <c r="G21" s="2038"/>
      <c r="H21" s="2038"/>
      <c r="I21" s="2038"/>
      <c r="J21" s="2038"/>
      <c r="K21" s="301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1813</v>
      </c>
      <c r="C22" s="2093" t="s">
        <v>1814</v>
      </c>
      <c r="D22" s="2022"/>
      <c r="E22" s="2022"/>
      <c r="F22" s="2098"/>
      <c r="G22" s="2038"/>
      <c r="H22" s="2038"/>
      <c r="I22" s="2038"/>
      <c r="J22" s="2038"/>
      <c r="K22" s="301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1815</v>
      </c>
      <c r="B23" s="183" t="s">
        <v>1816</v>
      </c>
      <c r="C23" s="2100"/>
      <c r="D23" s="2101" t="s">
        <v>1816</v>
      </c>
      <c r="E23" s="2102"/>
      <c r="F23" s="2098"/>
      <c r="G23" s="2038"/>
      <c r="H23" s="2038"/>
      <c r="I23" s="2038"/>
      <c r="J23" s="2038"/>
      <c r="K23" s="2103"/>
      <c r="L23" s="746"/>
      <c r="M23" s="2024"/>
      <c r="N23" s="2078"/>
      <c r="O23" s="2077"/>
      <c r="P23" s="2078"/>
      <c r="Q23" s="2025"/>
      <c r="R23" s="2025"/>
      <c r="S23" s="2025"/>
      <c r="T23" s="2025"/>
      <c r="U23" s="2025"/>
      <c r="V23" s="2025"/>
    </row>
    <row r="24" spans="1:22" ht="18" customHeight="1">
      <c r="A24" s="2104"/>
      <c r="B24" s="183" t="s">
        <v>1817</v>
      </c>
      <c r="C24" s="2105"/>
      <c r="D24" s="2099" t="s">
        <v>1817</v>
      </c>
      <c r="E24" s="2106"/>
      <c r="F24" s="2098"/>
      <c r="G24" s="2038"/>
      <c r="H24" s="2038"/>
      <c r="I24" s="2038"/>
      <c r="J24" s="2038"/>
      <c r="K24" s="2103"/>
      <c r="L24" s="746"/>
      <c r="M24" s="2024"/>
      <c r="N24" s="2078"/>
      <c r="O24" s="2077"/>
      <c r="P24" s="2078"/>
      <c r="Q24" s="2025"/>
      <c r="R24" s="2025"/>
      <c r="S24" s="2025"/>
      <c r="T24" s="2025"/>
      <c r="U24" s="2025"/>
      <c r="V24" s="2025"/>
    </row>
    <row r="25" spans="1:22" ht="18" customHeight="1">
      <c r="A25" s="2104"/>
      <c r="B25" s="183" t="s">
        <v>1818</v>
      </c>
      <c r="C25" s="2105"/>
      <c r="D25" s="2099" t="s">
        <v>1818</v>
      </c>
      <c r="E25" s="2106"/>
      <c r="F25" s="2098"/>
      <c r="G25" s="2038"/>
      <c r="H25" s="2038"/>
      <c r="I25" s="2038"/>
      <c r="J25" s="2038"/>
      <c r="K25" s="2047"/>
      <c r="L25" s="2024"/>
      <c r="M25" s="2024"/>
      <c r="N25" s="2078"/>
      <c r="O25" s="2077"/>
      <c r="P25" s="2078"/>
      <c r="Q25" s="2025"/>
      <c r="R25" s="2025"/>
      <c r="S25" s="2025"/>
      <c r="T25" s="2025"/>
      <c r="U25" s="2025"/>
      <c r="V25" s="2025"/>
    </row>
    <row r="26" spans="1:22" ht="18" customHeight="1" thickBot="1">
      <c r="A26" s="2107"/>
      <c r="B26" s="2108" t="s">
        <v>1819</v>
      </c>
      <c r="C26" s="2109"/>
      <c r="D26" s="2110" t="s">
        <v>1820</v>
      </c>
      <c r="E26" s="2111"/>
      <c r="F26" s="2112"/>
      <c r="G26" s="2055"/>
      <c r="H26" s="2055"/>
      <c r="I26" s="2055"/>
      <c r="J26" s="2038"/>
      <c r="K26" s="2047"/>
      <c r="L26" s="2024"/>
      <c r="M26" s="2024"/>
      <c r="N26" s="2078"/>
      <c r="O26" s="2077"/>
      <c r="P26" s="2078"/>
      <c r="Q26" s="2025"/>
      <c r="R26" s="2025"/>
      <c r="S26" s="2025"/>
      <c r="T26" s="2025"/>
      <c r="U26" s="2025"/>
      <c r="V26" s="2025"/>
    </row>
    <row r="27" spans="1:22" ht="18" customHeight="1" thickTop="1">
      <c r="A27" s="3007" t="s">
        <v>1821</v>
      </c>
      <c r="B27" s="2056" t="s">
        <v>1822</v>
      </c>
      <c r="C27" s="2113"/>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07"/>
      <c r="B28" s="2031" t="s">
        <v>1823</v>
      </c>
      <c r="C28" s="2115"/>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07"/>
      <c r="B29" s="2031" t="s">
        <v>1824</v>
      </c>
      <c r="C29" s="2118"/>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08"/>
      <c r="B30" s="2031" t="s">
        <v>1825</v>
      </c>
      <c r="C30" s="3009"/>
      <c r="D30" s="3010"/>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11" t="s">
        <v>1826</v>
      </c>
      <c r="B31" s="2120"/>
      <c r="C31" s="2121" t="str">
        <f>IF(B31="现房","成新及维护状况正常否",IF(B31="在建","工程状态是否正常",IF(B31="土地","是否闲置","-")))</f>
        <v>-</v>
      </c>
      <c r="D31" s="2122"/>
      <c r="E31" s="2123"/>
      <c r="F31" s="2038"/>
      <c r="G31" s="2038"/>
      <c r="H31" s="2038"/>
      <c r="I31" s="2038"/>
      <c r="J31" s="2038"/>
      <c r="K31" s="2046"/>
      <c r="L31" s="2024"/>
      <c r="M31" s="2024"/>
      <c r="N31" s="2025"/>
      <c r="O31" s="2026"/>
      <c r="P31" s="2025"/>
      <c r="Q31" s="2025"/>
      <c r="R31" s="2025"/>
      <c r="S31" s="2025"/>
      <c r="T31" s="2025"/>
      <c r="U31" s="2025"/>
      <c r="V31" s="2025"/>
    </row>
    <row r="32" spans="1:22" ht="18" customHeight="1">
      <c r="A32" s="3012"/>
      <c r="B32" s="2120"/>
      <c r="C32" s="2121" t="str">
        <f>IF(B32="现房","成新及维护状况是否正常",IF(B32="在建","工程状态是否正常",IF(B32="土地","是否闲置","-")))</f>
        <v>-</v>
      </c>
      <c r="D32" s="2122"/>
      <c r="E32" s="2123"/>
      <c r="F32" s="2038"/>
      <c r="G32" s="2038"/>
      <c r="H32" s="2038"/>
      <c r="I32" s="2038"/>
      <c r="J32" s="2038"/>
      <c r="K32" s="2047"/>
      <c r="L32" s="2024"/>
      <c r="M32" s="2024"/>
      <c r="N32" s="2025"/>
      <c r="O32" s="2026"/>
      <c r="P32" s="2025"/>
      <c r="Q32" s="2025"/>
      <c r="R32" s="2025"/>
      <c r="S32" s="2025"/>
      <c r="T32" s="2025"/>
      <c r="U32" s="2025"/>
      <c r="V32" s="2025"/>
    </row>
    <row r="33" spans="1:22" ht="18" customHeight="1">
      <c r="A33" s="3012"/>
      <c r="B33" s="2124"/>
      <c r="C33" s="2063" t="str">
        <f>IF(B33="现房","成新及维护状况是否正常",IF(B33="在建","工程状态是否正常",IF(B33="土地","是否闲置","-")))</f>
        <v>-</v>
      </c>
      <c r="D33" s="2125"/>
      <c r="E33" s="2126"/>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1827</v>
      </c>
      <c r="B34" s="2127"/>
      <c r="C34" s="2127"/>
      <c r="D34" s="2127"/>
      <c r="E34" s="2127"/>
      <c r="F34" s="2127"/>
      <c r="G34" s="2127"/>
      <c r="H34" s="2127"/>
      <c r="I34" s="2038"/>
      <c r="J34" s="2038"/>
      <c r="K34" s="1792">
        <f>COUNTIF(B34:H34,"——")</f>
        <v>0</v>
      </c>
      <c r="L34" s="2068" t="s">
        <v>1828</v>
      </c>
      <c r="M34" s="2068" t="s">
        <v>1829</v>
      </c>
      <c r="N34" s="2068" t="s">
        <v>1830</v>
      </c>
      <c r="O34" s="2068" t="s">
        <v>1831</v>
      </c>
      <c r="P34" s="2068" t="s">
        <v>1832</v>
      </c>
      <c r="Q34" s="2068" t="s">
        <v>1833</v>
      </c>
      <c r="R34" s="2068" t="s">
        <v>1834</v>
      </c>
      <c r="S34" s="3006" t="s">
        <v>1835</v>
      </c>
      <c r="T34" s="2128" t="str">
        <f>NUMBERSTRING(7-K34,1)&amp;"通"</f>
        <v>七通</v>
      </c>
      <c r="U34" s="2025"/>
      <c r="V34" s="2025"/>
    </row>
    <row r="35" spans="1:22" ht="18" customHeight="1">
      <c r="A35" s="2129"/>
      <c r="B35" s="3013" t="s">
        <v>1836</v>
      </c>
      <c r="C35" s="3013"/>
      <c r="D35" s="3013"/>
      <c r="E35" s="3013"/>
      <c r="F35" s="2130">
        <f>C10</f>
        <v>0</v>
      </c>
      <c r="G35" s="2038"/>
      <c r="H35" s="2038"/>
      <c r="I35" s="2038"/>
      <c r="J35" s="2038"/>
      <c r="K35" s="2068"/>
      <c r="L35" s="206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6"/>
      <c r="T35" s="48" t="str">
        <f>IF(T34="一通",L35,IF(T34="二通",M35,IF(T34="三通",N35,IF(T34="四通",O35,IF(T34="五通",P35,IF(T34="六通",Q35,R35))))))</f>
        <v>、、、、、、</v>
      </c>
      <c r="U35" s="2025"/>
      <c r="V35" s="2025"/>
    </row>
    <row r="36" spans="1:22" ht="18" customHeight="1">
      <c r="A36" s="2131"/>
      <c r="B36" s="2130" t="s">
        <v>1837</v>
      </c>
      <c r="C36" s="2130" t="s">
        <v>1838</v>
      </c>
      <c r="D36" s="2130" t="s">
        <v>1839</v>
      </c>
      <c r="E36" s="2130" t="s">
        <v>1840</v>
      </c>
      <c r="F36" s="2132"/>
      <c r="G36" s="2038"/>
      <c r="H36" s="2038"/>
      <c r="I36" s="2038"/>
      <c r="J36" s="2038"/>
      <c r="K36" s="2047"/>
      <c r="L36" s="2024"/>
      <c r="M36" s="2024"/>
      <c r="N36" s="2025"/>
      <c r="O36" s="2026"/>
      <c r="P36" s="2025"/>
      <c r="Q36" s="2025"/>
      <c r="R36" s="2025"/>
      <c r="S36" s="2025"/>
      <c r="T36" s="2025"/>
      <c r="U36" s="2025"/>
      <c r="V36" s="2025"/>
    </row>
    <row r="37" spans="1:22" ht="18" customHeight="1">
      <c r="A37" s="2133" t="s">
        <v>1841</v>
      </c>
      <c r="B37" s="2134"/>
      <c r="C37" s="2134" t="s">
        <v>137</v>
      </c>
      <c r="D37" s="2134"/>
      <c r="E37" s="2134"/>
      <c r="F37" s="2132"/>
      <c r="G37" s="2038"/>
      <c r="H37" s="2038"/>
      <c r="I37" s="2038"/>
      <c r="J37" s="2038"/>
      <c r="K37" s="2047"/>
      <c r="L37" s="2024"/>
      <c r="M37" s="2024"/>
      <c r="N37" s="2025"/>
      <c r="O37" s="2026"/>
      <c r="P37" s="2025"/>
      <c r="Q37" s="2025"/>
      <c r="R37" s="2025"/>
      <c r="S37" s="2025"/>
      <c r="T37" s="2025"/>
      <c r="U37" s="2025"/>
      <c r="V37" s="2025"/>
    </row>
    <row r="38" spans="1:22" ht="18" customHeight="1" thickBot="1">
      <c r="A38" s="2135" t="s">
        <v>1842</v>
      </c>
      <c r="B38" s="2136"/>
      <c r="C38" s="2136" t="s">
        <v>261</v>
      </c>
      <c r="D38" s="2136"/>
      <c r="E38" s="2136"/>
      <c r="F38" s="2137"/>
      <c r="G38" s="2055"/>
      <c r="H38" s="2055"/>
      <c r="I38" s="2055"/>
      <c r="J38" s="2038"/>
      <c r="K38" s="2047"/>
      <c r="L38" s="2024"/>
      <c r="M38" s="2024"/>
      <c r="N38" s="2025"/>
      <c r="O38" s="2026"/>
      <c r="P38" s="2025"/>
      <c r="Q38" s="2025"/>
      <c r="R38" s="2025"/>
      <c r="S38" s="2025"/>
      <c r="T38" s="2025"/>
      <c r="U38" s="2025"/>
      <c r="V38" s="2025"/>
    </row>
    <row r="39" spans="1:22" s="2142" customFormat="1" ht="18" customHeight="1" thickTop="1" thickBot="1">
      <c r="A39" s="2138" t="s">
        <v>1843</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6"/>
      <c r="L40" s="2077"/>
      <c r="M40" s="2077"/>
      <c r="N40" s="2078"/>
      <c r="O40" s="2077"/>
      <c r="P40" s="2025"/>
      <c r="Q40" s="2025"/>
      <c r="R40" s="2025"/>
      <c r="S40" s="2025"/>
      <c r="T40" s="2025"/>
      <c r="U40" s="2025"/>
      <c r="V40" s="2025"/>
    </row>
    <row r="41" spans="1:22" ht="18" customHeight="1">
      <c r="A41" s="8" t="s">
        <v>1844</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1845</v>
      </c>
      <c r="B42" s="1792" t="s">
        <v>1846</v>
      </c>
      <c r="C42" s="1792" t="s">
        <v>1847</v>
      </c>
      <c r="D42" s="1792" t="s">
        <v>1848</v>
      </c>
      <c r="E42" s="1792" t="s">
        <v>1849</v>
      </c>
      <c r="F42" s="1792" t="s">
        <v>1850</v>
      </c>
      <c r="G42" s="1792" t="s">
        <v>1851</v>
      </c>
      <c r="H42" s="1792" t="s">
        <v>1852</v>
      </c>
      <c r="I42" s="1792" t="s">
        <v>1853</v>
      </c>
      <c r="J42" s="2146" t="s">
        <v>1854</v>
      </c>
      <c r="K42" s="2069" t="s">
        <v>1855</v>
      </c>
      <c r="L42" s="2069" t="s">
        <v>1856</v>
      </c>
      <c r="M42" s="2069" t="s">
        <v>1857</v>
      </c>
      <c r="N42" s="1792" t="s">
        <v>1858</v>
      </c>
      <c r="O42" s="1792" t="s">
        <v>1859</v>
      </c>
      <c r="P42" s="1792" t="s">
        <v>1860</v>
      </c>
      <c r="Q42" s="2068" t="s">
        <v>1861</v>
      </c>
      <c r="R42" s="2068" t="s">
        <v>1862</v>
      </c>
      <c r="S42" s="2025"/>
      <c r="T42" s="2025"/>
      <c r="U42" s="2025"/>
      <c r="V42" s="2025"/>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1863</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1864</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1865</v>
      </c>
      <c r="B2" s="11" t="s">
        <v>1866</v>
      </c>
      <c r="C2" s="11" t="s">
        <v>1867</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1868</v>
      </c>
      <c r="AZ2" s="1268" t="s">
        <v>1869</v>
      </c>
      <c r="BA2" s="11" t="s">
        <v>1870</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380</v>
      </c>
      <c r="C3" s="2162" t="s">
        <v>1871</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1872</v>
      </c>
      <c r="B5" s="1800"/>
      <c r="C5" s="1800"/>
      <c r="D5" s="1803"/>
      <c r="E5" s="16" t="s">
        <v>1</v>
      </c>
      <c r="F5" s="16">
        <f>SUM(F13:F587)</f>
        <v>0</v>
      </c>
      <c r="G5" s="16">
        <f>SUM(G13:G587)</f>
        <v>380</v>
      </c>
      <c r="H5" s="16">
        <f t="shared" ref="H5:AT5" si="0">SUM(H13:H656)</f>
        <v>380</v>
      </c>
      <c r="I5" s="16">
        <f t="shared" si="0"/>
        <v>380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1872</v>
      </c>
      <c r="AW5" s="1800"/>
      <c r="AX5" s="1800"/>
      <c r="AY5" s="17" t="s">
        <v>3</v>
      </c>
      <c r="AZ5" s="18">
        <f t="shared" ref="AZ5:BT5" si="1">SUM(AZ13:AZ656)</f>
        <v>380</v>
      </c>
      <c r="BA5" s="18">
        <f t="shared" si="1"/>
        <v>380</v>
      </c>
      <c r="BB5" s="18">
        <f t="shared" si="1"/>
        <v>380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1873</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1873</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1874</v>
      </c>
      <c r="B7" s="2103" t="s">
        <v>1875</v>
      </c>
      <c r="C7" s="2103" t="s">
        <v>1876</v>
      </c>
      <c r="D7" s="2103" t="s">
        <v>1877</v>
      </c>
      <c r="E7" s="2103" t="s">
        <v>1878</v>
      </c>
      <c r="F7" s="2103" t="s">
        <v>1879</v>
      </c>
      <c r="G7" s="2172" t="s">
        <v>1880</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3"/>
      <c r="AU7" s="2173" t="s">
        <v>1881</v>
      </c>
      <c r="AV7" s="23" t="s">
        <v>1882</v>
      </c>
      <c r="AW7" s="2160" t="s">
        <v>1883</v>
      </c>
      <c r="AX7" s="23" t="s">
        <v>1876</v>
      </c>
      <c r="AY7" s="1800" t="s">
        <v>1884</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1885</v>
      </c>
      <c r="H8" s="2178" t="s">
        <v>1886</v>
      </c>
      <c r="I8" s="2179"/>
      <c r="J8" s="1815"/>
      <c r="K8" s="1815"/>
      <c r="L8" s="1815"/>
      <c r="M8" s="1815"/>
      <c r="N8" s="1815"/>
      <c r="O8" s="1815"/>
      <c r="P8" s="1815"/>
      <c r="Q8" s="1815"/>
      <c r="R8" s="1815"/>
      <c r="S8" s="1815"/>
      <c r="T8" s="1815"/>
      <c r="U8" s="1815"/>
      <c r="V8" s="2180"/>
      <c r="W8" s="1815"/>
      <c r="X8" s="1815"/>
      <c r="Y8" s="1815"/>
      <c r="Z8" s="1815"/>
      <c r="AA8" s="2180"/>
      <c r="AB8" s="2181"/>
      <c r="AC8" s="979" t="s">
        <v>1887</v>
      </c>
      <c r="AD8" s="2182"/>
      <c r="AE8" s="2174"/>
      <c r="AF8" s="1815"/>
      <c r="AG8" s="1815"/>
      <c r="AH8" s="1815"/>
      <c r="AI8" s="1815"/>
      <c r="AJ8" s="1815"/>
      <c r="AK8" s="1815"/>
      <c r="AL8" s="1815"/>
      <c r="AM8" s="1815"/>
      <c r="AN8" s="1815"/>
      <c r="AO8" s="1815"/>
      <c r="AP8" s="1815"/>
      <c r="AQ8" s="1815"/>
      <c r="AR8" s="1815"/>
      <c r="AS8" s="1815"/>
      <c r="AT8" s="1290" t="s">
        <v>1888</v>
      </c>
      <c r="AU8" s="2176" t="s">
        <v>1889</v>
      </c>
      <c r="AV8" s="1290"/>
      <c r="AW8" s="2159"/>
      <c r="AX8" s="1290"/>
      <c r="AY8" s="2160" t="s">
        <v>1890</v>
      </c>
      <c r="AZ8" s="1814" t="s">
        <v>1891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3" customFormat="1" ht="12.75">
      <c r="A9" s="2176"/>
      <c r="B9" s="2176"/>
      <c r="C9" s="2176"/>
      <c r="D9" s="2176"/>
      <c r="E9" s="2176"/>
      <c r="F9" s="2176"/>
      <c r="G9" s="1290"/>
      <c r="H9" s="2184" t="s">
        <v>1892</v>
      </c>
      <c r="I9" s="2185" t="s">
        <v>3247</v>
      </c>
      <c r="J9" s="979"/>
      <c r="K9" s="2185"/>
      <c r="L9" s="979"/>
      <c r="M9" s="2185"/>
      <c r="N9" s="979"/>
      <c r="O9" s="2185"/>
      <c r="P9" s="979"/>
      <c r="Q9" s="2185"/>
      <c r="R9" s="979"/>
      <c r="S9" s="2185"/>
      <c r="T9" s="979"/>
      <c r="U9" s="2185"/>
      <c r="V9" s="979"/>
      <c r="W9" s="2185"/>
      <c r="X9" s="2186"/>
      <c r="Y9" s="2185"/>
      <c r="Z9" s="979"/>
      <c r="AA9" s="2185"/>
      <c r="AB9" s="979"/>
      <c r="AC9" s="2177"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87"/>
      <c r="AT9" s="2176"/>
      <c r="AU9" s="2176" t="s">
        <v>1895</v>
      </c>
      <c r="AV9" s="1290"/>
      <c r="AW9" s="2159"/>
      <c r="AX9" s="1290"/>
      <c r="AY9" s="28"/>
      <c r="AZ9" s="28" t="s">
        <v>1885</v>
      </c>
      <c r="BA9" s="2188" t="s">
        <v>1896</v>
      </c>
      <c r="BB9" s="2189"/>
      <c r="BC9" s="1336"/>
      <c r="BD9" s="1336"/>
      <c r="BE9" s="1336"/>
      <c r="BF9" s="1336"/>
      <c r="BG9" s="1336"/>
      <c r="BH9" s="1336"/>
      <c r="BI9" s="1336"/>
      <c r="BJ9" s="1336"/>
      <c r="BK9" s="2190"/>
      <c r="BL9" s="15" t="s">
        <v>1897</v>
      </c>
      <c r="BM9" s="1815"/>
      <c r="BN9" s="2179"/>
      <c r="BO9" s="1815"/>
      <c r="BP9" s="1815"/>
      <c r="BQ9" s="1815"/>
      <c r="BR9" s="1815"/>
      <c r="BS9" s="1815"/>
      <c r="BT9" s="26"/>
    </row>
    <row r="10" spans="1:72" s="2183" customFormat="1" ht="12.75">
      <c r="A10" s="2176"/>
      <c r="B10" s="2176"/>
      <c r="C10" s="2176"/>
      <c r="D10" s="2176"/>
      <c r="E10" s="2176"/>
      <c r="F10" s="2176"/>
      <c r="G10" s="1290"/>
      <c r="H10" s="28"/>
      <c r="I10" s="2185" t="s">
        <v>27</v>
      </c>
      <c r="J10" s="979"/>
      <c r="K10" s="2191"/>
      <c r="L10" s="979"/>
      <c r="M10" s="2191"/>
      <c r="N10" s="979"/>
      <c r="O10" s="2191"/>
      <c r="P10" s="979"/>
      <c r="Q10" s="2191"/>
      <c r="R10" s="979"/>
      <c r="S10" s="2191"/>
      <c r="T10" s="979"/>
      <c r="U10" s="2191"/>
      <c r="V10" s="979"/>
      <c r="W10" s="2191"/>
      <c r="X10" s="979"/>
      <c r="Y10" s="2191"/>
      <c r="Z10" s="979"/>
      <c r="AA10" s="2191"/>
      <c r="AB10" s="979"/>
      <c r="AC10" s="1290"/>
      <c r="AD10" s="15" t="s">
        <v>1898</v>
      </c>
      <c r="AE10" s="2192"/>
      <c r="AF10" s="15" t="s">
        <v>1898</v>
      </c>
      <c r="AG10" s="2192"/>
      <c r="AH10" s="15" t="s">
        <v>1899</v>
      </c>
      <c r="AI10" s="2192"/>
      <c r="AJ10" s="15" t="s">
        <v>1899</v>
      </c>
      <c r="AK10" s="2192"/>
      <c r="AL10" s="15" t="s">
        <v>1900</v>
      </c>
      <c r="AM10" s="1296"/>
      <c r="AN10" s="15" t="s">
        <v>1900</v>
      </c>
      <c r="AO10" s="1296"/>
      <c r="AP10" s="15" t="s">
        <v>1901</v>
      </c>
      <c r="AQ10" s="1296"/>
      <c r="AR10" s="15" t="s">
        <v>1901</v>
      </c>
      <c r="AS10" s="1296"/>
      <c r="AT10" s="2176"/>
      <c r="AU10" s="2176"/>
      <c r="AV10" s="1290"/>
      <c r="AW10" s="2159"/>
      <c r="AX10" s="1290"/>
      <c r="AY10" s="28"/>
      <c r="AZ10" s="28"/>
      <c r="BA10" s="2193" t="s">
        <v>1892</v>
      </c>
      <c r="BB10" s="2194" t="str">
        <f>I9</f>
        <v>地上</v>
      </c>
      <c r="BC10" s="29">
        <f>K9</f>
        <v>0</v>
      </c>
      <c r="BD10" s="29">
        <f>M9</f>
        <v>0</v>
      </c>
      <c r="BE10" s="29">
        <f>O9</f>
        <v>0</v>
      </c>
      <c r="BF10" s="29">
        <f>Q9</f>
        <v>0</v>
      </c>
      <c r="BG10" s="29">
        <f>S9</f>
        <v>0</v>
      </c>
      <c r="BH10" s="29">
        <f>U9</f>
        <v>0</v>
      </c>
      <c r="BI10" s="29">
        <f>W9</f>
        <v>0</v>
      </c>
      <c r="BJ10" s="29">
        <f>Y9</f>
        <v>0</v>
      </c>
      <c r="BK10" s="29">
        <f>AA9</f>
        <v>0</v>
      </c>
      <c r="BL10" s="25" t="s">
        <v>1892</v>
      </c>
      <c r="BM10" s="1814" t="str">
        <f>AD9</f>
        <v>地上</v>
      </c>
      <c r="BN10" s="29" t="str">
        <f>AF9</f>
        <v>地下</v>
      </c>
      <c r="BO10" s="1814" t="str">
        <f>AH9</f>
        <v>地上</v>
      </c>
      <c r="BP10" s="29" t="str">
        <f>AJ9</f>
        <v>地下</v>
      </c>
      <c r="BQ10" s="1814" t="str">
        <f>AL9</f>
        <v>地上</v>
      </c>
      <c r="BR10" s="29" t="str">
        <f>AN9</f>
        <v>地下</v>
      </c>
      <c r="BS10" s="1814" t="str">
        <f>AP9</f>
        <v>地上</v>
      </c>
      <c r="BT10" s="2195" t="str">
        <f>AR9</f>
        <v>地下</v>
      </c>
    </row>
    <row r="11" spans="1:72" s="2183" customFormat="1" ht="12.75">
      <c r="A11" s="2176"/>
      <c r="B11" s="2176"/>
      <c r="C11" s="2176"/>
      <c r="D11" s="2176"/>
      <c r="E11" s="2176"/>
      <c r="F11" s="2176"/>
      <c r="G11" s="1290"/>
      <c r="H11" s="2193"/>
      <c r="I11" s="2196" t="s">
        <v>3248</v>
      </c>
      <c r="J11" s="2197"/>
      <c r="K11" s="2196"/>
      <c r="L11" s="2197"/>
      <c r="M11" s="2196"/>
      <c r="N11" s="2197"/>
      <c r="O11" s="2196"/>
      <c r="P11" s="2197"/>
      <c r="Q11" s="2196"/>
      <c r="R11" s="2197"/>
      <c r="S11" s="2196"/>
      <c r="T11" s="2197"/>
      <c r="U11" s="2196"/>
      <c r="V11" s="2197"/>
      <c r="W11" s="2196"/>
      <c r="X11" s="2197"/>
      <c r="Y11" s="2196"/>
      <c r="Z11" s="2197"/>
      <c r="AA11" s="2196"/>
      <c r="AB11" s="2197"/>
      <c r="AC11" s="1290"/>
      <c r="AD11" s="2198" t="s">
        <v>1902</v>
      </c>
      <c r="AE11" s="1816"/>
      <c r="AF11" s="2198" t="s">
        <v>1902</v>
      </c>
      <c r="AG11" s="1816"/>
      <c r="AH11" s="2198" t="s">
        <v>1903</v>
      </c>
      <c r="AI11" s="2199"/>
      <c r="AJ11" s="2198" t="s">
        <v>1903</v>
      </c>
      <c r="AK11" s="1816"/>
      <c r="AL11" s="1814"/>
      <c r="AM11" s="1816"/>
      <c r="AN11" s="1814"/>
      <c r="AO11" s="1816"/>
      <c r="AP11" s="1814"/>
      <c r="AQ11" s="1816"/>
      <c r="AR11" s="1814"/>
      <c r="AS11" s="1816"/>
      <c r="AT11" s="2159"/>
      <c r="AU11" s="2176"/>
      <c r="AV11" s="1290"/>
      <c r="AW11" s="2159"/>
      <c r="AX11" s="1290"/>
      <c r="AY11" s="28"/>
      <c r="AZ11" s="28"/>
      <c r="BA11" s="28"/>
      <c r="BB11" s="2181" t="str">
        <f>I10</f>
        <v>办公</v>
      </c>
      <c r="BC11" s="2181">
        <f>K10</f>
        <v>0</v>
      </c>
      <c r="BD11" s="2181">
        <f>M10</f>
        <v>0</v>
      </c>
      <c r="BE11" s="2181">
        <f>O10</f>
        <v>0</v>
      </c>
      <c r="BF11" s="2181">
        <f>Q10</f>
        <v>0</v>
      </c>
      <c r="BG11" s="2181">
        <f>S10</f>
        <v>0</v>
      </c>
      <c r="BH11" s="2181">
        <f>U10</f>
        <v>0</v>
      </c>
      <c r="BI11" s="2181">
        <f>W10</f>
        <v>0</v>
      </c>
      <c r="BJ11" s="2181">
        <f>Y10</f>
        <v>0</v>
      </c>
      <c r="BK11" s="2181">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3"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9" t="s">
        <v>1905</v>
      </c>
      <c r="W12" s="11" t="s">
        <v>1904</v>
      </c>
      <c r="X12" s="11" t="s">
        <v>1905</v>
      </c>
      <c r="Y12" s="11" t="s">
        <v>1904</v>
      </c>
      <c r="Z12" s="11" t="s">
        <v>1905</v>
      </c>
      <c r="AA12" s="11" t="s">
        <v>1904</v>
      </c>
      <c r="AB12" s="11" t="s">
        <v>1905</v>
      </c>
      <c r="AC12" s="2203"/>
      <c r="AD12" s="1803"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1" t="s">
        <v>1905</v>
      </c>
      <c r="AT12" s="2204"/>
      <c r="AU12" s="2201"/>
      <c r="AV12" s="31"/>
      <c r="AW12" s="2160"/>
      <c r="AX12" s="31"/>
      <c r="AY12" s="2205"/>
      <c r="AZ12" s="28"/>
      <c r="BA12" s="2193"/>
      <c r="BB12" s="24" t="str">
        <f>I11</f>
        <v>办公楼</v>
      </c>
      <c r="BC12" s="2206">
        <f>K11</f>
        <v>0</v>
      </c>
      <c r="BD12" s="2206">
        <f>M11</f>
        <v>0</v>
      </c>
      <c r="BE12" s="2181">
        <f>O11</f>
        <v>0</v>
      </c>
      <c r="BF12" s="2181">
        <f>Q11</f>
        <v>0</v>
      </c>
      <c r="BG12" s="2181">
        <f>S11</f>
        <v>0</v>
      </c>
      <c r="BH12" s="2181">
        <f>U11</f>
        <v>0</v>
      </c>
      <c r="BI12" s="2181">
        <f>W11</f>
        <v>0</v>
      </c>
      <c r="BJ12" s="2181">
        <f>Y11</f>
        <v>0</v>
      </c>
      <c r="BK12" s="2181">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1270"/>
      <c r="D13" s="2207" t="s">
        <v>3246</v>
      </c>
      <c r="E13" s="16">
        <f>IF($C$3="是",ROUND($A$3*G13/$B$3,2),ROUND($A$3*(G13-AT13)/$B$3,2))</f>
        <v>0</v>
      </c>
      <c r="F13" s="32"/>
      <c r="G13" s="33">
        <f>H13+AC13+AT13</f>
        <v>380</v>
      </c>
      <c r="H13" s="20">
        <f>SUMIF(I$12:AB$12,"总值",I13:AB13)</f>
        <v>380</v>
      </c>
      <c r="I13" s="2208">
        <f>抵押物清单!D80</f>
        <v>380</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3">
        <f>ROUND($AY$6*AZ13/$AZ$5,2)</f>
        <v>0</v>
      </c>
      <c r="AZ13" s="16">
        <f>BA13+BL13</f>
        <v>380</v>
      </c>
      <c r="BA13" s="16">
        <f>SUM(BB13:BK13)</f>
        <v>380</v>
      </c>
      <c r="BB13" s="16">
        <f>IF($D13="是",I13-J13,0)</f>
        <v>380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0"/>
      <c r="B14" s="1270"/>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0"/>
  <sheetViews>
    <sheetView topLeftCell="A140" workbookViewId="0">
      <selection activeCell="D180" sqref="D180"/>
    </sheetView>
  </sheetViews>
  <sheetFormatPr defaultRowHeight="13.5"/>
  <cols>
    <col min="1" max="2" width="9" style="1633"/>
    <col min="3" max="3" width="31.625" style="1633" customWidth="1"/>
    <col min="4" max="4" width="11.125" style="1633" customWidth="1"/>
    <col min="5" max="16384" width="9" style="1633"/>
  </cols>
  <sheetData>
    <row r="1" spans="1:4">
      <c r="A1" s="2952" t="s">
        <v>3063</v>
      </c>
      <c r="B1" s="2952" t="s">
        <v>3064</v>
      </c>
      <c r="C1" s="2952" t="s">
        <v>3065</v>
      </c>
      <c r="D1" s="2952" t="s">
        <v>3066</v>
      </c>
    </row>
    <row r="2" spans="1:4">
      <c r="A2" s="2952">
        <v>1</v>
      </c>
      <c r="B2" s="2952">
        <v>301</v>
      </c>
      <c r="C2" s="2952" t="s">
        <v>3067</v>
      </c>
      <c r="D2" s="2952">
        <v>906.7</v>
      </c>
    </row>
    <row r="3" spans="1:4">
      <c r="A3" s="2952">
        <v>2</v>
      </c>
      <c r="B3" s="2952">
        <v>401</v>
      </c>
      <c r="C3" s="2952" t="s">
        <v>3068</v>
      </c>
      <c r="D3" s="2952">
        <v>614.6</v>
      </c>
    </row>
    <row r="4" spans="1:4">
      <c r="A4" s="2952">
        <v>3</v>
      </c>
      <c r="B4" s="2952">
        <v>501</v>
      </c>
      <c r="C4" s="2952" t="s">
        <v>3069</v>
      </c>
      <c r="D4" s="2952">
        <v>616.82000000000005</v>
      </c>
    </row>
    <row r="5" spans="1:4">
      <c r="A5" s="2952">
        <v>4</v>
      </c>
      <c r="B5" s="2952">
        <v>601</v>
      </c>
      <c r="C5" s="2952" t="s">
        <v>3070</v>
      </c>
      <c r="D5" s="2952">
        <v>372.91</v>
      </c>
    </row>
    <row r="6" spans="1:4">
      <c r="A6" s="2952">
        <v>5</v>
      </c>
      <c r="B6" s="2952">
        <v>602</v>
      </c>
      <c r="C6" s="2952" t="s">
        <v>3071</v>
      </c>
      <c r="D6" s="2952">
        <v>275.72000000000003</v>
      </c>
    </row>
    <row r="7" spans="1:4">
      <c r="A7" s="2952">
        <v>6</v>
      </c>
      <c r="B7" s="2952">
        <v>603</v>
      </c>
      <c r="C7" s="2952" t="s">
        <v>3072</v>
      </c>
      <c r="D7" s="2952">
        <v>144.9</v>
      </c>
    </row>
    <row r="8" spans="1:4">
      <c r="A8" s="2952">
        <v>7</v>
      </c>
      <c r="B8" s="2952">
        <v>604</v>
      </c>
      <c r="C8" s="2952" t="s">
        <v>3073</v>
      </c>
      <c r="D8" s="2952">
        <v>471.02</v>
      </c>
    </row>
    <row r="9" spans="1:4">
      <c r="A9" s="2952">
        <v>8</v>
      </c>
      <c r="B9" s="2952">
        <v>605</v>
      </c>
      <c r="C9" s="2952" t="s">
        <v>3074</v>
      </c>
      <c r="D9" s="2952">
        <v>297.75</v>
      </c>
    </row>
    <row r="10" spans="1:4">
      <c r="A10" s="2952">
        <v>9</v>
      </c>
      <c r="B10" s="2952">
        <v>701</v>
      </c>
      <c r="C10" s="2952" t="s">
        <v>3075</v>
      </c>
      <c r="D10" s="2952">
        <v>375.27</v>
      </c>
    </row>
    <row r="11" spans="1:4">
      <c r="A11" s="2952">
        <v>10</v>
      </c>
      <c r="B11" s="2952">
        <v>702</v>
      </c>
      <c r="C11" s="2952" t="s">
        <v>3076</v>
      </c>
      <c r="D11" s="2952">
        <v>283.95999999999998</v>
      </c>
    </row>
    <row r="12" spans="1:4">
      <c r="A12" s="2952">
        <v>11</v>
      </c>
      <c r="B12" s="2952">
        <v>703</v>
      </c>
      <c r="C12" s="2952" t="s">
        <v>3077</v>
      </c>
      <c r="D12" s="2952">
        <v>138.26</v>
      </c>
    </row>
    <row r="13" spans="1:4">
      <c r="A13" s="2952">
        <v>12</v>
      </c>
      <c r="B13" s="2952">
        <v>704</v>
      </c>
      <c r="C13" s="2952" t="s">
        <v>3078</v>
      </c>
      <c r="D13" s="2952">
        <v>375.27</v>
      </c>
    </row>
    <row r="14" spans="1:4">
      <c r="A14" s="2952">
        <v>13</v>
      </c>
      <c r="B14" s="2952">
        <v>705</v>
      </c>
      <c r="C14" s="2952" t="s">
        <v>3079</v>
      </c>
      <c r="D14" s="2952">
        <v>198.51</v>
      </c>
    </row>
    <row r="15" spans="1:4">
      <c r="A15" s="2952">
        <v>14</v>
      </c>
      <c r="B15" s="2952">
        <v>706</v>
      </c>
      <c r="C15" s="2952" t="s">
        <v>3080</v>
      </c>
      <c r="D15" s="2952">
        <v>375.27</v>
      </c>
    </row>
    <row r="16" spans="1:4">
      <c r="A16" s="2952">
        <v>15</v>
      </c>
      <c r="B16" s="2952">
        <v>707</v>
      </c>
      <c r="C16" s="2952" t="s">
        <v>3081</v>
      </c>
      <c r="D16" s="2952">
        <v>138.26</v>
      </c>
    </row>
    <row r="17" spans="1:4">
      <c r="A17" s="2952">
        <v>16</v>
      </c>
      <c r="B17" s="2952">
        <v>708</v>
      </c>
      <c r="C17" s="2952" t="s">
        <v>3082</v>
      </c>
      <c r="D17" s="2952">
        <v>284.52</v>
      </c>
    </row>
    <row r="18" spans="1:4">
      <c r="A18" s="2952">
        <v>17</v>
      </c>
      <c r="B18" s="2952">
        <v>709</v>
      </c>
      <c r="C18" s="2952" t="s">
        <v>3083</v>
      </c>
      <c r="D18" s="2952">
        <v>375.27</v>
      </c>
    </row>
    <row r="19" spans="1:4">
      <c r="A19" s="2952">
        <v>18</v>
      </c>
      <c r="B19" s="2952">
        <v>710</v>
      </c>
      <c r="C19" s="2952" t="s">
        <v>3084</v>
      </c>
      <c r="D19" s="2952">
        <v>198.51</v>
      </c>
    </row>
    <row r="20" spans="1:4">
      <c r="A20" s="2952">
        <v>19</v>
      </c>
      <c r="B20" s="2952">
        <v>801</v>
      </c>
      <c r="C20" s="2952" t="s">
        <v>3085</v>
      </c>
      <c r="D20" s="2952">
        <v>375.27</v>
      </c>
    </row>
    <row r="21" spans="1:4">
      <c r="A21" s="2952">
        <v>20</v>
      </c>
      <c r="B21" s="2952">
        <v>802</v>
      </c>
      <c r="C21" s="2952" t="s">
        <v>3086</v>
      </c>
      <c r="D21" s="2952">
        <v>283.95999999999998</v>
      </c>
    </row>
    <row r="22" spans="1:4">
      <c r="A22" s="2952">
        <v>21</v>
      </c>
      <c r="B22" s="2952">
        <v>803</v>
      </c>
      <c r="C22" s="2952" t="s">
        <v>3087</v>
      </c>
      <c r="D22" s="2952">
        <v>138.26</v>
      </c>
    </row>
    <row r="23" spans="1:4">
      <c r="A23" s="2952">
        <v>22</v>
      </c>
      <c r="B23" s="2952">
        <v>804</v>
      </c>
      <c r="C23" s="2952" t="s">
        <v>3088</v>
      </c>
      <c r="D23" s="2952">
        <v>375.27</v>
      </c>
    </row>
    <row r="24" spans="1:4">
      <c r="A24" s="2952">
        <v>23</v>
      </c>
      <c r="B24" s="2952">
        <v>805</v>
      </c>
      <c r="C24" s="2952" t="s">
        <v>3089</v>
      </c>
      <c r="D24" s="2952">
        <v>198.51</v>
      </c>
    </row>
    <row r="25" spans="1:4">
      <c r="A25" s="2952">
        <v>24</v>
      </c>
      <c r="B25" s="2952">
        <v>806</v>
      </c>
      <c r="C25" s="2952" t="s">
        <v>3090</v>
      </c>
      <c r="D25" s="2952">
        <v>375.27</v>
      </c>
    </row>
    <row r="26" spans="1:4">
      <c r="A26" s="2952">
        <v>25</v>
      </c>
      <c r="B26" s="2952">
        <v>807</v>
      </c>
      <c r="C26" s="2952" t="s">
        <v>3091</v>
      </c>
      <c r="D26" s="2952">
        <v>138.26</v>
      </c>
    </row>
    <row r="27" spans="1:4">
      <c r="A27" s="2952">
        <v>26</v>
      </c>
      <c r="B27" s="2952">
        <v>808</v>
      </c>
      <c r="C27" s="2952" t="s">
        <v>3092</v>
      </c>
      <c r="D27" s="2952">
        <v>284.52</v>
      </c>
    </row>
    <row r="28" spans="1:4">
      <c r="A28" s="2952">
        <v>27</v>
      </c>
      <c r="B28" s="2952">
        <v>809</v>
      </c>
      <c r="C28" s="2952" t="s">
        <v>3093</v>
      </c>
      <c r="D28" s="2952">
        <v>375.27</v>
      </c>
    </row>
    <row r="29" spans="1:4">
      <c r="A29" s="2952">
        <v>28</v>
      </c>
      <c r="B29" s="2952">
        <v>810</v>
      </c>
      <c r="C29" s="2952" t="s">
        <v>3094</v>
      </c>
      <c r="D29" s="2952">
        <v>198.51</v>
      </c>
    </row>
    <row r="30" spans="1:4">
      <c r="A30" s="2952">
        <v>29</v>
      </c>
      <c r="B30" s="2952">
        <v>901</v>
      </c>
      <c r="C30" s="2952" t="s">
        <v>3095</v>
      </c>
      <c r="D30" s="2952">
        <v>377.64</v>
      </c>
    </row>
    <row r="31" spans="1:4">
      <c r="A31" s="2952">
        <v>30</v>
      </c>
      <c r="B31" s="2952">
        <v>902</v>
      </c>
      <c r="C31" s="2952" t="s">
        <v>3096</v>
      </c>
      <c r="D31" s="2952">
        <v>285.48</v>
      </c>
    </row>
    <row r="32" spans="1:4">
      <c r="A32" s="2952">
        <v>31</v>
      </c>
      <c r="B32" s="2952">
        <v>903</v>
      </c>
      <c r="C32" s="2952" t="s">
        <v>3097</v>
      </c>
      <c r="D32" s="2952">
        <v>138.15</v>
      </c>
    </row>
    <row r="33" spans="1:4">
      <c r="A33" s="2952">
        <v>32</v>
      </c>
      <c r="B33" s="2952">
        <v>904</v>
      </c>
      <c r="C33" s="2952" t="s">
        <v>3098</v>
      </c>
      <c r="D33" s="2952">
        <v>377.75</v>
      </c>
    </row>
    <row r="34" spans="1:4">
      <c r="A34" s="2952">
        <v>33</v>
      </c>
      <c r="B34" s="2952">
        <v>905</v>
      </c>
      <c r="C34" s="2952" t="s">
        <v>3099</v>
      </c>
      <c r="D34" s="2952">
        <v>199.98</v>
      </c>
    </row>
    <row r="35" spans="1:4">
      <c r="A35" s="2952">
        <v>34</v>
      </c>
      <c r="B35" s="2952">
        <v>906</v>
      </c>
      <c r="C35" s="2952" t="s">
        <v>3100</v>
      </c>
      <c r="D35" s="2952">
        <v>377.75</v>
      </c>
    </row>
    <row r="36" spans="1:4">
      <c r="A36" s="2952">
        <v>35</v>
      </c>
      <c r="B36" s="2952">
        <v>907</v>
      </c>
      <c r="C36" s="2952" t="s">
        <v>3101</v>
      </c>
      <c r="D36" s="2952">
        <v>138.15</v>
      </c>
    </row>
    <row r="37" spans="1:4">
      <c r="A37" s="2952">
        <v>36</v>
      </c>
      <c r="B37" s="2952">
        <v>908</v>
      </c>
      <c r="C37" s="2952" t="s">
        <v>3102</v>
      </c>
      <c r="D37" s="2952">
        <v>286.02999999999997</v>
      </c>
    </row>
    <row r="38" spans="1:4">
      <c r="A38" s="2952">
        <v>37</v>
      </c>
      <c r="B38" s="2952">
        <v>909</v>
      </c>
      <c r="C38" s="2952" t="s">
        <v>3103</v>
      </c>
      <c r="D38" s="2952">
        <v>377.64</v>
      </c>
    </row>
    <row r="39" spans="1:4">
      <c r="A39" s="2952">
        <v>38</v>
      </c>
      <c r="B39" s="2952">
        <v>910</v>
      </c>
      <c r="C39" s="2952" t="s">
        <v>3104</v>
      </c>
      <c r="D39" s="2952">
        <v>199.98</v>
      </c>
    </row>
    <row r="40" spans="1:4">
      <c r="A40" s="2952">
        <v>39</v>
      </c>
      <c r="B40" s="2952">
        <v>1001</v>
      </c>
      <c r="C40" s="2952" t="s">
        <v>3105</v>
      </c>
      <c r="D40" s="2952">
        <v>377.64</v>
      </c>
    </row>
    <row r="41" spans="1:4">
      <c r="A41" s="2952">
        <v>40</v>
      </c>
      <c r="B41" s="2952">
        <v>1002</v>
      </c>
      <c r="C41" s="2952" t="s">
        <v>3106</v>
      </c>
      <c r="D41" s="2952">
        <v>285.48</v>
      </c>
    </row>
    <row r="42" spans="1:4">
      <c r="A42" s="2952">
        <v>41</v>
      </c>
      <c r="B42" s="2952">
        <v>1003</v>
      </c>
      <c r="C42" s="2952" t="s">
        <v>3107</v>
      </c>
      <c r="D42" s="2952">
        <v>138.15</v>
      </c>
    </row>
    <row r="43" spans="1:4">
      <c r="A43" s="2952">
        <v>42</v>
      </c>
      <c r="B43" s="2952">
        <v>1004</v>
      </c>
      <c r="C43" s="2952" t="s">
        <v>3108</v>
      </c>
      <c r="D43" s="2952">
        <v>377.75</v>
      </c>
    </row>
    <row r="44" spans="1:4">
      <c r="A44" s="2952">
        <v>43</v>
      </c>
      <c r="B44" s="2952">
        <v>1005</v>
      </c>
      <c r="C44" s="2952" t="s">
        <v>3109</v>
      </c>
      <c r="D44" s="2952">
        <v>199.98</v>
      </c>
    </row>
    <row r="45" spans="1:4">
      <c r="A45" s="2952">
        <v>44</v>
      </c>
      <c r="B45" s="2952">
        <v>1006</v>
      </c>
      <c r="C45" s="2952" t="s">
        <v>3110</v>
      </c>
      <c r="D45" s="2952">
        <v>377.75</v>
      </c>
    </row>
    <row r="46" spans="1:4">
      <c r="A46" s="2952">
        <v>45</v>
      </c>
      <c r="B46" s="2952">
        <v>1007</v>
      </c>
      <c r="C46" s="2952" t="s">
        <v>3111</v>
      </c>
      <c r="D46" s="2952">
        <v>138.15</v>
      </c>
    </row>
    <row r="47" spans="1:4">
      <c r="A47" s="2952">
        <v>46</v>
      </c>
      <c r="B47" s="2952">
        <v>1008</v>
      </c>
      <c r="C47" s="2952" t="s">
        <v>3112</v>
      </c>
      <c r="D47" s="2952">
        <v>286.02999999999997</v>
      </c>
    </row>
    <row r="48" spans="1:4">
      <c r="A48" s="2952">
        <v>47</v>
      </c>
      <c r="B48" s="2952">
        <v>1009</v>
      </c>
      <c r="C48" s="2952" t="s">
        <v>3113</v>
      </c>
      <c r="D48" s="2952">
        <v>377.64</v>
      </c>
    </row>
    <row r="49" spans="1:4">
      <c r="A49" s="2952">
        <v>48</v>
      </c>
      <c r="B49" s="2952">
        <v>1010</v>
      </c>
      <c r="C49" s="2952" t="s">
        <v>3114</v>
      </c>
      <c r="D49" s="2952">
        <v>199.98</v>
      </c>
    </row>
    <row r="50" spans="1:4">
      <c r="A50" s="2952">
        <v>49</v>
      </c>
      <c r="B50" s="2952">
        <v>1101</v>
      </c>
      <c r="C50" s="2952" t="s">
        <v>3115</v>
      </c>
      <c r="D50" s="2952">
        <v>377.64</v>
      </c>
    </row>
    <row r="51" spans="1:4">
      <c r="A51" s="2952">
        <v>50</v>
      </c>
      <c r="B51" s="2952">
        <v>1102</v>
      </c>
      <c r="C51" s="2952" t="s">
        <v>3116</v>
      </c>
      <c r="D51" s="2952">
        <v>285.48</v>
      </c>
    </row>
    <row r="52" spans="1:4">
      <c r="A52" s="2952">
        <v>51</v>
      </c>
      <c r="B52" s="2952">
        <v>1103</v>
      </c>
      <c r="C52" s="2952" t="s">
        <v>3117</v>
      </c>
      <c r="D52" s="2952">
        <v>138.15</v>
      </c>
    </row>
    <row r="53" spans="1:4">
      <c r="A53" s="2952">
        <v>52</v>
      </c>
      <c r="B53" s="2952">
        <v>1104</v>
      </c>
      <c r="C53" s="2952" t="s">
        <v>3118</v>
      </c>
      <c r="D53" s="2952">
        <v>377.75</v>
      </c>
    </row>
    <row r="54" spans="1:4">
      <c r="A54" s="2952">
        <v>53</v>
      </c>
      <c r="B54" s="2952">
        <v>1105</v>
      </c>
      <c r="C54" s="2952" t="s">
        <v>3119</v>
      </c>
      <c r="D54" s="2952">
        <v>199.98</v>
      </c>
    </row>
    <row r="55" spans="1:4">
      <c r="A55" s="2952">
        <v>54</v>
      </c>
      <c r="B55" s="2952">
        <v>1106</v>
      </c>
      <c r="C55" s="2952" t="s">
        <v>3120</v>
      </c>
      <c r="D55" s="2952">
        <v>377.75</v>
      </c>
    </row>
    <row r="56" spans="1:4">
      <c r="A56" s="2952">
        <v>55</v>
      </c>
      <c r="B56" s="2952">
        <v>1107</v>
      </c>
      <c r="C56" s="2952" t="s">
        <v>3121</v>
      </c>
      <c r="D56" s="2952">
        <v>138.15</v>
      </c>
    </row>
    <row r="57" spans="1:4">
      <c r="A57" s="2952">
        <v>56</v>
      </c>
      <c r="B57" s="2952">
        <v>1108</v>
      </c>
      <c r="C57" s="2952" t="s">
        <v>3122</v>
      </c>
      <c r="D57" s="2952">
        <v>286.02999999999997</v>
      </c>
    </row>
    <row r="58" spans="1:4">
      <c r="A58" s="2952">
        <v>57</v>
      </c>
      <c r="B58" s="2952">
        <v>1109</v>
      </c>
      <c r="C58" s="2952" t="s">
        <v>3123</v>
      </c>
      <c r="D58" s="2952">
        <v>377.64</v>
      </c>
    </row>
    <row r="59" spans="1:4">
      <c r="A59" s="2952">
        <v>58</v>
      </c>
      <c r="B59" s="2952">
        <v>1110</v>
      </c>
      <c r="C59" s="2952" t="s">
        <v>3124</v>
      </c>
      <c r="D59" s="2952">
        <v>199.98</v>
      </c>
    </row>
    <row r="60" spans="1:4">
      <c r="A60" s="2952">
        <v>59</v>
      </c>
      <c r="B60" s="2952">
        <v>1201</v>
      </c>
      <c r="C60" s="2952" t="s">
        <v>3125</v>
      </c>
      <c r="D60" s="2952">
        <v>380</v>
      </c>
    </row>
    <row r="61" spans="1:4">
      <c r="A61" s="2952">
        <v>60</v>
      </c>
      <c r="B61" s="2952">
        <v>1202</v>
      </c>
      <c r="C61" s="2952" t="s">
        <v>3126</v>
      </c>
      <c r="D61" s="2952">
        <v>286.95999999999998</v>
      </c>
    </row>
    <row r="62" spans="1:4">
      <c r="A62" s="2952">
        <v>61</v>
      </c>
      <c r="B62" s="2952">
        <v>1203</v>
      </c>
      <c r="C62" s="2952" t="s">
        <v>3127</v>
      </c>
      <c r="D62" s="2952">
        <v>138.16</v>
      </c>
    </row>
    <row r="63" spans="1:4">
      <c r="A63" s="2952">
        <v>62</v>
      </c>
      <c r="B63" s="2952">
        <v>1204</v>
      </c>
      <c r="C63" s="2952" t="s">
        <v>3128</v>
      </c>
      <c r="D63" s="2952">
        <v>380.12</v>
      </c>
    </row>
    <row r="64" spans="1:4">
      <c r="A64" s="2952">
        <v>63</v>
      </c>
      <c r="B64" s="2952">
        <v>1205</v>
      </c>
      <c r="C64" s="2952" t="s">
        <v>3129</v>
      </c>
      <c r="D64" s="2952">
        <v>201.45</v>
      </c>
    </row>
    <row r="65" spans="1:4">
      <c r="A65" s="2952">
        <v>64</v>
      </c>
      <c r="B65" s="2952">
        <v>1206</v>
      </c>
      <c r="C65" s="2952" t="s">
        <v>3130</v>
      </c>
      <c r="D65" s="2952">
        <v>380.12</v>
      </c>
    </row>
    <row r="66" spans="1:4">
      <c r="A66" s="2952">
        <v>65</v>
      </c>
      <c r="B66" s="2952">
        <v>1207</v>
      </c>
      <c r="C66" s="2952" t="s">
        <v>3131</v>
      </c>
      <c r="D66" s="2952">
        <v>138.16</v>
      </c>
    </row>
    <row r="67" spans="1:4">
      <c r="A67" s="2952">
        <v>66</v>
      </c>
      <c r="B67" s="2952">
        <v>1208</v>
      </c>
      <c r="C67" s="2952" t="s">
        <v>3132</v>
      </c>
      <c r="D67" s="2952">
        <v>287.52</v>
      </c>
    </row>
    <row r="68" spans="1:4">
      <c r="A68" s="2952">
        <v>67</v>
      </c>
      <c r="B68" s="2952">
        <v>1209</v>
      </c>
      <c r="C68" s="2952" t="s">
        <v>3133</v>
      </c>
      <c r="D68" s="2952">
        <v>380</v>
      </c>
    </row>
    <row r="69" spans="1:4">
      <c r="A69" s="2952">
        <v>68</v>
      </c>
      <c r="B69" s="2952">
        <v>1210</v>
      </c>
      <c r="C69" s="2952" t="s">
        <v>3134</v>
      </c>
      <c r="D69" s="2952">
        <v>201.45</v>
      </c>
    </row>
    <row r="70" spans="1:4">
      <c r="A70" s="2952">
        <v>69</v>
      </c>
      <c r="B70" s="2952">
        <v>1301</v>
      </c>
      <c r="C70" s="2952" t="s">
        <v>3135</v>
      </c>
      <c r="D70" s="2952">
        <v>380</v>
      </c>
    </row>
    <row r="71" spans="1:4">
      <c r="A71" s="2952">
        <v>70</v>
      </c>
      <c r="B71" s="2952">
        <v>1302</v>
      </c>
      <c r="C71" s="2952" t="s">
        <v>3136</v>
      </c>
      <c r="D71" s="2952">
        <v>286.95999999999998</v>
      </c>
    </row>
    <row r="72" spans="1:4">
      <c r="A72" s="2952">
        <v>71</v>
      </c>
      <c r="B72" s="2952">
        <v>1303</v>
      </c>
      <c r="C72" s="2952" t="s">
        <v>3137</v>
      </c>
      <c r="D72" s="2952">
        <v>138.16</v>
      </c>
    </row>
    <row r="73" spans="1:4">
      <c r="A73" s="2952">
        <v>72</v>
      </c>
      <c r="B73" s="2952">
        <v>1304</v>
      </c>
      <c r="C73" s="2952" t="s">
        <v>3138</v>
      </c>
      <c r="D73" s="2952">
        <v>380.12</v>
      </c>
    </row>
    <row r="74" spans="1:4">
      <c r="A74" s="2952">
        <v>73</v>
      </c>
      <c r="B74" s="2952">
        <v>1305</v>
      </c>
      <c r="C74" s="2952" t="s">
        <v>3139</v>
      </c>
      <c r="D74" s="2952">
        <v>201.45</v>
      </c>
    </row>
    <row r="75" spans="1:4">
      <c r="A75" s="2952">
        <v>74</v>
      </c>
      <c r="B75" s="2952">
        <v>1306</v>
      </c>
      <c r="C75" s="2952" t="s">
        <v>3140</v>
      </c>
      <c r="D75" s="2952">
        <v>380.12</v>
      </c>
    </row>
    <row r="76" spans="1:4">
      <c r="A76" s="2952">
        <v>75</v>
      </c>
      <c r="B76" s="2952">
        <v>1307</v>
      </c>
      <c r="C76" s="2952" t="s">
        <v>3141</v>
      </c>
      <c r="D76" s="2952">
        <v>138.16</v>
      </c>
    </row>
    <row r="77" spans="1:4">
      <c r="A77" s="2952">
        <v>76</v>
      </c>
      <c r="B77" s="2952">
        <v>1308</v>
      </c>
      <c r="C77" s="2952" t="s">
        <v>3142</v>
      </c>
      <c r="D77" s="2952">
        <v>287.52</v>
      </c>
    </row>
    <row r="78" spans="1:4">
      <c r="A78" s="2952">
        <v>77</v>
      </c>
      <c r="B78" s="2952">
        <v>1309</v>
      </c>
      <c r="C78" s="2952" t="s">
        <v>3143</v>
      </c>
      <c r="D78" s="2952">
        <v>380</v>
      </c>
    </row>
    <row r="79" spans="1:4">
      <c r="A79" s="2952">
        <v>78</v>
      </c>
      <c r="B79" s="2952">
        <v>1310</v>
      </c>
      <c r="C79" s="2952" t="s">
        <v>3144</v>
      </c>
      <c r="D79" s="2952">
        <v>201.45</v>
      </c>
    </row>
    <row r="80" spans="1:4">
      <c r="A80" s="2953">
        <v>79</v>
      </c>
      <c r="B80" s="2953">
        <v>1401</v>
      </c>
      <c r="C80" s="2953" t="s">
        <v>3145</v>
      </c>
      <c r="D80" s="2953">
        <v>380</v>
      </c>
    </row>
    <row r="81" spans="1:4">
      <c r="A81" s="2952">
        <v>80</v>
      </c>
      <c r="B81" s="2952">
        <v>1402</v>
      </c>
      <c r="C81" s="2952" t="s">
        <v>3146</v>
      </c>
      <c r="D81" s="2952">
        <v>286.95999999999998</v>
      </c>
    </row>
    <row r="82" spans="1:4">
      <c r="A82" s="2952">
        <v>81</v>
      </c>
      <c r="B82" s="2952">
        <v>1403</v>
      </c>
      <c r="C82" s="2952" t="s">
        <v>3147</v>
      </c>
      <c r="D82" s="2952">
        <v>138.16</v>
      </c>
    </row>
    <row r="83" spans="1:4">
      <c r="A83" s="2952">
        <v>82</v>
      </c>
      <c r="B83" s="2952">
        <v>1404</v>
      </c>
      <c r="C83" s="2952" t="s">
        <v>3148</v>
      </c>
      <c r="D83" s="2952">
        <v>380.12</v>
      </c>
    </row>
    <row r="84" spans="1:4">
      <c r="A84" s="2952">
        <v>83</v>
      </c>
      <c r="B84" s="2952">
        <v>1405</v>
      </c>
      <c r="C84" s="2952" t="s">
        <v>3149</v>
      </c>
      <c r="D84" s="2952">
        <v>201.45</v>
      </c>
    </row>
    <row r="85" spans="1:4">
      <c r="A85" s="2952">
        <v>84</v>
      </c>
      <c r="B85" s="2952">
        <v>1406</v>
      </c>
      <c r="C85" s="2952" t="s">
        <v>3150</v>
      </c>
      <c r="D85" s="2952">
        <v>380.12</v>
      </c>
    </row>
    <row r="86" spans="1:4">
      <c r="A86" s="2952">
        <v>85</v>
      </c>
      <c r="B86" s="2952">
        <v>1407</v>
      </c>
      <c r="C86" s="2952" t="s">
        <v>3151</v>
      </c>
      <c r="D86" s="2952">
        <v>138.16</v>
      </c>
    </row>
    <row r="87" spans="1:4">
      <c r="A87" s="2952">
        <v>86</v>
      </c>
      <c r="B87" s="2952">
        <v>1408</v>
      </c>
      <c r="C87" s="2952" t="s">
        <v>3152</v>
      </c>
      <c r="D87" s="2952">
        <v>287.52</v>
      </c>
    </row>
    <row r="88" spans="1:4">
      <c r="A88" s="2952">
        <v>87</v>
      </c>
      <c r="B88" s="2952">
        <v>1409</v>
      </c>
      <c r="C88" s="2952" t="s">
        <v>3153</v>
      </c>
      <c r="D88" s="2952">
        <v>380</v>
      </c>
    </row>
    <row r="89" spans="1:4">
      <c r="A89" s="2952">
        <v>88</v>
      </c>
      <c r="B89" s="2952">
        <v>1410</v>
      </c>
      <c r="C89" s="2952" t="s">
        <v>3154</v>
      </c>
      <c r="D89" s="2952">
        <v>201.45</v>
      </c>
    </row>
    <row r="90" spans="1:4">
      <c r="A90" s="2952">
        <v>89</v>
      </c>
      <c r="B90" s="2952">
        <v>1601</v>
      </c>
      <c r="C90" s="2952" t="s">
        <v>3155</v>
      </c>
      <c r="D90" s="2952">
        <v>385.62</v>
      </c>
    </row>
    <row r="91" spans="1:4">
      <c r="A91" s="2952">
        <v>90</v>
      </c>
      <c r="B91" s="2952">
        <v>1602</v>
      </c>
      <c r="C91" s="2952" t="s">
        <v>3156</v>
      </c>
      <c r="D91" s="2952">
        <v>141.11000000000001</v>
      </c>
    </row>
    <row r="92" spans="1:4">
      <c r="A92" s="2952">
        <v>91</v>
      </c>
      <c r="B92" s="2952">
        <v>1603</v>
      </c>
      <c r="C92" s="2952" t="s">
        <v>3157</v>
      </c>
      <c r="D92" s="2952">
        <v>292.73</v>
      </c>
    </row>
    <row r="93" spans="1:4">
      <c r="A93" s="2952">
        <v>92</v>
      </c>
      <c r="B93" s="2952">
        <v>1604</v>
      </c>
      <c r="C93" s="2952" t="s">
        <v>3158</v>
      </c>
      <c r="D93" s="2952">
        <v>385.52</v>
      </c>
    </row>
    <row r="94" spans="1:4">
      <c r="A94" s="2952">
        <v>93</v>
      </c>
      <c r="B94" s="2952">
        <v>1605</v>
      </c>
      <c r="C94" s="2952" t="s">
        <v>3159</v>
      </c>
      <c r="D94" s="2952">
        <v>205.4</v>
      </c>
    </row>
    <row r="95" spans="1:4">
      <c r="A95" s="2952">
        <v>94</v>
      </c>
      <c r="B95" s="2952">
        <v>1606</v>
      </c>
      <c r="C95" s="2952" t="s">
        <v>3160</v>
      </c>
      <c r="D95" s="2952">
        <v>385.52</v>
      </c>
    </row>
    <row r="96" spans="1:4">
      <c r="A96" s="2952">
        <v>95</v>
      </c>
      <c r="B96" s="2952">
        <v>1607</v>
      </c>
      <c r="C96" s="2952" t="s">
        <v>3161</v>
      </c>
      <c r="D96" s="2952">
        <v>292.93</v>
      </c>
    </row>
    <row r="97" spans="1:4">
      <c r="A97" s="2952">
        <v>96</v>
      </c>
      <c r="B97" s="2952">
        <v>1608</v>
      </c>
      <c r="C97" s="2952" t="s">
        <v>3162</v>
      </c>
      <c r="D97" s="2952">
        <v>141.11000000000001</v>
      </c>
    </row>
    <row r="98" spans="1:4">
      <c r="A98" s="2952">
        <v>97</v>
      </c>
      <c r="B98" s="2952">
        <v>1609</v>
      </c>
      <c r="C98" s="2952" t="s">
        <v>3163</v>
      </c>
      <c r="D98" s="2952">
        <v>385.62</v>
      </c>
    </row>
    <row r="99" spans="1:4">
      <c r="A99" s="2952">
        <v>98</v>
      </c>
      <c r="B99" s="2952">
        <v>1610</v>
      </c>
      <c r="C99" s="2952" t="s">
        <v>3164</v>
      </c>
      <c r="D99" s="2952">
        <v>205.4</v>
      </c>
    </row>
    <row r="100" spans="1:4">
      <c r="A100" s="2952">
        <v>99</v>
      </c>
      <c r="B100" s="2952">
        <v>1701</v>
      </c>
      <c r="C100" s="2952" t="s">
        <v>3165</v>
      </c>
      <c r="D100" s="2952">
        <v>385.62</v>
      </c>
    </row>
    <row r="101" spans="1:4">
      <c r="A101" s="2952">
        <v>100</v>
      </c>
      <c r="B101" s="2952">
        <v>1702</v>
      </c>
      <c r="C101" s="2952" t="s">
        <v>3166</v>
      </c>
      <c r="D101" s="2952">
        <v>141.11000000000001</v>
      </c>
    </row>
    <row r="102" spans="1:4">
      <c r="A102" s="2952">
        <v>101</v>
      </c>
      <c r="B102" s="2952">
        <v>1703</v>
      </c>
      <c r="C102" s="2952" t="s">
        <v>3167</v>
      </c>
      <c r="D102" s="2952">
        <v>292.73</v>
      </c>
    </row>
    <row r="103" spans="1:4">
      <c r="A103" s="2952">
        <v>102</v>
      </c>
      <c r="B103" s="2952">
        <v>1704</v>
      </c>
      <c r="C103" s="2952" t="s">
        <v>3168</v>
      </c>
      <c r="D103" s="2952">
        <v>385.52</v>
      </c>
    </row>
    <row r="104" spans="1:4">
      <c r="A104" s="2952">
        <v>103</v>
      </c>
      <c r="B104" s="2952">
        <v>1705</v>
      </c>
      <c r="C104" s="2952" t="s">
        <v>3169</v>
      </c>
      <c r="D104" s="2952">
        <v>205.4</v>
      </c>
    </row>
    <row r="105" spans="1:4">
      <c r="A105" s="2952">
        <v>104</v>
      </c>
      <c r="B105" s="2952">
        <v>1706</v>
      </c>
      <c r="C105" s="2952" t="s">
        <v>3170</v>
      </c>
      <c r="D105" s="2952">
        <v>385.52</v>
      </c>
    </row>
    <row r="106" spans="1:4">
      <c r="A106" s="2952">
        <v>105</v>
      </c>
      <c r="B106" s="2952">
        <v>1707</v>
      </c>
      <c r="C106" s="2952" t="s">
        <v>3171</v>
      </c>
      <c r="D106" s="2952">
        <v>292.93</v>
      </c>
    </row>
    <row r="107" spans="1:4">
      <c r="A107" s="2952">
        <v>106</v>
      </c>
      <c r="B107" s="2952">
        <v>1708</v>
      </c>
      <c r="C107" s="2952" t="s">
        <v>3172</v>
      </c>
      <c r="D107" s="2952">
        <v>141.11000000000001</v>
      </c>
    </row>
    <row r="108" spans="1:4">
      <c r="A108" s="2952">
        <v>107</v>
      </c>
      <c r="B108" s="2952">
        <v>1709</v>
      </c>
      <c r="C108" s="2952" t="s">
        <v>3173</v>
      </c>
      <c r="D108" s="2952">
        <v>385.62</v>
      </c>
    </row>
    <row r="109" spans="1:4">
      <c r="A109" s="2952">
        <v>108</v>
      </c>
      <c r="B109" s="2952">
        <v>1710</v>
      </c>
      <c r="C109" s="2952" t="s">
        <v>3174</v>
      </c>
      <c r="D109" s="2952">
        <v>205.4</v>
      </c>
    </row>
    <row r="110" spans="1:4">
      <c r="A110" s="2952">
        <v>109</v>
      </c>
      <c r="B110" s="2952">
        <v>1801</v>
      </c>
      <c r="C110" s="2952" t="s">
        <v>3175</v>
      </c>
      <c r="D110" s="2952">
        <v>385.62</v>
      </c>
    </row>
    <row r="111" spans="1:4">
      <c r="A111" s="2952">
        <v>110</v>
      </c>
      <c r="B111" s="2952">
        <v>1802</v>
      </c>
      <c r="C111" s="2952" t="s">
        <v>3176</v>
      </c>
      <c r="D111" s="2952">
        <v>141.11000000000001</v>
      </c>
    </row>
    <row r="112" spans="1:4">
      <c r="A112" s="2952">
        <v>111</v>
      </c>
      <c r="B112" s="2952">
        <v>1803</v>
      </c>
      <c r="C112" s="2952" t="s">
        <v>3177</v>
      </c>
      <c r="D112" s="2952">
        <v>292.73</v>
      </c>
    </row>
    <row r="113" spans="1:4">
      <c r="A113" s="2952">
        <v>112</v>
      </c>
      <c r="B113" s="2952">
        <v>1804</v>
      </c>
      <c r="C113" s="2952" t="s">
        <v>3178</v>
      </c>
      <c r="D113" s="2952">
        <v>385.52</v>
      </c>
    </row>
    <row r="114" spans="1:4">
      <c r="A114" s="2952">
        <v>113</v>
      </c>
      <c r="B114" s="2952">
        <v>1805</v>
      </c>
      <c r="C114" s="2952" t="s">
        <v>3179</v>
      </c>
      <c r="D114" s="2952">
        <v>205.4</v>
      </c>
    </row>
    <row r="115" spans="1:4">
      <c r="A115" s="2952">
        <v>114</v>
      </c>
      <c r="B115" s="2952">
        <v>1806</v>
      </c>
      <c r="C115" s="2952" t="s">
        <v>3180</v>
      </c>
      <c r="D115" s="2952">
        <v>385.52</v>
      </c>
    </row>
    <row r="116" spans="1:4">
      <c r="A116" s="2952">
        <v>115</v>
      </c>
      <c r="B116" s="2952">
        <v>1807</v>
      </c>
      <c r="C116" s="2952" t="s">
        <v>3181</v>
      </c>
      <c r="D116" s="2952">
        <v>292.93</v>
      </c>
    </row>
    <row r="117" spans="1:4">
      <c r="A117" s="2952">
        <v>116</v>
      </c>
      <c r="B117" s="2952">
        <v>1808</v>
      </c>
      <c r="C117" s="2952" t="s">
        <v>3182</v>
      </c>
      <c r="D117" s="2952">
        <v>141.11000000000001</v>
      </c>
    </row>
    <row r="118" spans="1:4">
      <c r="A118" s="2952">
        <v>117</v>
      </c>
      <c r="B118" s="2952">
        <v>1809</v>
      </c>
      <c r="C118" s="2952" t="s">
        <v>3183</v>
      </c>
      <c r="D118" s="2952">
        <v>385.62</v>
      </c>
    </row>
    <row r="119" spans="1:4">
      <c r="A119" s="2952">
        <v>118</v>
      </c>
      <c r="B119" s="2952">
        <v>1810</v>
      </c>
      <c r="C119" s="2952" t="s">
        <v>3184</v>
      </c>
      <c r="D119" s="2952">
        <v>205.4</v>
      </c>
    </row>
    <row r="120" spans="1:4">
      <c r="A120" s="2952">
        <v>119</v>
      </c>
      <c r="B120" s="2952">
        <v>1901</v>
      </c>
      <c r="C120" s="2952" t="s">
        <v>3185</v>
      </c>
      <c r="D120" s="2952">
        <v>385.62</v>
      </c>
    </row>
    <row r="121" spans="1:4">
      <c r="A121" s="2952">
        <v>120</v>
      </c>
      <c r="B121" s="2952">
        <v>1902</v>
      </c>
      <c r="C121" s="2952" t="s">
        <v>3186</v>
      </c>
      <c r="D121" s="2952">
        <v>141.11000000000001</v>
      </c>
    </row>
    <row r="122" spans="1:4">
      <c r="A122" s="2952">
        <v>121</v>
      </c>
      <c r="B122" s="2952">
        <v>1903</v>
      </c>
      <c r="C122" s="2952" t="s">
        <v>3187</v>
      </c>
      <c r="D122" s="2952">
        <v>292.73</v>
      </c>
    </row>
    <row r="123" spans="1:4">
      <c r="A123" s="2952">
        <v>122</v>
      </c>
      <c r="B123" s="2952">
        <v>1904</v>
      </c>
      <c r="C123" s="2952" t="s">
        <v>3188</v>
      </c>
      <c r="D123" s="2952">
        <v>385.52</v>
      </c>
    </row>
    <row r="124" spans="1:4">
      <c r="A124" s="2952">
        <v>123</v>
      </c>
      <c r="B124" s="2952">
        <v>1905</v>
      </c>
      <c r="C124" s="2952" t="s">
        <v>3189</v>
      </c>
      <c r="D124" s="2952">
        <v>205.4</v>
      </c>
    </row>
    <row r="125" spans="1:4">
      <c r="A125" s="2952">
        <v>124</v>
      </c>
      <c r="B125" s="2952">
        <v>1906</v>
      </c>
      <c r="C125" s="2952" t="s">
        <v>3190</v>
      </c>
      <c r="D125" s="2952">
        <v>385.52</v>
      </c>
    </row>
    <row r="126" spans="1:4">
      <c r="A126" s="2952">
        <v>125</v>
      </c>
      <c r="B126" s="2952">
        <v>1907</v>
      </c>
      <c r="C126" s="2952" t="s">
        <v>3191</v>
      </c>
      <c r="D126" s="2952">
        <v>292.93</v>
      </c>
    </row>
    <row r="127" spans="1:4">
      <c r="A127" s="2952">
        <v>126</v>
      </c>
      <c r="B127" s="2952">
        <v>1908</v>
      </c>
      <c r="C127" s="2952" t="s">
        <v>3192</v>
      </c>
      <c r="D127" s="2952">
        <v>141.11000000000001</v>
      </c>
    </row>
    <row r="128" spans="1:4">
      <c r="A128" s="2952">
        <v>127</v>
      </c>
      <c r="B128" s="2952">
        <v>1909</v>
      </c>
      <c r="C128" s="2952" t="s">
        <v>3193</v>
      </c>
      <c r="D128" s="2952">
        <v>385.62</v>
      </c>
    </row>
    <row r="129" spans="1:4">
      <c r="A129" s="2952">
        <v>128</v>
      </c>
      <c r="B129" s="2952">
        <v>1910</v>
      </c>
      <c r="C129" s="2952" t="s">
        <v>3194</v>
      </c>
      <c r="D129" s="2952">
        <v>205.4</v>
      </c>
    </row>
    <row r="130" spans="1:4">
      <c r="A130" s="2952">
        <v>129</v>
      </c>
      <c r="B130" s="2952">
        <v>2001</v>
      </c>
      <c r="C130" s="2952" t="s">
        <v>3195</v>
      </c>
      <c r="D130" s="2952">
        <v>385.62</v>
      </c>
    </row>
    <row r="131" spans="1:4">
      <c r="A131" s="2952">
        <v>130</v>
      </c>
      <c r="B131" s="2952">
        <v>2002</v>
      </c>
      <c r="C131" s="2952" t="s">
        <v>3196</v>
      </c>
      <c r="D131" s="2952">
        <v>141.11000000000001</v>
      </c>
    </row>
    <row r="132" spans="1:4">
      <c r="A132" s="2952">
        <v>131</v>
      </c>
      <c r="B132" s="2952">
        <v>2003</v>
      </c>
      <c r="C132" s="2952" t="s">
        <v>3197</v>
      </c>
      <c r="D132" s="2952">
        <v>292.73</v>
      </c>
    </row>
    <row r="133" spans="1:4">
      <c r="A133" s="2952">
        <v>132</v>
      </c>
      <c r="B133" s="2952">
        <v>2004</v>
      </c>
      <c r="C133" s="2952" t="s">
        <v>3198</v>
      </c>
      <c r="D133" s="2952">
        <v>385.52</v>
      </c>
    </row>
    <row r="134" spans="1:4">
      <c r="A134" s="2952">
        <v>133</v>
      </c>
      <c r="B134" s="2952">
        <v>2005</v>
      </c>
      <c r="C134" s="2952" t="s">
        <v>3199</v>
      </c>
      <c r="D134" s="2952">
        <v>205.4</v>
      </c>
    </row>
    <row r="135" spans="1:4">
      <c r="A135" s="2952">
        <v>134</v>
      </c>
      <c r="B135" s="2952">
        <v>2006</v>
      </c>
      <c r="C135" s="2952" t="s">
        <v>3200</v>
      </c>
      <c r="D135" s="2952">
        <v>385.52</v>
      </c>
    </row>
    <row r="136" spans="1:4">
      <c r="A136" s="2952">
        <v>135</v>
      </c>
      <c r="B136" s="2952">
        <v>2007</v>
      </c>
      <c r="C136" s="2952" t="s">
        <v>3201</v>
      </c>
      <c r="D136" s="2952">
        <v>292.93</v>
      </c>
    </row>
    <row r="137" spans="1:4">
      <c r="A137" s="2952">
        <v>136</v>
      </c>
      <c r="B137" s="2952">
        <v>2008</v>
      </c>
      <c r="C137" s="2952" t="s">
        <v>3202</v>
      </c>
      <c r="D137" s="2952">
        <v>141.11000000000001</v>
      </c>
    </row>
    <row r="138" spans="1:4">
      <c r="A138" s="2952">
        <v>137</v>
      </c>
      <c r="B138" s="2952">
        <v>2009</v>
      </c>
      <c r="C138" s="2952" t="s">
        <v>3203</v>
      </c>
      <c r="D138" s="2952">
        <v>385.62</v>
      </c>
    </row>
    <row r="139" spans="1:4">
      <c r="A139" s="2952">
        <v>138</v>
      </c>
      <c r="B139" s="2952">
        <v>2010</v>
      </c>
      <c r="C139" s="2952" t="s">
        <v>3204</v>
      </c>
      <c r="D139" s="2952">
        <v>205.4</v>
      </c>
    </row>
    <row r="140" spans="1:4">
      <c r="A140" s="2952">
        <v>139</v>
      </c>
      <c r="B140" s="2952">
        <v>2101</v>
      </c>
      <c r="C140" s="2952" t="s">
        <v>3205</v>
      </c>
      <c r="D140" s="2952">
        <v>388.03</v>
      </c>
    </row>
    <row r="141" spans="1:4">
      <c r="A141" s="2952">
        <v>140</v>
      </c>
      <c r="B141" s="2952">
        <v>2102</v>
      </c>
      <c r="C141" s="2952" t="s">
        <v>3206</v>
      </c>
      <c r="D141" s="2952">
        <v>141.09</v>
      </c>
    </row>
    <row r="142" spans="1:4">
      <c r="A142" s="2952">
        <v>141</v>
      </c>
      <c r="B142" s="2952">
        <v>2103</v>
      </c>
      <c r="C142" s="2952" t="s">
        <v>3207</v>
      </c>
      <c r="D142" s="2952">
        <v>294.19</v>
      </c>
    </row>
    <row r="143" spans="1:4">
      <c r="A143" s="2952">
        <v>142</v>
      </c>
      <c r="B143" s="2952">
        <v>2104</v>
      </c>
      <c r="C143" s="2952" t="s">
        <v>3208</v>
      </c>
      <c r="D143" s="2952">
        <v>387.93</v>
      </c>
    </row>
    <row r="144" spans="1:4">
      <c r="A144" s="2952">
        <v>143</v>
      </c>
      <c r="B144" s="2952">
        <v>2105</v>
      </c>
      <c r="C144" s="2952" t="s">
        <v>3209</v>
      </c>
      <c r="D144" s="2952">
        <v>206.9</v>
      </c>
    </row>
    <row r="145" spans="1:4">
      <c r="A145" s="2952">
        <v>144</v>
      </c>
      <c r="B145" s="2952">
        <v>2106</v>
      </c>
      <c r="C145" s="2952" t="s">
        <v>3210</v>
      </c>
      <c r="D145" s="2952">
        <v>387.93</v>
      </c>
    </row>
    <row r="146" spans="1:4">
      <c r="A146" s="2952">
        <v>145</v>
      </c>
      <c r="B146" s="2952">
        <v>2107</v>
      </c>
      <c r="C146" s="2952" t="s">
        <v>3211</v>
      </c>
      <c r="D146" s="2952">
        <v>294.39</v>
      </c>
    </row>
    <row r="147" spans="1:4">
      <c r="A147" s="2952">
        <v>146</v>
      </c>
      <c r="B147" s="2952">
        <v>2108</v>
      </c>
      <c r="C147" s="2952" t="s">
        <v>3212</v>
      </c>
      <c r="D147" s="2952">
        <v>141.09</v>
      </c>
    </row>
    <row r="148" spans="1:4">
      <c r="A148" s="2952">
        <v>147</v>
      </c>
      <c r="B148" s="2952">
        <v>2109</v>
      </c>
      <c r="C148" s="2952" t="s">
        <v>3213</v>
      </c>
      <c r="D148" s="2952">
        <v>388.03</v>
      </c>
    </row>
    <row r="149" spans="1:4">
      <c r="A149" s="2952">
        <v>148</v>
      </c>
      <c r="B149" s="2952">
        <v>2110</v>
      </c>
      <c r="C149" s="2952" t="s">
        <v>3214</v>
      </c>
      <c r="D149" s="2952">
        <v>206.9</v>
      </c>
    </row>
    <row r="150" spans="1:4">
      <c r="A150" s="2952">
        <v>149</v>
      </c>
      <c r="B150" s="2952">
        <v>2201</v>
      </c>
      <c r="C150" s="2952" t="s">
        <v>3215</v>
      </c>
      <c r="D150" s="2952">
        <v>388.03</v>
      </c>
    </row>
    <row r="151" spans="1:4">
      <c r="A151" s="2952">
        <v>150</v>
      </c>
      <c r="B151" s="2952">
        <v>2202</v>
      </c>
      <c r="C151" s="2952" t="s">
        <v>3216</v>
      </c>
      <c r="D151" s="2952">
        <v>141.09</v>
      </c>
    </row>
    <row r="152" spans="1:4">
      <c r="A152" s="2952">
        <v>151</v>
      </c>
      <c r="B152" s="2952">
        <v>2203</v>
      </c>
      <c r="C152" s="2952" t="s">
        <v>3217</v>
      </c>
      <c r="D152" s="2952">
        <v>294.19</v>
      </c>
    </row>
    <row r="153" spans="1:4">
      <c r="A153" s="2952">
        <v>152</v>
      </c>
      <c r="B153" s="2952">
        <v>2204</v>
      </c>
      <c r="C153" s="2952" t="s">
        <v>3218</v>
      </c>
      <c r="D153" s="2952">
        <v>387.93</v>
      </c>
    </row>
    <row r="154" spans="1:4">
      <c r="A154" s="2952">
        <v>153</v>
      </c>
      <c r="B154" s="2952">
        <v>2205</v>
      </c>
      <c r="C154" s="2952" t="s">
        <v>3219</v>
      </c>
      <c r="D154" s="2952">
        <v>206.9</v>
      </c>
    </row>
    <row r="155" spans="1:4">
      <c r="A155" s="2952">
        <v>154</v>
      </c>
      <c r="B155" s="2952">
        <v>2206</v>
      </c>
      <c r="C155" s="2952" t="s">
        <v>3220</v>
      </c>
      <c r="D155" s="2952">
        <v>387.93</v>
      </c>
    </row>
    <row r="156" spans="1:4">
      <c r="A156" s="2952">
        <v>155</v>
      </c>
      <c r="B156" s="2952">
        <v>2207</v>
      </c>
      <c r="C156" s="2952" t="s">
        <v>3221</v>
      </c>
      <c r="D156" s="2952">
        <v>294.39</v>
      </c>
    </row>
    <row r="157" spans="1:4">
      <c r="A157" s="2952">
        <v>156</v>
      </c>
      <c r="B157" s="2952">
        <v>2208</v>
      </c>
      <c r="C157" s="2952" t="s">
        <v>3222</v>
      </c>
      <c r="D157" s="2952">
        <v>141.09</v>
      </c>
    </row>
    <row r="158" spans="1:4">
      <c r="A158" s="2952">
        <v>157</v>
      </c>
      <c r="B158" s="2952">
        <v>2209</v>
      </c>
      <c r="C158" s="2952" t="s">
        <v>3223</v>
      </c>
      <c r="D158" s="2952">
        <v>388.03</v>
      </c>
    </row>
    <row r="159" spans="1:4">
      <c r="A159" s="2952">
        <v>158</v>
      </c>
      <c r="B159" s="2952">
        <v>2210</v>
      </c>
      <c r="C159" s="2952" t="s">
        <v>3224</v>
      </c>
      <c r="D159" s="2952">
        <v>206.9</v>
      </c>
    </row>
    <row r="160" spans="1:4">
      <c r="A160" s="2952">
        <v>159</v>
      </c>
      <c r="B160" s="2952">
        <v>2301</v>
      </c>
      <c r="C160" s="2952" t="s">
        <v>3225</v>
      </c>
      <c r="D160" s="2952">
        <v>388.03</v>
      </c>
    </row>
    <row r="161" spans="1:4">
      <c r="A161" s="2952">
        <v>160</v>
      </c>
      <c r="B161" s="2952">
        <v>2302</v>
      </c>
      <c r="C161" s="2952" t="s">
        <v>3226</v>
      </c>
      <c r="D161" s="2952">
        <v>141.09</v>
      </c>
    </row>
    <row r="162" spans="1:4">
      <c r="A162" s="2952">
        <v>161</v>
      </c>
      <c r="B162" s="2952">
        <v>2303</v>
      </c>
      <c r="C162" s="2952" t="s">
        <v>3227</v>
      </c>
      <c r="D162" s="2952">
        <v>294.19</v>
      </c>
    </row>
    <row r="163" spans="1:4">
      <c r="A163" s="2952">
        <v>162</v>
      </c>
      <c r="B163" s="2952">
        <v>2304</v>
      </c>
      <c r="C163" s="2952" t="s">
        <v>3228</v>
      </c>
      <c r="D163" s="2952">
        <v>387.93</v>
      </c>
    </row>
    <row r="164" spans="1:4">
      <c r="A164" s="2952">
        <v>163</v>
      </c>
      <c r="B164" s="2952">
        <v>2305</v>
      </c>
      <c r="C164" s="2952" t="s">
        <v>3229</v>
      </c>
      <c r="D164" s="2952">
        <v>206.9</v>
      </c>
    </row>
    <row r="165" spans="1:4">
      <c r="A165" s="2952">
        <v>164</v>
      </c>
      <c r="B165" s="2952">
        <v>2306</v>
      </c>
      <c r="C165" s="2952" t="s">
        <v>3230</v>
      </c>
      <c r="D165" s="2952">
        <v>387.93</v>
      </c>
    </row>
    <row r="166" spans="1:4">
      <c r="A166" s="2952">
        <v>165</v>
      </c>
      <c r="B166" s="2952">
        <v>2307</v>
      </c>
      <c r="C166" s="2952" t="s">
        <v>3231</v>
      </c>
      <c r="D166" s="2952">
        <v>294.39</v>
      </c>
    </row>
    <row r="167" spans="1:4">
      <c r="A167" s="2952">
        <v>166</v>
      </c>
      <c r="B167" s="2952">
        <v>2308</v>
      </c>
      <c r="C167" s="2952" t="s">
        <v>3232</v>
      </c>
      <c r="D167" s="2952">
        <v>141.09</v>
      </c>
    </row>
    <row r="168" spans="1:4">
      <c r="A168" s="2952">
        <v>167</v>
      </c>
      <c r="B168" s="2952">
        <v>2309</v>
      </c>
      <c r="C168" s="2952" t="s">
        <v>3233</v>
      </c>
      <c r="D168" s="2952">
        <v>388.03</v>
      </c>
    </row>
    <row r="169" spans="1:4">
      <c r="A169" s="2952">
        <v>168</v>
      </c>
      <c r="B169" s="2952">
        <v>2310</v>
      </c>
      <c r="C169" s="2952" t="s">
        <v>3234</v>
      </c>
      <c r="D169" s="2952">
        <v>206.9</v>
      </c>
    </row>
    <row r="170" spans="1:4">
      <c r="A170" s="2952">
        <v>169</v>
      </c>
      <c r="B170" s="2952">
        <v>2401</v>
      </c>
      <c r="C170" s="2952" t="s">
        <v>3235</v>
      </c>
      <c r="D170" s="2952">
        <v>388.03</v>
      </c>
    </row>
    <row r="171" spans="1:4">
      <c r="A171" s="2952">
        <v>170</v>
      </c>
      <c r="B171" s="2952">
        <v>2402</v>
      </c>
      <c r="C171" s="2952" t="s">
        <v>3236</v>
      </c>
      <c r="D171" s="2952">
        <v>141.09</v>
      </c>
    </row>
    <row r="172" spans="1:4">
      <c r="A172" s="2952">
        <v>171</v>
      </c>
      <c r="B172" s="2952">
        <v>2403</v>
      </c>
      <c r="C172" s="2952" t="s">
        <v>3237</v>
      </c>
      <c r="D172" s="2952">
        <v>294.19</v>
      </c>
    </row>
    <row r="173" spans="1:4">
      <c r="A173" s="2952">
        <v>172</v>
      </c>
      <c r="B173" s="2952">
        <v>2404</v>
      </c>
      <c r="C173" s="2952" t="s">
        <v>3238</v>
      </c>
      <c r="D173" s="2952">
        <v>387.93</v>
      </c>
    </row>
    <row r="174" spans="1:4">
      <c r="A174" s="2952">
        <v>173</v>
      </c>
      <c r="B174" s="2952">
        <v>2405</v>
      </c>
      <c r="C174" s="2952" t="s">
        <v>3239</v>
      </c>
      <c r="D174" s="2952">
        <v>206.9</v>
      </c>
    </row>
    <row r="175" spans="1:4">
      <c r="A175" s="2952">
        <v>174</v>
      </c>
      <c r="B175" s="2952">
        <v>2406</v>
      </c>
      <c r="C175" s="2952" t="s">
        <v>3240</v>
      </c>
      <c r="D175" s="2952">
        <v>387.93</v>
      </c>
    </row>
    <row r="176" spans="1:4">
      <c r="A176" s="2952">
        <v>175</v>
      </c>
      <c r="B176" s="2952">
        <v>2407</v>
      </c>
      <c r="C176" s="2952" t="s">
        <v>3241</v>
      </c>
      <c r="D176" s="2952">
        <v>294.39</v>
      </c>
    </row>
    <row r="177" spans="1:4">
      <c r="A177" s="2952">
        <v>176</v>
      </c>
      <c r="B177" s="2952">
        <v>2408</v>
      </c>
      <c r="C177" s="2952" t="s">
        <v>3242</v>
      </c>
      <c r="D177" s="2952">
        <v>141.09</v>
      </c>
    </row>
    <row r="178" spans="1:4">
      <c r="A178" s="2952">
        <v>177</v>
      </c>
      <c r="B178" s="2952">
        <v>2409</v>
      </c>
      <c r="C178" s="2952" t="s">
        <v>3243</v>
      </c>
      <c r="D178" s="2952">
        <v>388.03</v>
      </c>
    </row>
    <row r="179" spans="1:4">
      <c r="A179" s="2952">
        <v>178</v>
      </c>
      <c r="B179" s="2952">
        <v>2410</v>
      </c>
      <c r="C179" s="2952" t="s">
        <v>3244</v>
      </c>
      <c r="D179" s="2952">
        <v>206.9</v>
      </c>
    </row>
    <row r="180" spans="1:4">
      <c r="A180" s="3038" t="s">
        <v>3245</v>
      </c>
      <c r="B180" s="3038"/>
      <c r="C180" s="3038"/>
      <c r="D180" s="2952">
        <f>SUM(D2:D179)</f>
        <v>51234.81</v>
      </c>
    </row>
  </sheetData>
  <mergeCells count="1">
    <mergeCell ref="A180:C180"/>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3" sqref="E4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1931</v>
      </c>
      <c r="B1" s="1390"/>
      <c r="C1" s="1390"/>
      <c r="D1" s="1390"/>
      <c r="E1" s="1390"/>
      <c r="F1" s="1390"/>
      <c r="G1" s="1390"/>
      <c r="H1" s="1390"/>
      <c r="I1" s="1390"/>
      <c r="J1" s="1390"/>
      <c r="K1" s="1390"/>
      <c r="L1" s="1390"/>
      <c r="M1" s="1390"/>
      <c r="N1" s="1390"/>
      <c r="O1" s="1390"/>
      <c r="P1" s="1390"/>
    </row>
    <row r="2" spans="1:16" ht="15">
      <c r="A2" s="3048" t="s">
        <v>1932</v>
      </c>
      <c r="B2" s="3048"/>
      <c r="C2" s="3048"/>
      <c r="D2" s="965" t="s">
        <v>1908</v>
      </c>
      <c r="E2" s="2221" t="s">
        <v>1909</v>
      </c>
      <c r="F2" s="1390"/>
      <c r="G2" s="2222"/>
      <c r="H2" s="2223"/>
      <c r="I2" s="2224" t="s">
        <v>1933</v>
      </c>
      <c r="J2" s="1390"/>
      <c r="K2" s="1390"/>
      <c r="L2" s="1390"/>
      <c r="M2" s="1390"/>
      <c r="N2" s="1425"/>
      <c r="O2" s="1390"/>
      <c r="P2" s="1390"/>
    </row>
    <row r="3" spans="1:16" ht="15.75" thickBot="1">
      <c r="A3" s="3049" t="s">
        <v>1906</v>
      </c>
      <c r="B3" s="3049"/>
      <c r="C3" s="3049"/>
      <c r="D3" s="46">
        <f>'数据-基础表'!AY6</f>
        <v>0</v>
      </c>
      <c r="E3" s="46">
        <f>'数据-基础表'!AZ5</f>
        <v>380</v>
      </c>
      <c r="F3" s="1390"/>
      <c r="G3" s="1397"/>
      <c r="H3" s="1245" t="s">
        <v>1907</v>
      </c>
      <c r="I3" s="55" t="e">
        <f>ROUND('数据-基础表'!B3/'数据-基础表'!A3,2)</f>
        <v>#DIV/0!</v>
      </c>
      <c r="J3" s="1390"/>
      <c r="K3" s="1390"/>
      <c r="L3" s="1390"/>
      <c r="M3" s="1390"/>
      <c r="N3" s="1425"/>
      <c r="O3" s="1390"/>
      <c r="P3" s="1390"/>
    </row>
    <row r="4" spans="1:16" ht="15">
      <c r="A4" s="3050"/>
      <c r="B4" s="3051"/>
      <c r="C4" s="3052"/>
      <c r="D4" s="2225" t="s">
        <v>1908</v>
      </c>
      <c r="E4" s="2226" t="s">
        <v>1909</v>
      </c>
      <c r="F4" s="1390"/>
      <c r="G4" s="2227" t="s">
        <v>1934</v>
      </c>
      <c r="H4" s="1245" t="s">
        <v>1914</v>
      </c>
      <c r="I4" s="55" t="e">
        <f>ROUND(SUMIF('数据-基础表'!I9:AS9,"地上",'数据-基础表'!I5:AS5)/'数据-基础表'!A3,2)</f>
        <v>#DIV/0!</v>
      </c>
      <c r="J4" s="1390"/>
      <c r="K4" s="1390"/>
      <c r="L4" s="1390"/>
      <c r="M4" s="1390"/>
      <c r="N4" s="1425"/>
      <c r="O4" s="1390"/>
      <c r="P4" s="1390"/>
    </row>
    <row r="5" spans="1:16">
      <c r="A5" s="47" t="s">
        <v>1910</v>
      </c>
      <c r="B5" s="3053" t="s">
        <v>1911</v>
      </c>
      <c r="C5" s="3053"/>
      <c r="D5" s="48">
        <f>ROUND($D$3*E5/$E$3,2)</f>
        <v>0</v>
      </c>
      <c r="E5" s="49">
        <f>SUMIF('数据-基础表'!$11:$11,"住宅",'数据-基础表'!$5:$5)</f>
        <v>0</v>
      </c>
      <c r="F5" s="1390"/>
      <c r="G5" s="1397"/>
      <c r="H5" s="1245" t="s">
        <v>1907</v>
      </c>
      <c r="I5" s="55" t="e">
        <f>ROUND(E31/D31,2)</f>
        <v>#DIV/0!</v>
      </c>
      <c r="J5" s="1390"/>
      <c r="K5" s="1390"/>
      <c r="L5" s="1390"/>
      <c r="M5" s="1390"/>
      <c r="N5" s="1390"/>
      <c r="O5" s="1390"/>
      <c r="P5" s="1390"/>
    </row>
    <row r="6" spans="1:16" ht="15" thickBot="1">
      <c r="A6" s="2228"/>
      <c r="B6" s="3053" t="s">
        <v>1912</v>
      </c>
      <c r="C6" s="3053"/>
      <c r="D6" s="48">
        <f>ROUND($D$3*E6/$E$3,2)</f>
        <v>0</v>
      </c>
      <c r="E6" s="49">
        <f>E3-E5</f>
        <v>380</v>
      </c>
      <c r="F6" s="1390"/>
      <c r="G6" s="2229" t="s">
        <v>1913</v>
      </c>
      <c r="H6" s="1397" t="s">
        <v>1914</v>
      </c>
      <c r="I6" s="937" t="e">
        <f>ROUND(F31/D31,2)</f>
        <v>#DIV/0!</v>
      </c>
      <c r="J6" s="1390"/>
      <c r="K6" s="1390"/>
      <c r="L6" s="1390"/>
      <c r="M6" s="1390"/>
      <c r="N6" s="1390"/>
      <c r="O6" s="1390"/>
      <c r="P6" s="1390"/>
    </row>
    <row r="7" spans="1:16" ht="15">
      <c r="A7" s="3045"/>
      <c r="B7" s="3046"/>
      <c r="C7" s="3047"/>
      <c r="D7" s="2225" t="s">
        <v>1908</v>
      </c>
      <c r="E7" s="2230" t="s">
        <v>1915</v>
      </c>
      <c r="F7" s="1390"/>
      <c r="G7" s="2222" t="s">
        <v>1916</v>
      </c>
      <c r="H7" s="64"/>
      <c r="I7" s="420"/>
      <c r="J7" s="1390"/>
      <c r="K7" s="1390"/>
      <c r="L7" s="1390"/>
      <c r="M7" s="1390"/>
      <c r="N7" s="1390"/>
      <c r="O7" s="1390"/>
      <c r="P7" s="1390"/>
    </row>
    <row r="8" spans="1:16">
      <c r="A8" s="47" t="s">
        <v>1917</v>
      </c>
      <c r="B8" s="50" t="s">
        <v>1918</v>
      </c>
      <c r="C8" s="48" t="s">
        <v>1919</v>
      </c>
      <c r="D8" s="48">
        <f t="shared" ref="D8:D15" si="0">ROUND($D$3*E8/$E$3,2)</f>
        <v>0</v>
      </c>
      <c r="E8" s="51">
        <f>SUMIF('数据-基础表'!BB10:BK10,"地上",'数据-基础表'!BB5:BK5)</f>
        <v>380</v>
      </c>
      <c r="F8" s="1390"/>
      <c r="G8" s="2231"/>
      <c r="H8" s="2231"/>
      <c r="I8" s="1390"/>
      <c r="J8" s="1390"/>
      <c r="K8" s="1390"/>
      <c r="L8" s="1390"/>
      <c r="M8" s="1390"/>
      <c r="N8" s="1390"/>
      <c r="O8" s="1390"/>
      <c r="P8" s="1390"/>
    </row>
    <row r="9" spans="1:16">
      <c r="A9" s="2232"/>
      <c r="B9" s="2233"/>
      <c r="C9" s="48" t="s">
        <v>1920</v>
      </c>
      <c r="D9" s="48">
        <f t="shared" si="0"/>
        <v>0</v>
      </c>
      <c r="E9" s="52">
        <v>0</v>
      </c>
      <c r="F9" s="1390"/>
      <c r="G9" s="2231"/>
      <c r="H9" s="2231"/>
      <c r="I9" s="1390"/>
      <c r="J9" s="1390"/>
      <c r="K9" s="1390"/>
      <c r="L9" s="1390"/>
      <c r="M9" s="1390"/>
      <c r="N9" s="1390"/>
      <c r="O9" s="1390"/>
      <c r="P9" s="1390"/>
    </row>
    <row r="10" spans="1:16">
      <c r="A10" s="2232"/>
      <c r="B10" s="2233"/>
      <c r="C10" s="48" t="s">
        <v>1929</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1921</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1922</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1923</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1935</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1930</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1924</v>
      </c>
      <c r="D16" s="50">
        <f>SUM(D8:D15)</f>
        <v>0</v>
      </c>
      <c r="E16" s="53">
        <f>SUM(E8:E15)</f>
        <v>380</v>
      </c>
      <c r="F16" s="1390"/>
      <c r="G16" s="2231"/>
      <c r="H16" s="2234" t="s">
        <v>1936</v>
      </c>
      <c r="I16" s="2235"/>
      <c r="J16" s="1390"/>
      <c r="K16" s="3042" t="s">
        <v>1936</v>
      </c>
      <c r="L16" s="3043"/>
      <c r="M16" s="3043"/>
      <c r="N16" s="3043"/>
      <c r="O16" s="3043"/>
      <c r="P16" s="3044"/>
    </row>
    <row r="17" spans="1:19" ht="15">
      <c r="A17" s="2236" t="s">
        <v>1937</v>
      </c>
      <c r="B17" s="2237" t="s">
        <v>1938</v>
      </c>
      <c r="C17" s="2238" t="s">
        <v>1939</v>
      </c>
      <c r="D17" s="2239" t="s">
        <v>1927</v>
      </c>
      <c r="E17" s="2240" t="s">
        <v>1928</v>
      </c>
      <c r="F17" s="2241"/>
      <c r="G17" s="2242"/>
      <c r="H17" s="2243" t="s">
        <v>1940</v>
      </c>
      <c r="I17" s="2244" t="s">
        <v>1925</v>
      </c>
      <c r="J17" s="1390"/>
      <c r="K17" s="3039" t="s">
        <v>1941</v>
      </c>
      <c r="L17" s="3040"/>
      <c r="M17" s="3041"/>
      <c r="N17" s="3039" t="s">
        <v>1942</v>
      </c>
      <c r="O17" s="3040"/>
      <c r="P17" s="3041"/>
      <c r="R17" s="2222" t="s">
        <v>1943</v>
      </c>
      <c r="S17" s="64"/>
    </row>
    <row r="18" spans="1:19" ht="15">
      <c r="A18" s="2232"/>
      <c r="B18" s="2245"/>
      <c r="C18" s="2246"/>
      <c r="D18" s="2247"/>
      <c r="E18" s="2248" t="s">
        <v>1944</v>
      </c>
      <c r="F18" s="2249" t="s">
        <v>1945</v>
      </c>
      <c r="G18" s="2250" t="s">
        <v>1946</v>
      </c>
      <c r="H18" s="1260" t="s">
        <v>1947</v>
      </c>
      <c r="I18" s="2251" t="s">
        <v>1948</v>
      </c>
      <c r="J18" s="1390"/>
      <c r="K18" s="1260" t="s">
        <v>1949</v>
      </c>
      <c r="L18" s="2252" t="s">
        <v>1950</v>
      </c>
      <c r="M18" s="1044" t="s">
        <v>1951</v>
      </c>
      <c r="N18" s="1260" t="s">
        <v>1949</v>
      </c>
      <c r="O18" s="2252" t="s">
        <v>1950</v>
      </c>
      <c r="P18" s="1044" t="s">
        <v>1951</v>
      </c>
      <c r="R18" s="1245" t="s">
        <v>1952</v>
      </c>
      <c r="S18" s="1245" t="s">
        <v>1953</v>
      </c>
    </row>
    <row r="19" spans="1:19">
      <c r="A19" s="2253"/>
      <c r="B19" s="50" t="s">
        <v>1926</v>
      </c>
      <c r="C19" s="2954" t="s">
        <v>3249</v>
      </c>
      <c r="D19" s="48">
        <f>ROUND($D$3*E19/$E$3,2)</f>
        <v>0</v>
      </c>
      <c r="E19" s="56">
        <f t="shared" ref="E19:E26" si="1">SUM(F19:G19)</f>
        <v>380</v>
      </c>
      <c r="F19" s="57">
        <f>'数据-基础表'!I13</f>
        <v>380</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0</v>
      </c>
      <c r="S19" s="1246">
        <f t="shared" si="5"/>
        <v>380</v>
      </c>
    </row>
    <row r="20" spans="1:19">
      <c r="A20" s="2257"/>
      <c r="B20" s="50" t="s">
        <v>1954</v>
      </c>
      <c r="C20" s="2254"/>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0</v>
      </c>
      <c r="S20" s="1246">
        <f t="shared" si="5"/>
        <v>0</v>
      </c>
    </row>
    <row r="21" spans="1:19">
      <c r="A21" s="2257"/>
      <c r="B21" s="50" t="s">
        <v>1954</v>
      </c>
      <c r="C21" s="2254"/>
      <c r="D21" s="48">
        <f t="shared" si="6"/>
        <v>0</v>
      </c>
      <c r="E21" s="56">
        <f t="shared" si="1"/>
        <v>0</v>
      </c>
      <c r="F21" s="57"/>
      <c r="G21" s="58"/>
      <c r="H21" s="721">
        <f t="shared" si="7"/>
        <v>0</v>
      </c>
      <c r="I21" s="51">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50" t="s">
        <v>1954</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50" t="s">
        <v>1954</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50" t="s">
        <v>1954</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75" thickBot="1">
      <c r="A27" s="2257"/>
      <c r="B27" s="48"/>
      <c r="C27" s="2260" t="s">
        <v>1955</v>
      </c>
      <c r="D27" s="1391">
        <f>SUM(D19:D26)</f>
        <v>0</v>
      </c>
      <c r="E27" s="1392">
        <f>IF(SUM(E19:E26)='数据-基础表'!BA5,SUM(E19:E26),IF(F27="地上面积有误","面积有误","地下面积有误"))</f>
        <v>380</v>
      </c>
      <c r="F27" s="1391">
        <f>IF(SUM(F19:F26)=E8,SUM(F19:F26),"地上面积有误")</f>
        <v>380</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380</v>
      </c>
    </row>
    <row r="28" spans="1:19">
      <c r="A28" s="2257"/>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7"/>
      <c r="B29" s="50" t="s">
        <v>1956</v>
      </c>
      <c r="C29" s="2261"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7"/>
      <c r="B30" s="50"/>
      <c r="C30" s="2262" t="s">
        <v>1955</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5" t="s">
        <v>1959</v>
      </c>
      <c r="D31" s="727">
        <f>D27+D30</f>
        <v>0</v>
      </c>
      <c r="E31" s="727">
        <f>E27+E30</f>
        <v>380</v>
      </c>
      <c r="F31" s="728">
        <f>F27+F30</f>
        <v>380</v>
      </c>
      <c r="G31" s="729">
        <f>G27+G30</f>
        <v>0</v>
      </c>
      <c r="H31" s="1390"/>
      <c r="I31" s="1390"/>
      <c r="J31" s="1390"/>
      <c r="K31" s="1390"/>
      <c r="L31" s="1390"/>
      <c r="M31" s="1390"/>
      <c r="N31" s="1390"/>
      <c r="O31" s="1390"/>
      <c r="P31" s="1390"/>
    </row>
    <row r="32" spans="1:19">
      <c r="A32" s="2227"/>
      <c r="B32" s="2227" t="s">
        <v>1960</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W22" sqref="W22"/>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1961</v>
      </c>
      <c r="B1" s="730"/>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7" customFormat="1" ht="15.75" thickBot="1">
      <c r="A2" s="2270" t="s">
        <v>1962</v>
      </c>
      <c r="B2" s="1264">
        <f>项目基本情况!D3</f>
        <v>43672</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8" t="s">
        <v>1963</v>
      </c>
      <c r="B4" s="2275"/>
      <c r="C4" s="2276"/>
      <c r="D4" s="2277"/>
      <c r="E4" s="2276" t="s">
        <v>1964</v>
      </c>
      <c r="F4" s="2276"/>
      <c r="G4" s="2276"/>
      <c r="H4" s="2276"/>
      <c r="I4" s="2276"/>
      <c r="J4" s="2278"/>
      <c r="K4" s="2279"/>
      <c r="L4" s="2280"/>
      <c r="M4" s="2276"/>
      <c r="N4" s="2276" t="s">
        <v>1965</v>
      </c>
      <c r="O4" s="2276"/>
      <c r="P4" s="2276"/>
      <c r="Q4" s="2276"/>
      <c r="R4" s="2276"/>
      <c r="S4" s="2278"/>
      <c r="T4" s="2281" t="str">
        <f>'数据-汇总表'!I17</f>
        <v>按面积比例</v>
      </c>
      <c r="U4" s="2275" t="s">
        <v>1966</v>
      </c>
      <c r="V4" s="2276"/>
      <c r="W4" s="2276"/>
      <c r="X4" s="2276"/>
      <c r="Y4" s="2278"/>
      <c r="Z4" s="2238" t="s">
        <v>1967</v>
      </c>
      <c r="AA4" s="2238"/>
      <c r="AB4" s="2238"/>
      <c r="AC4" s="2238"/>
      <c r="AD4" s="2238"/>
      <c r="AE4" s="2236" t="s">
        <v>1968</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2">
      <c r="A5" s="2283" t="s">
        <v>1969</v>
      </c>
      <c r="B5" s="2284" t="s">
        <v>1970</v>
      </c>
      <c r="C5" s="2285" t="s">
        <v>1971</v>
      </c>
      <c r="D5" s="2286" t="s">
        <v>1972</v>
      </c>
      <c r="E5" s="1266" t="s">
        <v>1973</v>
      </c>
      <c r="F5" s="2287" t="s">
        <v>1974</v>
      </c>
      <c r="G5" s="1266" t="s">
        <v>1975</v>
      </c>
      <c r="H5" s="1266" t="s">
        <v>1976</v>
      </c>
      <c r="I5" s="1266" t="s">
        <v>1977</v>
      </c>
      <c r="J5" s="2288" t="s">
        <v>1978</v>
      </c>
      <c r="K5" s="2289" t="s">
        <v>1979</v>
      </c>
      <c r="L5" s="2290" t="s">
        <v>1980</v>
      </c>
      <c r="M5" s="2291" t="s">
        <v>1981</v>
      </c>
      <c r="N5" s="2292" t="s">
        <v>3250</v>
      </c>
      <c r="O5" s="2290" t="s">
        <v>1982</v>
      </c>
      <c r="P5" s="2293" t="s">
        <v>1983</v>
      </c>
      <c r="Q5" s="69" t="s">
        <v>1984</v>
      </c>
      <c r="R5" s="2294" t="s">
        <v>1985</v>
      </c>
      <c r="S5" s="2295" t="s">
        <v>1986</v>
      </c>
      <c r="T5" s="2296" t="s">
        <v>1987</v>
      </c>
      <c r="U5" s="1265" t="s">
        <v>1988</v>
      </c>
      <c r="V5" s="1266" t="s">
        <v>1989</v>
      </c>
      <c r="W5" s="1266" t="s">
        <v>1990</v>
      </c>
      <c r="X5" s="71"/>
      <c r="Y5" s="70" t="s">
        <v>1991</v>
      </c>
      <c r="Z5" s="2297" t="s">
        <v>1988</v>
      </c>
      <c r="AA5" s="1266" t="s">
        <v>1989</v>
      </c>
      <c r="AB5" s="1266" t="s">
        <v>1990</v>
      </c>
      <c r="AC5" s="71"/>
      <c r="AD5" s="71" t="s">
        <v>1991</v>
      </c>
      <c r="AE5" s="1265" t="s">
        <v>1992</v>
      </c>
      <c r="AF5" s="1266" t="s">
        <v>1993</v>
      </c>
      <c r="AG5" s="70" t="s">
        <v>1994</v>
      </c>
      <c r="AH5" s="1265" t="s">
        <v>1995</v>
      </c>
      <c r="AI5" s="2297" t="s">
        <v>1996</v>
      </c>
      <c r="AJ5" s="2297" t="s">
        <v>1997</v>
      </c>
      <c r="AK5" s="1266" t="s">
        <v>1998</v>
      </c>
      <c r="AL5" s="1266" t="s">
        <v>1999</v>
      </c>
      <c r="AM5" s="70" t="s">
        <v>2000</v>
      </c>
      <c r="AN5" s="2298" t="s">
        <v>2001</v>
      </c>
      <c r="AO5" s="2068" t="s">
        <v>2002</v>
      </c>
      <c r="AP5" s="1247" t="s">
        <v>2003</v>
      </c>
      <c r="AQ5" s="2299" t="s">
        <v>2004</v>
      </c>
      <c r="AR5" s="2299" t="s">
        <v>2005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300" t="str">
        <f>'数据-汇总表'!C19</f>
        <v>办公</v>
      </c>
      <c r="B6" s="2301" t="str">
        <f>IF(A6=0,"","经营性")</f>
        <v>经营性</v>
      </c>
      <c r="C6" s="2302" t="s">
        <v>27</v>
      </c>
      <c r="D6" s="1049">
        <f>SUMIF(项目基本情况!D$12:I$12,C6,项目基本情况!D$14:I$14)</f>
        <v>50</v>
      </c>
      <c r="E6" s="1046">
        <f>IF(B6="","",SUMIF(项目基本情况!D$12:I$12,C6,项目基本情况!D$13:I$13))</f>
        <v>59609</v>
      </c>
      <c r="F6" s="72">
        <f>SUMIF(项目基本情况!D$12:I$12,C6,项目基本情况!D$15:I$15)</f>
        <v>43.66</v>
      </c>
      <c r="G6" s="73">
        <f>IF(ISERROR(ROUND(POWER(1+H6,D6-F6)*(POWER(1+H6,F6)-1)/(POWER(1+H6,D6)-1),3)),0,ROUND(POWER(1+H6,D6-F6)*(POWER(1+H6,F6)-1)/(POWER(1+H6,D6)-1),3))</f>
        <v>0.96</v>
      </c>
      <c r="H6" s="800">
        <v>4.4999999999999998E-2</v>
      </c>
      <c r="I6" s="800">
        <v>0.05</v>
      </c>
      <c r="J6" s="74">
        <v>8.5000000000000006E-2</v>
      </c>
      <c r="K6" s="1249">
        <f>SUMIF('数据-汇总表'!C$19:C$33,A6,'数据-汇总表'!E$19:E$33)</f>
        <v>380</v>
      </c>
      <c r="L6" s="801">
        <v>4500</v>
      </c>
      <c r="M6" s="75">
        <f t="shared" ref="M6:M14" si="0">ROUND(K6*L6/10000,0)</f>
        <v>171</v>
      </c>
      <c r="N6" s="799">
        <f>ROUND(1-(2019-2017)/60,2)</f>
        <v>0.97</v>
      </c>
      <c r="O6" s="75" t="str">
        <f>IF($N$5="成新度","——",ROUND(M6*N6,0))</f>
        <v>——</v>
      </c>
      <c r="P6" s="76" t="str">
        <f>IF($N$5="成新度","——",M6-O6)</f>
        <v>——</v>
      </c>
      <c r="Q6" s="802">
        <v>0.25</v>
      </c>
      <c r="R6" s="77">
        <f ca="1">SUMIF('数据-汇总表'!C$19:C$33,A6,'数据-汇总表'!R$19:R$27)</f>
        <v>0</v>
      </c>
      <c r="S6" s="54">
        <f>IF('数据-汇总表'!$I$17="按面积比例",SUMIF('数据-汇总表'!C$19:C$33,A6,'数据-汇总表'!K$19:K$33),SUMIF('数据-汇总表'!C$19:C$33,A6,'数据-汇总表'!N$19:N$33))</f>
        <v>0</v>
      </c>
      <c r="T6" s="1441">
        <f>ROUND($L$14*S6/10000,0)</f>
        <v>0</v>
      </c>
      <c r="U6" s="78">
        <v>8</v>
      </c>
      <c r="V6" s="79">
        <v>0.03</v>
      </c>
      <c r="W6" s="79">
        <v>0.1</v>
      </c>
      <c r="X6" s="1259"/>
      <c r="Y6" s="80">
        <f>N6</f>
        <v>0.97</v>
      </c>
      <c r="Z6" s="81"/>
      <c r="AA6" s="74"/>
      <c r="AB6" s="74"/>
      <c r="AC6" s="1259"/>
      <c r="AD6" s="82"/>
      <c r="AE6" s="1260">
        <f ca="1">IF(AN6="",0,SUMIF(INDIRECT("'"&amp;AN6&amp;"'"&amp;"!E:E"),$AE$5,INDIRECT("'"&amp;AN6&amp;"'"&amp;"!F:F")))</f>
        <v>43.66</v>
      </c>
      <c r="AF6" s="1801"/>
      <c r="AG6" s="147">
        <f>IF(AF6="",0,AE6-AF6)</f>
        <v>0</v>
      </c>
      <c r="AH6" s="83"/>
      <c r="AI6" s="85">
        <v>365</v>
      </c>
      <c r="AJ6" s="86"/>
      <c r="AK6" s="87">
        <v>1.4999999999999999E-2</v>
      </c>
      <c r="AL6" s="88">
        <v>1.5E-3</v>
      </c>
      <c r="AM6" s="89">
        <v>1.4999999999999999E-2</v>
      </c>
      <c r="AN6" s="2303" t="s">
        <v>3307</v>
      </c>
      <c r="AO6" s="55">
        <f ca="1">SUMIF(INDIRECT("'"&amp;AN6&amp;"'"&amp;"!A:A"),"总价",INDIRECT("'"&amp;AN6&amp;"'"&amp;"!B:B"))</f>
        <v>2187</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f>'数据-汇总表'!C20</f>
        <v>0</v>
      </c>
      <c r="B7" s="2301" t="str">
        <f t="shared" ref="B7:B13" si="1">IF(A7=0,"","经营性")</f>
        <v/>
      </c>
      <c r="C7" s="2302"/>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1"/>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f>'数据-汇总表'!C21</f>
        <v>0</v>
      </c>
      <c r="B8" s="2301" t="str">
        <f t="shared" si="1"/>
        <v/>
      </c>
      <c r="C8" s="2302"/>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1"/>
      <c r="AG8" s="147">
        <f t="shared" si="7"/>
        <v>0</v>
      </c>
      <c r="AH8" s="806"/>
      <c r="AI8" s="85"/>
      <c r="AJ8" s="86"/>
      <c r="AK8" s="807"/>
      <c r="AL8" s="808"/>
      <c r="AM8" s="80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c r="A9" s="2300">
        <f>'数据-汇总表'!C22</f>
        <v>0</v>
      </c>
      <c r="B9" s="2301" t="str">
        <f t="shared" si="1"/>
        <v/>
      </c>
      <c r="C9" s="230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1"/>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1"/>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1"/>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1"/>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1"/>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2006</v>
      </c>
      <c r="B14" s="2301" t="s">
        <v>2007</v>
      </c>
      <c r="C14" s="2306" t="s">
        <v>2006</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2"/>
      <c r="AJ14" s="771"/>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2008</v>
      </c>
      <c r="B15" s="2301" t="s">
        <v>2007</v>
      </c>
      <c r="C15" s="2306"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2"/>
      <c r="AJ15" s="771"/>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2010</v>
      </c>
      <c r="B16" s="97"/>
      <c r="C16" s="1003"/>
      <c r="D16" s="2308"/>
      <c r="E16" s="97"/>
      <c r="F16" s="97"/>
      <c r="G16" s="98">
        <f>ROUND(SUMPRODUCT(G6:G13,K6:K13)/SUMPRODUCT((G6:G13&gt;0)*(K6:K13)),3)</f>
        <v>0.96</v>
      </c>
      <c r="H16" s="99">
        <f>ROUND(SUMPRODUCT(H6:H13,K6:K13)/SUMPRODUCT((H6:H13&gt;0)*(K6:K13)),3)</f>
        <v>4.4999999999999998E-2</v>
      </c>
      <c r="I16" s="100"/>
      <c r="J16" s="100"/>
      <c r="K16" s="101">
        <f>SUM(K6:K15)</f>
        <v>380</v>
      </c>
      <c r="L16" s="102">
        <f>ROUND(M16*10000/SUM(K6:K14),0)</f>
        <v>4500</v>
      </c>
      <c r="M16" s="102">
        <f>SUM(M6:M14)</f>
        <v>171</v>
      </c>
      <c r="N16" s="103">
        <f>ROUND(SUMPRODUCT(M6:M14,N6:N14)/M16,3)</f>
        <v>0.97</v>
      </c>
      <c r="O16" s="102">
        <f>SUM(O6:O14)</f>
        <v>0</v>
      </c>
      <c r="P16" s="102">
        <f>SUM(P6:P14)</f>
        <v>0</v>
      </c>
      <c r="Q16" s="104">
        <f>ROUND(SUMPRODUCT(Q6:Q13,K6:K13)/SUMPRODUCT((Q6:Q13&gt;0)*(K6:K13)),2)</f>
        <v>0.25</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4"/>
      <c r="C18" s="2271"/>
      <c r="D18" s="2272"/>
      <c r="E18" s="2271"/>
      <c r="F18" s="2271"/>
      <c r="G18" s="2271"/>
      <c r="H18" s="2271"/>
      <c r="I18" s="2271"/>
      <c r="J18" s="2271"/>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2012</v>
      </c>
      <c r="B19" s="112">
        <v>0</v>
      </c>
      <c r="C19" s="2271" t="s">
        <v>2013</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2014</v>
      </c>
      <c r="B20" s="113">
        <v>2</v>
      </c>
      <c r="C20" s="2271" t="s">
        <v>2015</v>
      </c>
      <c r="D20" s="2272"/>
      <c r="E20" s="2271"/>
      <c r="F20" s="2271"/>
      <c r="G20" s="2271"/>
      <c r="H20" s="2271"/>
      <c r="I20" s="2271"/>
      <c r="J20" s="2271"/>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2016</v>
      </c>
      <c r="B21" s="113">
        <v>2</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2017</v>
      </c>
      <c r="B22" s="114">
        <f>B19+B20</f>
        <v>2</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2018</v>
      </c>
      <c r="B23" s="114">
        <f>B19+B21</f>
        <v>2</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2019</v>
      </c>
      <c r="B24" s="115">
        <f>B20-B21</f>
        <v>0</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5"/>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2020</v>
      </c>
      <c r="B26" s="2314" t="s">
        <v>2021</v>
      </c>
      <c r="C26" s="2315" t="s">
        <v>2022</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2023</v>
      </c>
      <c r="B27" s="116">
        <v>160</v>
      </c>
      <c r="C27" s="1761" t="s">
        <v>2024</v>
      </c>
      <c r="D27" s="2317"/>
      <c r="E27" s="1425"/>
      <c r="F27" s="1425"/>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8" customFormat="1" ht="27.75">
      <c r="A28" s="2319" t="s">
        <v>2025</v>
      </c>
      <c r="B28" s="119">
        <v>200</v>
      </c>
      <c r="C28" s="2320"/>
      <c r="D28" s="2317"/>
      <c r="E28" s="1425"/>
      <c r="F28" s="1425"/>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8" customFormat="1" ht="28.5" thickBot="1">
      <c r="A29" s="2321" t="s">
        <v>2026</v>
      </c>
      <c r="B29" s="121"/>
      <c r="C29" s="1761" t="s">
        <v>2027</v>
      </c>
      <c r="D29" s="2317"/>
      <c r="E29" s="1425"/>
      <c r="F29" s="1425"/>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8" customFormat="1" ht="27">
      <c r="A30" s="2322" t="s">
        <v>2028</v>
      </c>
      <c r="B30" s="722">
        <v>200</v>
      </c>
      <c r="C30" s="2320"/>
      <c r="D30" s="2317"/>
      <c r="E30" s="1425"/>
      <c r="F30" s="1425"/>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8" customFormat="1" ht="27">
      <c r="A31" s="2319" t="s">
        <v>2029</v>
      </c>
      <c r="B31" s="120">
        <f>B30-B32</f>
        <v>200</v>
      </c>
      <c r="C31" s="1761"/>
      <c r="D31" s="2317"/>
      <c r="E31" s="1425"/>
      <c r="F31" s="1425"/>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8" customFormat="1" ht="27.75" thickBot="1">
      <c r="A32" s="2323" t="s">
        <v>2030</v>
      </c>
      <c r="B32" s="723">
        <v>0</v>
      </c>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8" customFormat="1" ht="14.25">
      <c r="A33" s="2316" t="s">
        <v>2031</v>
      </c>
      <c r="B33" s="724">
        <v>0.03</v>
      </c>
      <c r="C33" s="1760" t="s">
        <v>2032</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8" customFormat="1" ht="14.25">
      <c r="A34" s="2319" t="s">
        <v>2033</v>
      </c>
      <c r="B34" s="122">
        <v>0</v>
      </c>
      <c r="C34" s="1760" t="s">
        <v>2034</v>
      </c>
      <c r="D34" s="2272" t="s">
        <v>2035</v>
      </c>
      <c r="E34" s="730"/>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8" customFormat="1" ht="14.25">
      <c r="A35" s="2319" t="s">
        <v>2036</v>
      </c>
      <c r="B35" s="119">
        <v>200</v>
      </c>
      <c r="C35" s="1760" t="s">
        <v>2037</v>
      </c>
      <c r="D35" s="2317"/>
      <c r="E35" s="1425"/>
      <c r="F35" s="1425"/>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1" t="s">
        <v>2038</v>
      </c>
      <c r="B36" s="123">
        <v>1.4999999999999999E-2</v>
      </c>
      <c r="C36" s="1760" t="s">
        <v>2039</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2040</v>
      </c>
      <c r="B37" s="124">
        <v>0.02</v>
      </c>
      <c r="C37" s="1760" t="s">
        <v>2041</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2042</v>
      </c>
      <c r="B38" s="122">
        <v>0.02</v>
      </c>
      <c r="C38" s="1760" t="s">
        <v>2041</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2043</v>
      </c>
      <c r="B39" s="362">
        <f ca="1">存贷款利率!I1</f>
        <v>1.4999999999999999E-2</v>
      </c>
      <c r="C39" s="1760"/>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2044</v>
      </c>
      <c r="B40" s="1298">
        <f ca="1">存贷款利率!G1</f>
        <v>4.7500000000000001E-2</v>
      </c>
      <c r="C40" s="1760" t="s">
        <v>2045</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2046</v>
      </c>
      <c r="B41" s="125">
        <f>B42+B43</f>
        <v>5.6000000000000001E-2</v>
      </c>
      <c r="C41" s="1761"/>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2047</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2048</v>
      </c>
      <c r="B43" s="127">
        <f>B42*(B44+B45+B46)+B47</f>
        <v>6.000000000000001E-3</v>
      </c>
      <c r="C43" s="1761"/>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2049</v>
      </c>
      <c r="B44" s="128">
        <v>7.0000000000000007E-2</v>
      </c>
      <c r="C44" s="1760" t="s">
        <v>2050</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2051</v>
      </c>
      <c r="B45" s="126">
        <v>0.03</v>
      </c>
      <c r="C45" s="1761" t="s">
        <v>2052</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2053</v>
      </c>
      <c r="B46" s="126">
        <v>0.02</v>
      </c>
      <c r="C46" s="1761" t="s">
        <v>2054</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2055</v>
      </c>
      <c r="B47" s="129">
        <v>0</v>
      </c>
      <c r="C47" s="1761" t="s">
        <v>2056</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2057</v>
      </c>
      <c r="B48" s="130">
        <v>0.03</v>
      </c>
      <c r="C48" s="1768" t="s">
        <v>2058</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2059</v>
      </c>
      <c r="B49" s="126">
        <v>5.0000000000000001E-4</v>
      </c>
      <c r="C49" s="1768" t="s">
        <v>2060</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2061</v>
      </c>
      <c r="B50" s="131">
        <v>1.2E-2</v>
      </c>
      <c r="C50" s="1425"/>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2062</v>
      </c>
      <c r="B51" s="132">
        <v>0.12</v>
      </c>
      <c r="C51" s="1425"/>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2063</v>
      </c>
      <c r="B52" s="133">
        <f>SUMIF(A54:A63,B53,B54:B63)</f>
        <v>12</v>
      </c>
      <c r="C52" s="1425"/>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2064</v>
      </c>
      <c r="B53" s="2330" t="s">
        <v>137</v>
      </c>
      <c r="C53" s="1425" t="s">
        <v>2065</v>
      </c>
      <c r="D53" s="2331" t="s">
        <v>2066</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2067</v>
      </c>
      <c r="B54" s="84"/>
      <c r="C54" s="1425">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2068</v>
      </c>
      <c r="B55" s="84"/>
      <c r="C55" s="1425">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2069</v>
      </c>
      <c r="B56" s="84"/>
      <c r="C56" s="1425">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2070</v>
      </c>
      <c r="B57" s="84">
        <v>12</v>
      </c>
      <c r="C57" s="1425">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2071</v>
      </c>
      <c r="B58" s="84"/>
      <c r="C58" s="1425">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2072</v>
      </c>
      <c r="B59" s="84"/>
      <c r="C59" s="1425">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2073</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2074</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2075</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2076</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5"/>
      <c r="D64" s="2336"/>
      <c r="K64" s="796"/>
      <c r="L64" s="796"/>
    </row>
    <row r="65" spans="1:12" s="962" customFormat="1">
      <c r="A65" s="2335"/>
      <c r="D65" s="2336"/>
      <c r="K65" s="796"/>
      <c r="L65" s="796"/>
    </row>
    <row r="66" spans="1:12" s="962" customFormat="1">
      <c r="A66" s="2335"/>
      <c r="D66" s="2336"/>
      <c r="K66" s="796"/>
      <c r="L66" s="796"/>
    </row>
    <row r="67" spans="1:12" s="962" customFormat="1">
      <c r="A67" s="2335"/>
      <c r="D67" s="2336"/>
      <c r="K67" s="796"/>
      <c r="L67" s="796"/>
    </row>
    <row r="68" spans="1:12" s="962" customFormat="1">
      <c r="A68" s="2335"/>
      <c r="D68" s="2336"/>
      <c r="K68" s="796"/>
      <c r="L68" s="796"/>
    </row>
    <row r="69" spans="1:12" s="962" customFormat="1">
      <c r="A69" s="2335"/>
      <c r="D69" s="2336"/>
      <c r="K69" s="796"/>
      <c r="L69" s="796"/>
    </row>
    <row r="70" spans="1:12" s="962" customFormat="1">
      <c r="A70" s="2335"/>
      <c r="D70" s="2336"/>
      <c r="K70" s="796"/>
      <c r="L70" s="796"/>
    </row>
    <row r="71" spans="1:12" s="962" customFormat="1">
      <c r="A71" s="2335"/>
      <c r="D71" s="2336"/>
      <c r="K71" s="796"/>
      <c r="L71" s="796"/>
    </row>
    <row r="72" spans="1:12" s="962" customFormat="1">
      <c r="A72" s="2335"/>
      <c r="D72" s="2336"/>
      <c r="K72" s="796"/>
      <c r="L72" s="796"/>
    </row>
    <row r="73" spans="1:12" s="962" customFormat="1">
      <c r="A73" s="2335"/>
      <c r="D73" s="2336"/>
      <c r="K73" s="796"/>
      <c r="L73" s="796"/>
    </row>
    <row r="74" spans="1:12" s="962" customFormat="1">
      <c r="A74" s="2335"/>
      <c r="D74" s="2336"/>
      <c r="K74" s="796"/>
      <c r="L74" s="796"/>
    </row>
    <row r="75" spans="1:12" s="962" customFormat="1">
      <c r="A75" s="2335"/>
      <c r="D75" s="2336"/>
      <c r="K75" s="796"/>
      <c r="L75" s="796"/>
    </row>
    <row r="76" spans="1:12" s="962" customFormat="1">
      <c r="A76" s="2335"/>
      <c r="D76" s="2336"/>
      <c r="K76" s="796"/>
      <c r="L76" s="796"/>
    </row>
    <row r="77" spans="1:12" s="962" customFormat="1">
      <c r="A77" s="2335"/>
      <c r="D77" s="2336"/>
      <c r="K77" s="796"/>
      <c r="L77" s="796"/>
    </row>
    <row r="78" spans="1:12" s="962" customFormat="1">
      <c r="A78" s="2335"/>
      <c r="D78" s="2336"/>
      <c r="K78" s="796"/>
      <c r="L78" s="796"/>
    </row>
    <row r="79" spans="1:12" s="962" customFormat="1">
      <c r="A79" s="2335"/>
      <c r="D79" s="2336"/>
      <c r="K79" s="796"/>
      <c r="L79" s="796"/>
    </row>
    <row r="80" spans="1:12" s="962" customFormat="1">
      <c r="A80" s="2335"/>
      <c r="D80" s="2336"/>
      <c r="K80" s="796"/>
      <c r="L80" s="796"/>
    </row>
    <row r="81" spans="1:12" s="962" customFormat="1">
      <c r="A81" s="2335"/>
      <c r="D81" s="2336"/>
      <c r="K81" s="796"/>
      <c r="L81" s="796"/>
    </row>
    <row r="82" spans="1:12" s="962" customFormat="1">
      <c r="A82" s="2335"/>
      <c r="D82" s="2336"/>
      <c r="K82" s="796"/>
      <c r="L82" s="796"/>
    </row>
    <row r="83" spans="1:12" s="962" customFormat="1">
      <c r="A83" s="2335"/>
      <c r="D83" s="2336"/>
      <c r="K83" s="796"/>
      <c r="L83" s="796"/>
    </row>
    <row r="84" spans="1:12" s="962" customFormat="1">
      <c r="A84" s="2335"/>
      <c r="D84" s="2336"/>
      <c r="K84" s="796"/>
      <c r="L84" s="796"/>
    </row>
    <row r="85" spans="1:12" s="962" customFormat="1">
      <c r="A85" s="2335"/>
      <c r="D85" s="2336"/>
      <c r="K85" s="796"/>
      <c r="L85" s="796"/>
    </row>
    <row r="86" spans="1:12" s="962" customFormat="1">
      <c r="A86" s="2335"/>
      <c r="D86" s="2336"/>
      <c r="K86" s="796"/>
      <c r="L86" s="796"/>
    </row>
    <row r="87" spans="1:12" s="962" customFormat="1">
      <c r="A87" s="2335"/>
      <c r="D87" s="2336"/>
      <c r="K87" s="796"/>
      <c r="L87" s="796"/>
    </row>
    <row r="88" spans="1:12" s="962" customFormat="1">
      <c r="A88" s="2335"/>
      <c r="D88" s="2336"/>
      <c r="K88" s="796"/>
      <c r="L88" s="796"/>
    </row>
    <row r="89" spans="1:12" s="962" customFormat="1">
      <c r="A89" s="2335"/>
      <c r="D89" s="2336"/>
      <c r="K89" s="796"/>
      <c r="L89" s="796"/>
    </row>
    <row r="90" spans="1:12" s="962" customFormat="1">
      <c r="A90" s="2335"/>
      <c r="D90" s="2336"/>
      <c r="K90" s="796"/>
      <c r="L90" s="796"/>
    </row>
    <row r="91" spans="1:12" s="962" customFormat="1">
      <c r="A91" s="2335"/>
      <c r="D91" s="2336"/>
      <c r="K91" s="796"/>
      <c r="L91" s="796"/>
    </row>
    <row r="92" spans="1:12" s="962" customFormat="1">
      <c r="A92" s="2335"/>
      <c r="D92" s="2336"/>
      <c r="K92" s="796"/>
      <c r="L92" s="796"/>
    </row>
    <row r="93" spans="1:12" s="962" customFormat="1">
      <c r="A93" s="2335"/>
      <c r="D93" s="2336"/>
      <c r="K93" s="796"/>
      <c r="L93" s="796"/>
    </row>
    <row r="94" spans="1:12" s="962" customFormat="1">
      <c r="A94" s="2335"/>
      <c r="D94" s="2336"/>
      <c r="K94" s="796"/>
      <c r="L94" s="796"/>
    </row>
    <row r="95" spans="1:12" s="962" customFormat="1">
      <c r="A95" s="2335"/>
      <c r="D95" s="2336"/>
      <c r="K95" s="796"/>
      <c r="L95" s="796"/>
    </row>
    <row r="96" spans="1:12" s="962" customFormat="1">
      <c r="A96" s="2335"/>
      <c r="D96" s="2336"/>
      <c r="K96" s="796"/>
      <c r="L96" s="796"/>
    </row>
    <row r="97" spans="1:12" s="962" customFormat="1">
      <c r="A97" s="2335"/>
      <c r="D97" s="2336"/>
      <c r="K97" s="796"/>
      <c r="L97" s="796"/>
    </row>
    <row r="98" spans="1:12" s="962" customFormat="1">
      <c r="A98" s="2335"/>
      <c r="D98" s="2336"/>
      <c r="K98" s="796"/>
      <c r="L98" s="796"/>
    </row>
    <row r="99" spans="1:12" s="962" customFormat="1">
      <c r="A99" s="2335"/>
      <c r="D99" s="2336"/>
      <c r="K99" s="796"/>
      <c r="L99" s="796"/>
    </row>
    <row r="100" spans="1:12" s="962" customFormat="1">
      <c r="A100" s="2335"/>
      <c r="D100" s="2336"/>
      <c r="K100" s="796"/>
      <c r="L100" s="796"/>
    </row>
    <row r="101" spans="1:12" s="962" customFormat="1">
      <c r="A101" s="2335"/>
      <c r="D101" s="2336"/>
      <c r="K101" s="796"/>
      <c r="L101" s="796"/>
    </row>
    <row r="102" spans="1:12" s="962" customFormat="1">
      <c r="A102" s="2335"/>
      <c r="D102" s="2336"/>
      <c r="K102" s="796"/>
      <c r="L102" s="796"/>
    </row>
    <row r="103" spans="1:12" s="962" customFormat="1">
      <c r="A103" s="2335"/>
      <c r="D103" s="2336"/>
      <c r="K103" s="796"/>
      <c r="L103" s="796"/>
    </row>
    <row r="104" spans="1:12" s="962" customFormat="1">
      <c r="A104" s="2335"/>
      <c r="D104" s="2336"/>
      <c r="K104" s="796"/>
      <c r="L104" s="796"/>
    </row>
    <row r="105" spans="1:12" s="962" customFormat="1">
      <c r="A105" s="2335"/>
      <c r="D105" s="2336"/>
      <c r="K105" s="796"/>
      <c r="L105" s="796"/>
    </row>
    <row r="106" spans="1:12" s="962" customFormat="1">
      <c r="A106" s="2335"/>
      <c r="D106" s="2336"/>
      <c r="K106" s="796"/>
      <c r="L106" s="796"/>
    </row>
    <row r="107" spans="1:12" s="962" customFormat="1">
      <c r="A107" s="2335"/>
      <c r="D107" s="2336"/>
      <c r="K107" s="796"/>
      <c r="L107" s="796"/>
    </row>
    <row r="108" spans="1:12" s="962" customFormat="1">
      <c r="A108" s="2335"/>
      <c r="D108" s="2336"/>
      <c r="K108" s="796"/>
      <c r="L108" s="796"/>
    </row>
    <row r="109" spans="1:12" s="962" customFormat="1">
      <c r="A109" s="2335"/>
      <c r="D109" s="2336"/>
      <c r="K109" s="796"/>
      <c r="L109" s="796"/>
    </row>
    <row r="110" spans="1:12" s="962" customFormat="1">
      <c r="A110" s="2335"/>
      <c r="D110" s="2336"/>
      <c r="K110" s="796"/>
      <c r="L110" s="796"/>
    </row>
    <row r="111" spans="1:12" s="962" customFormat="1">
      <c r="A111" s="2335"/>
      <c r="D111" s="2336"/>
      <c r="K111" s="796"/>
      <c r="L111" s="796"/>
    </row>
    <row r="112" spans="1:12" s="962" customFormat="1">
      <c r="A112" s="2335"/>
      <c r="D112" s="2336"/>
      <c r="K112" s="796"/>
      <c r="L112" s="796"/>
    </row>
    <row r="113" spans="1:12" s="962" customFormat="1">
      <c r="A113" s="2335"/>
      <c r="D113" s="2336"/>
      <c r="K113" s="796"/>
      <c r="L113" s="796"/>
    </row>
    <row r="114" spans="1:12" s="962" customFormat="1">
      <c r="A114" s="2335"/>
      <c r="D114" s="2336"/>
      <c r="K114" s="796"/>
      <c r="L114" s="796"/>
    </row>
    <row r="115" spans="1:12" s="962" customFormat="1">
      <c r="A115" s="2335"/>
      <c r="D115" s="2336"/>
      <c r="K115" s="796"/>
      <c r="L115" s="796"/>
    </row>
    <row r="116" spans="1:12" s="962" customFormat="1">
      <c r="A116" s="2335"/>
      <c r="D116" s="2336"/>
      <c r="K116" s="796"/>
      <c r="L116" s="796"/>
    </row>
    <row r="117" spans="1:12" s="962" customFormat="1">
      <c r="A117" s="2335"/>
      <c r="D117" s="2336"/>
      <c r="K117" s="796"/>
      <c r="L117" s="796"/>
    </row>
    <row r="118" spans="1:12" s="962" customFormat="1">
      <c r="A118" s="2335"/>
      <c r="D118" s="2336"/>
      <c r="K118" s="796"/>
      <c r="L118" s="796"/>
    </row>
    <row r="119" spans="1:12" s="962" customFormat="1">
      <c r="A119" s="2335"/>
      <c r="D119" s="2336"/>
      <c r="K119" s="796"/>
      <c r="L119" s="796"/>
    </row>
    <row r="120" spans="1:12" s="962" customFormat="1">
      <c r="A120" s="2335"/>
      <c r="D120" s="2336"/>
      <c r="K120" s="796"/>
      <c r="L120" s="796"/>
    </row>
    <row r="121" spans="1:12" s="962" customFormat="1">
      <c r="A121" s="2335"/>
      <c r="D121" s="2336"/>
      <c r="K121" s="796"/>
      <c r="L121" s="796"/>
    </row>
    <row r="122" spans="1:12" s="962" customFormat="1">
      <c r="A122" s="2335"/>
      <c r="D122" s="2336"/>
      <c r="K122" s="796"/>
      <c r="L122" s="796"/>
    </row>
    <row r="123" spans="1:12" s="962" customFormat="1">
      <c r="A123" s="2335"/>
      <c r="D123" s="2336"/>
      <c r="K123" s="796"/>
      <c r="L123" s="796"/>
    </row>
    <row r="124" spans="1:12" s="962" customFormat="1">
      <c r="A124" s="2335"/>
      <c r="D124" s="2336"/>
      <c r="K124" s="796"/>
      <c r="L124" s="796"/>
    </row>
    <row r="125" spans="1:12" s="962" customFormat="1">
      <c r="A125" s="2335"/>
      <c r="D125" s="2336"/>
      <c r="K125" s="796"/>
      <c r="L125" s="796"/>
    </row>
    <row r="126" spans="1:12" s="962" customFormat="1">
      <c r="A126" s="2335"/>
      <c r="D126" s="2336"/>
      <c r="K126" s="796"/>
      <c r="L126" s="796"/>
    </row>
    <row r="127" spans="1:12" s="962" customFormat="1">
      <c r="A127" s="2335"/>
      <c r="D127" s="2336"/>
      <c r="K127" s="796"/>
      <c r="L127" s="796"/>
    </row>
    <row r="128" spans="1:12" s="962" customFormat="1">
      <c r="A128" s="2335"/>
      <c r="D128" s="2336"/>
      <c r="K128" s="796"/>
      <c r="L128" s="796"/>
    </row>
    <row r="129" spans="1:12" s="962" customFormat="1">
      <c r="A129" s="2335"/>
      <c r="D129" s="2336"/>
      <c r="K129" s="796"/>
      <c r="L129" s="796"/>
    </row>
    <row r="130" spans="1:12" s="962" customFormat="1">
      <c r="A130" s="2335"/>
      <c r="D130" s="2336"/>
      <c r="K130" s="796"/>
      <c r="L130" s="796"/>
    </row>
    <row r="131" spans="1:12" s="962" customFormat="1">
      <c r="A131" s="2335"/>
      <c r="D131" s="2336"/>
      <c r="K131" s="796"/>
      <c r="L131" s="796"/>
    </row>
    <row r="132" spans="1:12" s="962" customFormat="1">
      <c r="A132" s="2335"/>
      <c r="D132" s="2336"/>
      <c r="K132" s="796"/>
      <c r="L132" s="796"/>
    </row>
    <row r="133" spans="1:12" s="962"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I45" sqref="I45"/>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54" t="s">
        <v>2077</v>
      </c>
      <c r="B1" s="3055"/>
      <c r="C1" s="3055"/>
      <c r="D1" s="3055"/>
      <c r="E1" s="3055"/>
      <c r="F1" s="3055"/>
      <c r="G1" s="3055"/>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2078</v>
      </c>
      <c r="D2" s="2360"/>
      <c r="E2" s="2361"/>
      <c r="F2" s="2280"/>
      <c r="G2" s="2359" t="s">
        <v>2079</v>
      </c>
      <c r="H2" s="2362"/>
      <c r="I2" s="2362"/>
      <c r="J2" s="2362"/>
      <c r="K2" s="2362"/>
      <c r="L2" s="2362"/>
      <c r="M2" s="2362"/>
      <c r="N2" s="2362"/>
      <c r="O2" s="2362"/>
      <c r="P2" s="2362"/>
      <c r="Q2" s="2362"/>
      <c r="R2" s="2362"/>
    </row>
    <row r="3" spans="1:29" ht="54">
      <c r="A3" s="415" t="s">
        <v>2080</v>
      </c>
      <c r="B3" s="1266" t="s">
        <v>2081</v>
      </c>
      <c r="C3" s="2364" t="s">
        <v>2082</v>
      </c>
      <c r="D3" s="2365"/>
      <c r="E3" s="431" t="s">
        <v>2080</v>
      </c>
      <c r="F3" s="2366" t="s">
        <v>2083</v>
      </c>
      <c r="G3" s="2367" t="s">
        <v>2084</v>
      </c>
      <c r="H3" s="2362"/>
      <c r="I3" s="2362"/>
      <c r="J3" s="2362"/>
      <c r="K3" s="2362"/>
      <c r="L3" s="2362"/>
      <c r="M3" s="2362"/>
      <c r="N3" s="2362"/>
      <c r="O3" s="2362"/>
      <c r="P3" s="2362"/>
      <c r="Q3" s="2362"/>
      <c r="R3" s="2362"/>
    </row>
    <row r="4" spans="1:29" ht="41.25">
      <c r="A4" s="431"/>
      <c r="B4" s="1792" t="s">
        <v>2085</v>
      </c>
      <c r="C4" s="2368" t="s">
        <v>2086</v>
      </c>
      <c r="D4" s="2365"/>
      <c r="E4" s="2369"/>
      <c r="F4" s="42" t="s">
        <v>2087</v>
      </c>
      <c r="G4" s="2370" t="s">
        <v>2088</v>
      </c>
      <c r="H4" s="2362"/>
      <c r="I4" s="2362"/>
      <c r="J4" s="2362"/>
      <c r="K4" s="2362"/>
      <c r="L4" s="2362"/>
      <c r="M4" s="2362"/>
      <c r="N4" s="2362"/>
      <c r="O4" s="2362"/>
      <c r="P4" s="2362"/>
      <c r="Q4" s="2362"/>
      <c r="R4" s="2362"/>
    </row>
    <row r="5" spans="1:29" ht="41.25">
      <c r="A5" s="431"/>
      <c r="B5" s="1792" t="s">
        <v>2089</v>
      </c>
      <c r="C5" s="2368" t="s">
        <v>2090</v>
      </c>
      <c r="D5" s="2365"/>
      <c r="E5" s="2369"/>
      <c r="F5" s="1792" t="s">
        <v>2091</v>
      </c>
      <c r="G5" s="2370" t="s">
        <v>2092</v>
      </c>
      <c r="H5" s="2362"/>
      <c r="I5" s="2362"/>
      <c r="J5" s="2362"/>
      <c r="K5" s="2362"/>
      <c r="L5" s="2362"/>
      <c r="M5" s="2362"/>
      <c r="N5" s="2362"/>
      <c r="O5" s="2362"/>
      <c r="P5" s="2362"/>
      <c r="Q5" s="2362"/>
      <c r="R5" s="2362"/>
    </row>
    <row r="6" spans="1:29" ht="54">
      <c r="A6" s="431"/>
      <c r="B6" s="1792" t="s">
        <v>2093</v>
      </c>
      <c r="C6" s="2370" t="s">
        <v>2088</v>
      </c>
      <c r="D6" s="2365"/>
      <c r="E6" s="2369"/>
      <c r="F6" s="1792" t="s">
        <v>2094</v>
      </c>
      <c r="G6" s="2370" t="s">
        <v>2095</v>
      </c>
      <c r="H6" s="2362"/>
      <c r="I6" s="2362"/>
      <c r="J6" s="2362"/>
      <c r="K6" s="2362"/>
      <c r="L6" s="2362"/>
      <c r="M6" s="2362"/>
      <c r="N6" s="2362"/>
      <c r="O6" s="2362"/>
      <c r="P6" s="2362"/>
      <c r="Q6" s="2362"/>
      <c r="R6" s="2362"/>
    </row>
    <row r="7" spans="1:29" ht="41.25" thickBot="1">
      <c r="A7" s="431"/>
      <c r="B7" s="1792" t="s">
        <v>2091</v>
      </c>
      <c r="C7" s="2370" t="s">
        <v>2092</v>
      </c>
      <c r="D7" s="2371"/>
      <c r="E7" s="2372"/>
      <c r="F7" s="2373" t="s">
        <v>2096</v>
      </c>
      <c r="G7" s="2374" t="s">
        <v>2097</v>
      </c>
      <c r="H7" s="2362"/>
      <c r="I7" s="2362"/>
      <c r="J7" s="2362"/>
      <c r="K7" s="2362"/>
      <c r="L7" s="2362"/>
      <c r="M7" s="2362"/>
      <c r="N7" s="2362"/>
      <c r="O7" s="2362"/>
      <c r="P7" s="2362"/>
      <c r="Q7" s="2362"/>
      <c r="R7" s="2362"/>
    </row>
    <row r="8" spans="1:29" ht="27">
      <c r="A8" s="431"/>
      <c r="B8" s="1792" t="s">
        <v>2094</v>
      </c>
      <c r="C8" s="2370" t="s">
        <v>2095</v>
      </c>
      <c r="D8" s="2371"/>
      <c r="E8" s="2371"/>
      <c r="F8" s="1131"/>
      <c r="G8" s="1131"/>
      <c r="H8" s="2362"/>
      <c r="I8" s="2362"/>
      <c r="J8" s="2362"/>
      <c r="K8" s="2362"/>
      <c r="L8" s="2362"/>
      <c r="M8" s="2362"/>
      <c r="N8" s="2362"/>
      <c r="O8" s="2362"/>
      <c r="P8" s="2362"/>
      <c r="Q8" s="2362"/>
      <c r="R8" s="2362"/>
    </row>
    <row r="9" spans="1:29" ht="27">
      <c r="A9" s="431"/>
      <c r="B9" s="1792" t="s">
        <v>2098</v>
      </c>
      <c r="C9" s="2368" t="s">
        <v>2099</v>
      </c>
      <c r="D9" s="2365"/>
      <c r="E9" s="2371"/>
      <c r="F9" s="1131"/>
      <c r="G9" s="1131"/>
      <c r="H9" s="2362"/>
      <c r="I9" s="2362"/>
      <c r="J9" s="2362"/>
      <c r="K9" s="2362"/>
      <c r="L9" s="2362"/>
      <c r="M9" s="2362"/>
      <c r="N9" s="2362"/>
      <c r="O9" s="2362"/>
      <c r="P9" s="2362"/>
      <c r="Q9" s="2362"/>
      <c r="R9" s="2362"/>
    </row>
    <row r="10" spans="1:29" s="117" customFormat="1" ht="15.75" thickBot="1">
      <c r="A10" s="2375"/>
      <c r="B10" s="2376" t="s">
        <v>2100</v>
      </c>
      <c r="C10" s="2377"/>
      <c r="D10" s="2365"/>
      <c r="E10" s="2365"/>
      <c r="F10" s="1131"/>
      <c r="G10" s="1131"/>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9"/>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9"/>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2101</v>
      </c>
      <c r="B13" s="2382"/>
      <c r="C13" s="2382"/>
      <c r="D13" s="2389"/>
      <c r="E13" s="2382"/>
      <c r="F13" s="2382"/>
      <c r="G13" s="2382"/>
    </row>
    <row r="14" spans="1:29" ht="15.75" thickBot="1">
      <c r="A14" s="2393"/>
      <c r="B14" s="2394"/>
      <c r="C14" s="2395" t="s">
        <v>2102</v>
      </c>
      <c r="D14" s="2365"/>
      <c r="E14" s="2396"/>
      <c r="F14" s="2396"/>
      <c r="G14" s="2359" t="s">
        <v>2103</v>
      </c>
    </row>
    <row r="15" spans="1:29" ht="57">
      <c r="A15" s="68" t="s">
        <v>2104</v>
      </c>
      <c r="B15" s="1265" t="s">
        <v>2081</v>
      </c>
      <c r="C15" s="2397" t="str">
        <f>C3</f>
        <v>估价对象周边居住用地比例、居住小区规模和社区发展完善程度，综合评价居住社区成熟度一般</v>
      </c>
      <c r="D15" s="2365"/>
      <c r="E15" s="2398" t="s">
        <v>2105</v>
      </c>
      <c r="F15" s="1265" t="s">
        <v>2106</v>
      </c>
      <c r="G15" s="135" t="str">
        <f>G3</f>
        <v>估价对象位于XX开发区，园区建设成熟度XX，产业集聚程度XX</v>
      </c>
    </row>
    <row r="16" spans="1:29" ht="42.75">
      <c r="A16" s="645"/>
      <c r="B16" s="2399" t="s">
        <v>2085</v>
      </c>
      <c r="C16" s="2400" t="str">
        <f>C4</f>
        <v>估价对象位于XX商圈，周边商业氛围成熟，人流量大，商业繁华度好</v>
      </c>
      <c r="D16" s="2365"/>
      <c r="E16" s="2401"/>
      <c r="F16" s="2402" t="s">
        <v>2087</v>
      </c>
      <c r="G16" s="136" t="str">
        <f>G4</f>
        <v>估价对象周边道路状况、公共交通通达情况、停车便捷程度，综合评价交通便捷度较好</v>
      </c>
    </row>
    <row r="17" spans="1:18" ht="42.75">
      <c r="A17" s="645"/>
      <c r="B17" s="2399" t="s">
        <v>2089</v>
      </c>
      <c r="C17" s="2400" t="str">
        <f>C5</f>
        <v>估价对象位于XX商圈，周边办公楼项目较多，入驻率高，办公集聚程度较好</v>
      </c>
      <c r="D17" s="2371"/>
      <c r="E17" s="2401"/>
      <c r="F17" s="2402" t="s">
        <v>2107</v>
      </c>
      <c r="G17" s="1567"/>
    </row>
    <row r="18" spans="1:18" ht="57">
      <c r="A18" s="645"/>
      <c r="B18" s="2402" t="s">
        <v>2093</v>
      </c>
      <c r="C18" s="136" t="str">
        <f>C6</f>
        <v>估价对象周边道路状况、公共交通通达情况、停车便捷程度，综合评价交通便捷度较好</v>
      </c>
      <c r="D18" s="2371"/>
      <c r="E18" s="2401"/>
      <c r="F18" s="2402" t="s">
        <v>2096</v>
      </c>
      <c r="G18" s="136" t="str">
        <f>G7</f>
        <v>该园区内是否有污染型企业，绿化情况，卫生条件，整体环境状况判断</v>
      </c>
    </row>
    <row r="19" spans="1:18" ht="28.5">
      <c r="A19" s="645"/>
      <c r="B19" s="2402" t="s">
        <v>2108</v>
      </c>
      <c r="C19" s="1567"/>
      <c r="D19" s="2365"/>
      <c r="E19" s="2401"/>
      <c r="F19" s="1792" t="s">
        <v>2091</v>
      </c>
      <c r="G19" s="136" t="str">
        <f>G5</f>
        <v>估价对象所在区域公共配套设施齐备情况</v>
      </c>
    </row>
    <row r="20" spans="1:18" ht="28.5">
      <c r="A20" s="645"/>
      <c r="B20" s="2402" t="s">
        <v>2109</v>
      </c>
      <c r="C20" s="2400" t="str">
        <f>C9</f>
        <v>区域自然环境：；人文环境；综合评价环境状况一般</v>
      </c>
      <c r="D20" s="2371"/>
      <c r="E20" s="2401"/>
      <c r="F20" s="1792" t="s">
        <v>2110</v>
      </c>
      <c r="G20" s="136" t="str">
        <f>G6</f>
        <v>估价对象所在区域基础设施水平</v>
      </c>
    </row>
    <row r="21" spans="1:18" ht="28.5">
      <c r="A21" s="645"/>
      <c r="B21" s="1792" t="s">
        <v>2091</v>
      </c>
      <c r="C21" s="136" t="str">
        <f>C7</f>
        <v>估价对象所在区域公共配套设施齐备情况</v>
      </c>
      <c r="D21" s="2365"/>
      <c r="E21" s="2401"/>
      <c r="F21" s="2402" t="s">
        <v>2111</v>
      </c>
      <c r="G21" s="2403"/>
    </row>
    <row r="22" spans="1:18" ht="13.5" customHeight="1">
      <c r="A22" s="645"/>
      <c r="B22" s="1792" t="s">
        <v>2094</v>
      </c>
      <c r="C22" s="136" t="str">
        <f>C8</f>
        <v>估价对象所在区域基础设施水平</v>
      </c>
      <c r="D22" s="2365"/>
      <c r="E22" s="2401"/>
      <c r="F22" s="2402" t="s">
        <v>2100</v>
      </c>
      <c r="G22" s="1567"/>
    </row>
    <row r="23" spans="1:18" s="2362" customFormat="1" ht="15.75" thickBot="1">
      <c r="A23" s="645"/>
      <c r="B23" s="2402" t="s">
        <v>2111</v>
      </c>
      <c r="C23" s="2403"/>
      <c r="D23" s="2390"/>
      <c r="E23" s="2404"/>
      <c r="F23" s="2405" t="s">
        <v>2112</v>
      </c>
      <c r="G23" s="2406"/>
      <c r="H23" s="2390"/>
      <c r="I23" s="2391"/>
      <c r="J23" s="2390"/>
      <c r="K23" s="2390"/>
      <c r="L23" s="2391"/>
      <c r="M23" s="2390"/>
      <c r="N23" s="2390"/>
      <c r="O23" s="2391"/>
      <c r="P23" s="2390"/>
      <c r="Q23" s="2390"/>
      <c r="R23" s="2392"/>
    </row>
    <row r="24" spans="1:18" s="2362" customFormat="1" ht="15.75" thickBot="1">
      <c r="A24" s="2407"/>
      <c r="B24" s="2405" t="s">
        <v>2113</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5" sqref="A35"/>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51234.81</v>
      </c>
      <c r="C1" s="1739"/>
      <c r="D1" s="1739"/>
      <c r="E1" s="1739"/>
      <c r="F1" s="1739"/>
      <c r="G1" s="1737"/>
    </row>
    <row r="2" spans="1:10" ht="16.5">
      <c r="A2" s="1740" t="s">
        <v>1349</v>
      </c>
      <c r="B2" s="1740">
        <f>SUM(C14:C23)</f>
        <v>0</v>
      </c>
      <c r="C2" s="1739"/>
      <c r="D2" s="1739"/>
      <c r="E2" s="1739"/>
      <c r="F2" s="1739"/>
      <c r="G2" s="1737"/>
    </row>
    <row r="3" spans="1:10" ht="16.5">
      <c r="A3" s="1740" t="s">
        <v>1358</v>
      </c>
      <c r="B3" s="1741">
        <f>项目基本情况!D3</f>
        <v>43672</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314815</v>
      </c>
      <c r="C5" s="1740">
        <f ca="1">ROUND(B5*10000/$B$1,0)</f>
        <v>61446</v>
      </c>
      <c r="D5" s="1740" t="e">
        <f ca="1">ROUND(B5*10000/$B$2,0)</f>
        <v>#DIV/0!</v>
      </c>
      <c r="E5" s="1739"/>
      <c r="F5" s="1737"/>
      <c r="G5" s="1737"/>
    </row>
    <row r="6" spans="1:10" ht="16.5">
      <c r="A6" s="1740" t="s">
        <v>1352</v>
      </c>
      <c r="B6" s="1740">
        <f ca="1">SUM(G14:G23)</f>
        <v>2338</v>
      </c>
      <c r="C6" s="1740">
        <f ca="1">ROUND(B6*10000/$B$1,0)</f>
        <v>456</v>
      </c>
      <c r="D6" s="1740" t="e">
        <f ca="1">ROUND(B6*10000/$B$2,0)</f>
        <v>#DIV/0!</v>
      </c>
      <c r="E6" s="1739"/>
      <c r="F6" s="1737"/>
      <c r="G6" s="1737"/>
    </row>
    <row r="7" spans="1:10" ht="16.5">
      <c r="A7" s="1740" t="s">
        <v>1360</v>
      </c>
      <c r="B7" s="1740">
        <f ca="1">SUM(H14:H23)</f>
        <v>2338</v>
      </c>
      <c r="C7" s="1740">
        <f ca="1">ROUND(B7*10000/$B$1,0)</f>
        <v>456</v>
      </c>
      <c r="D7" s="1740" t="e">
        <f ca="1">ROUND(B7*10000/$B$2,0)</f>
        <v>#DIV/0!</v>
      </c>
      <c r="E7" s="1739"/>
      <c r="F7" s="1737"/>
      <c r="G7" s="1737"/>
    </row>
    <row r="8" spans="1:10" ht="16.5">
      <c r="A8" s="1740" t="s">
        <v>1281</v>
      </c>
      <c r="B8" s="1740">
        <f>SUM(I14:I23)</f>
        <v>0</v>
      </c>
      <c r="C8" s="1740">
        <f>ROUND(B8*10000/$B$1,0)</f>
        <v>0</v>
      </c>
      <c r="D8" s="1740" t="e">
        <f>ROUND(B8*10000/$B$2,0)</f>
        <v>#DIV/0!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380</v>
      </c>
      <c r="C14" s="1738">
        <f>结果表!C118</f>
        <v>0</v>
      </c>
      <c r="D14" s="1738">
        <f ca="1">结果表!H118</f>
        <v>2338</v>
      </c>
      <c r="E14" s="1738">
        <f ca="1">ROUND(D14*10000/B14,0)</f>
        <v>61526</v>
      </c>
      <c r="F14" s="1738" t="e">
        <f ca="1">ROUND(D14*10000/C14,0)</f>
        <v>#DIV/0!</v>
      </c>
      <c r="G14" s="1738">
        <f ca="1">结果表!D122</f>
        <v>2338</v>
      </c>
      <c r="H14" s="1738">
        <f ca="1">结果表!D124</f>
        <v>2338</v>
      </c>
      <c r="I14" s="1738" t="str">
        <f>结果表!D126</f>
        <v>——</v>
      </c>
      <c r="J14" s="1737"/>
    </row>
    <row r="15" spans="1:10" ht="16.5">
      <c r="A15" s="1736" t="s">
        <v>1345</v>
      </c>
      <c r="B15" s="1743">
        <f>典型户型修正!B22-系统读取表!B14</f>
        <v>50854.81</v>
      </c>
      <c r="C15" s="1743">
        <v>0</v>
      </c>
      <c r="D15" s="1743">
        <f ca="1">典型户型修正!B20-典型户型修正!S24</f>
        <v>312477</v>
      </c>
      <c r="E15" s="1738">
        <f t="shared" ref="E15:E23" ca="1" si="0">ROUND(D15*10000/B15,0)</f>
        <v>61445</v>
      </c>
      <c r="F15" s="1738" t="e">
        <f t="shared" ref="F15:F23" ca="1"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7" zoomScaleNormal="100" zoomScaleSheetLayoutView="100" zoomScalePageLayoutView="80" workbookViewId="0">
      <selection activeCell="I118" sqref="I118"/>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19" t="s">
        <v>2114</v>
      </c>
      <c r="B1" s="2413"/>
      <c r="C1" s="2414" t="s">
        <v>27</v>
      </c>
      <c r="D1" s="2413"/>
      <c r="E1" s="2413"/>
      <c r="F1" s="2415" t="s">
        <v>2115</v>
      </c>
      <c r="G1" s="2064" t="s">
        <v>2116</v>
      </c>
      <c r="H1" s="2416" t="str">
        <f>IF(G1="现房","——","估价对象范围")</f>
        <v>估价对象范围</v>
      </c>
      <c r="I1" s="2417"/>
    </row>
    <row r="2" spans="1:12" ht="21.75" customHeight="1" thickBot="1">
      <c r="A2" s="3089" t="str">
        <f>项目基本情况!S2</f>
        <v>北京市北京市丰台区丽泽路16号院2号楼3层301号等178套办公用房房地产出让国有建设用地使用权及在建建筑物房地产</v>
      </c>
      <c r="B2" s="3090"/>
      <c r="C2" s="3090"/>
      <c r="D2" s="3090"/>
      <c r="E2" s="3090"/>
      <c r="F2" s="3090"/>
      <c r="G2" s="3090"/>
      <c r="H2" s="3090"/>
      <c r="I2" s="3091"/>
    </row>
    <row r="3" spans="1:12" ht="12.75">
      <c r="A3" s="3093" t="s">
        <v>2117</v>
      </c>
      <c r="B3" s="3094"/>
      <c r="C3" s="3094"/>
      <c r="D3" s="3094"/>
      <c r="E3" s="3094"/>
      <c r="F3" s="3094"/>
      <c r="G3" s="3094"/>
      <c r="H3" s="3094"/>
      <c r="I3" s="3094"/>
    </row>
    <row r="4" spans="1:12" ht="14.25">
      <c r="A4" s="2420" t="s">
        <v>2118</v>
      </c>
      <c r="B4" s="2421" t="s">
        <v>2119</v>
      </c>
      <c r="C4" s="2422" t="s">
        <v>3307</v>
      </c>
      <c r="D4" s="2422" t="s">
        <v>3310</v>
      </c>
      <c r="E4" s="3086" t="s">
        <v>2120</v>
      </c>
      <c r="F4" s="3087"/>
      <c r="G4" s="3087"/>
      <c r="H4" s="3087"/>
      <c r="I4" s="3095"/>
      <c r="K4" s="2423" t="str">
        <f>IF(ISNUMBER(FIND("比较法",结果表!C4)),"比较法",IF(ISNUMBER(FIND("成本法",结果表!C4)),"成本法",IF(ISNUMBER(FIND("假设开发法",结果表!C4)),"假设开发法",IF(ISNUMBER(FIND("收益法",结果表!C4)),"收益法","基准地价系数修正法"))))</f>
        <v>收益法</v>
      </c>
      <c r="L4" s="2423" t="str">
        <f>IF(ISNUMBER(FIND("比较法",结果表!D4)),"比较法",IF(ISNUMBER(FIND("成本法",结果表!D4)),"成本法",IF(ISNUMBER(FIND("假设开发法",结果表!D4)),"假设开发法",IF(ISNUMBER(FIND("收益法",结果表!D4)),"收益法","基准地价系数修正法"))))</f>
        <v>比较法</v>
      </c>
    </row>
    <row r="5" spans="1:12" ht="12.75">
      <c r="A5" s="3069" t="s">
        <v>2121</v>
      </c>
      <c r="B5" s="3006">
        <v>25</v>
      </c>
      <c r="C5" s="3072"/>
      <c r="D5" s="3092"/>
      <c r="E5" s="140" t="s">
        <v>2122</v>
      </c>
      <c r="F5" s="2424"/>
      <c r="G5" s="2424"/>
      <c r="H5" s="2424"/>
      <c r="I5" s="1828"/>
    </row>
    <row r="6" spans="1:12" ht="12.75">
      <c r="A6" s="3069"/>
      <c r="B6" s="3006"/>
      <c r="C6" s="3073"/>
      <c r="D6" s="3092"/>
      <c r="E6" s="140" t="s">
        <v>2123</v>
      </c>
      <c r="F6" s="2424"/>
      <c r="G6" s="2424"/>
      <c r="H6" s="2424"/>
      <c r="I6" s="1828"/>
    </row>
    <row r="7" spans="1:12" ht="12.75">
      <c r="A7" s="3069"/>
      <c r="B7" s="3006"/>
      <c r="C7" s="3074"/>
      <c r="D7" s="3092"/>
      <c r="E7" s="140" t="s">
        <v>2124</v>
      </c>
      <c r="F7" s="2424"/>
      <c r="G7" s="2424"/>
      <c r="H7" s="2424"/>
      <c r="I7" s="1828"/>
    </row>
    <row r="8" spans="1:12" ht="12.75">
      <c r="A8" s="3069" t="s">
        <v>2125</v>
      </c>
      <c r="B8" s="3006">
        <v>15</v>
      </c>
      <c r="C8" s="3072"/>
      <c r="D8" s="3092"/>
      <c r="E8" s="140" t="s">
        <v>2126</v>
      </c>
      <c r="F8" s="2424"/>
      <c r="G8" s="2424"/>
      <c r="H8" s="2424"/>
      <c r="I8" s="1828"/>
    </row>
    <row r="9" spans="1:12" ht="12.75">
      <c r="A9" s="3069"/>
      <c r="B9" s="3006"/>
      <c r="C9" s="3074"/>
      <c r="D9" s="3092"/>
      <c r="E9" s="140" t="s">
        <v>2127</v>
      </c>
      <c r="F9" s="2424"/>
      <c r="G9" s="2424"/>
      <c r="H9" s="2424"/>
      <c r="I9" s="1828"/>
    </row>
    <row r="10" spans="1:12" ht="12.75">
      <c r="A10" s="3069" t="s">
        <v>2128</v>
      </c>
      <c r="B10" s="3006">
        <v>15</v>
      </c>
      <c r="C10" s="3072"/>
      <c r="D10" s="3092"/>
      <c r="E10" s="140" t="s">
        <v>2129</v>
      </c>
      <c r="F10" s="2424"/>
      <c r="G10" s="2424"/>
      <c r="H10" s="2424"/>
      <c r="I10" s="1828"/>
    </row>
    <row r="11" spans="1:12" ht="12.75">
      <c r="A11" s="3069"/>
      <c r="B11" s="3006"/>
      <c r="C11" s="3074"/>
      <c r="D11" s="3092"/>
      <c r="E11" s="140" t="s">
        <v>2130</v>
      </c>
      <c r="F11" s="2424"/>
      <c r="G11" s="2424"/>
      <c r="H11" s="2424"/>
      <c r="I11" s="1828"/>
    </row>
    <row r="12" spans="1:12" ht="12.75">
      <c r="A12" s="3069" t="s">
        <v>2131</v>
      </c>
      <c r="B12" s="3006">
        <v>15</v>
      </c>
      <c r="C12" s="3072"/>
      <c r="D12" s="3092"/>
      <c r="E12" s="140" t="s">
        <v>2132</v>
      </c>
      <c r="F12" s="2424"/>
      <c r="G12" s="2424"/>
      <c r="H12" s="2424"/>
      <c r="I12" s="1828"/>
    </row>
    <row r="13" spans="1:12" ht="12.75">
      <c r="A13" s="3069"/>
      <c r="B13" s="3006"/>
      <c r="C13" s="3074"/>
      <c r="D13" s="3092"/>
      <c r="E13" s="140" t="s">
        <v>2133</v>
      </c>
      <c r="F13" s="2424"/>
      <c r="G13" s="2424"/>
      <c r="H13" s="2424"/>
      <c r="I13" s="1828"/>
    </row>
    <row r="14" spans="1:12" ht="12.75">
      <c r="A14" s="3069" t="s">
        <v>2134</v>
      </c>
      <c r="B14" s="3006">
        <v>30</v>
      </c>
      <c r="C14" s="3072">
        <v>5</v>
      </c>
      <c r="D14" s="3092">
        <v>5</v>
      </c>
      <c r="E14" s="140" t="s">
        <v>2135</v>
      </c>
      <c r="F14" s="2424"/>
      <c r="G14" s="2424"/>
      <c r="H14" s="2424"/>
      <c r="I14" s="1828"/>
    </row>
    <row r="15" spans="1:12" ht="12.75">
      <c r="A15" s="3069"/>
      <c r="B15" s="3006"/>
      <c r="C15" s="3073"/>
      <c r="D15" s="3092"/>
      <c r="E15" s="140" t="s">
        <v>2136</v>
      </c>
      <c r="F15" s="2424"/>
      <c r="G15" s="2424"/>
      <c r="H15" s="2424"/>
      <c r="I15" s="1828"/>
    </row>
    <row r="16" spans="1:12" ht="12.75">
      <c r="A16" s="3069"/>
      <c r="B16" s="3006"/>
      <c r="C16" s="3074"/>
      <c r="D16" s="3092"/>
      <c r="E16" s="140" t="s">
        <v>2137</v>
      </c>
      <c r="F16" s="2424"/>
      <c r="G16" s="2424"/>
      <c r="H16" s="2424"/>
      <c r="I16" s="1828"/>
    </row>
    <row r="17" spans="1:35" ht="15">
      <c r="A17" s="2425" t="s">
        <v>2138</v>
      </c>
      <c r="B17" s="64"/>
      <c r="C17" s="141">
        <f>SUM(C5:C16)</f>
        <v>5</v>
      </c>
      <c r="D17" s="141">
        <f>SUM(D5:D16)</f>
        <v>5</v>
      </c>
      <c r="E17" s="138"/>
      <c r="F17" s="138"/>
      <c r="G17" s="138"/>
      <c r="H17" s="138"/>
      <c r="I17" s="138"/>
      <c r="K17" s="2423"/>
      <c r="L17" s="2426" t="s">
        <v>2139</v>
      </c>
      <c r="M17" s="2426" t="s">
        <v>2140</v>
      </c>
    </row>
    <row r="18" spans="1:35" ht="15.75" thickBot="1">
      <c r="A18" s="2427" t="s">
        <v>2141</v>
      </c>
      <c r="B18" s="2428"/>
      <c r="C18" s="142">
        <f>ROUND(C17/SUM(C17:D17),2)</f>
        <v>0.5</v>
      </c>
      <c r="D18" s="142">
        <f>1-C18</f>
        <v>0.5</v>
      </c>
      <c r="E18" s="138"/>
      <c r="F18" s="138"/>
      <c r="G18" s="138"/>
      <c r="H18" s="138"/>
      <c r="I18" s="138"/>
      <c r="K18" s="2423" t="s">
        <v>2142</v>
      </c>
      <c r="L18" s="2423">
        <f>IF(C1="",'数据-汇总表'!E3,SUMIF(项目类型,C1,'数据-汇总表'!E17:E26)+SUMIF(项目类型,C1,'数据-汇总表'!I17:I26))</f>
        <v>380</v>
      </c>
      <c r="M18" s="2423">
        <f>IF(C1="",'数据-汇总表'!E3,SUMIF(项目类型,C1,'数据-汇总表'!E17:E26))</f>
        <v>380</v>
      </c>
    </row>
    <row r="19" spans="1:35" ht="15">
      <c r="A19" s="2429" t="s">
        <v>2143</v>
      </c>
      <c r="B19" s="2430" t="s">
        <v>2144</v>
      </c>
      <c r="C19" s="143">
        <f ca="1">SUMIF(INDIRECT("'"&amp;C4&amp;"'"&amp;"!A:A"),结果表!B19,INDIRECT("'"&amp;C4&amp;"'"&amp;"!B:B"))</f>
        <v>2187</v>
      </c>
      <c r="D19" s="144">
        <f ca="1">SUMIF(INDIRECT("'"&amp;D4&amp;"'"&amp;"!A:A"),结果表!B19,INDIRECT("'"&amp;D4&amp;"'"&amp;"!B:B"))</f>
        <v>2489</v>
      </c>
      <c r="E19" s="2429" t="s">
        <v>2145</v>
      </c>
      <c r="F19" s="2430" t="s">
        <v>2144</v>
      </c>
      <c r="G19" s="145">
        <f ca="1">ROUND(C19*$C$18+D19*$D$18,0)</f>
        <v>2338</v>
      </c>
      <c r="H19" s="2431" t="s">
        <v>2146</v>
      </c>
      <c r="I19" s="138"/>
      <c r="K19" s="2423" t="s">
        <v>2147</v>
      </c>
      <c r="L19" s="2423">
        <f>IF(C1="",'数据-汇总表'!D3,SUMIF(项目类型,C1,'数据-汇总表'!D17:D26)+SUMIF(项目类型,C1,'数据-汇总表'!H17:H27))</f>
        <v>0</v>
      </c>
      <c r="M19" s="2423">
        <f>IF(C1="",'数据-汇总表'!D3,SUMIF(项目类型,C1,'数据-汇总表'!D17:D26))</f>
        <v>0</v>
      </c>
    </row>
    <row r="20" spans="1:35" ht="15">
      <c r="A20" s="2432"/>
      <c r="B20" s="1245" t="s">
        <v>2148</v>
      </c>
      <c r="C20" s="146">
        <f ca="1">SUMIF(INDIRECT("'"&amp;C4&amp;"'"&amp;"!A:A"),结果表!B20,INDIRECT("'"&amp;C4&amp;"'"&amp;"!B:B"))</f>
        <v>57553</v>
      </c>
      <c r="D20" s="147">
        <f ca="1">SUMIF(INDIRECT("'"&amp;D4&amp;"'"&amp;"!A:A"),结果表!B20,INDIRECT("'"&amp;D4&amp;"'"&amp;"!B:B"))</f>
        <v>65496</v>
      </c>
      <c r="E20" s="2432"/>
      <c r="F20" s="1245" t="s">
        <v>2148</v>
      </c>
      <c r="G20" s="148">
        <f ca="1">ROUND(C20*$C$18+D20*$D$18,0)</f>
        <v>61525</v>
      </c>
      <c r="H20" s="978" t="s">
        <v>2149</v>
      </c>
      <c r="I20" s="138"/>
    </row>
    <row r="21" spans="1:35" ht="15" customHeight="1" thickBot="1">
      <c r="A21" s="998"/>
      <c r="B21" s="2433" t="s">
        <v>2150</v>
      </c>
      <c r="C21" s="787" t="e">
        <f ca="1">ROUND(C19*10000/L19,0)</f>
        <v>#DIV/0!</v>
      </c>
      <c r="D21" s="788" t="e">
        <f ca="1">ROUND(D19*10000/L19,0)</f>
        <v>#DIV/0!</v>
      </c>
      <c r="E21" s="998"/>
      <c r="F21" s="2433" t="s">
        <v>2150</v>
      </c>
      <c r="G21" s="149" t="e">
        <f ca="1">ROUND(G19*10000/L19,0)</f>
        <v>#DIV/0!</v>
      </c>
      <c r="H21" s="2434" t="s">
        <v>2149</v>
      </c>
      <c r="I21" s="138"/>
    </row>
    <row r="22" spans="1:35" ht="15" thickBot="1">
      <c r="A22" s="2275" t="s">
        <v>2151</v>
      </c>
      <c r="B22" s="2435"/>
      <c r="C22" s="2436"/>
      <c r="D22" s="789">
        <f ca="1">IF(C19&lt;D19,D19/C19-1,C19/D19-1)</f>
        <v>0.1380887059899405</v>
      </c>
      <c r="E22" s="138"/>
      <c r="F22" s="138"/>
      <c r="G22" s="138"/>
      <c r="H22" s="138"/>
      <c r="I22" s="138"/>
    </row>
    <row r="23" spans="1:35" ht="13.5" thickBot="1">
      <c r="A23" s="2413"/>
      <c r="B23" s="2413"/>
      <c r="C23" s="2413"/>
      <c r="D23" s="2413"/>
      <c r="E23" s="138"/>
      <c r="F23" s="138"/>
      <c r="G23" s="138"/>
      <c r="H23" s="138"/>
      <c r="I23" s="138"/>
    </row>
    <row r="24" spans="1:35" ht="14.25">
      <c r="A24" s="3063" t="s">
        <v>2152</v>
      </c>
      <c r="B24" s="2430" t="s">
        <v>2144</v>
      </c>
      <c r="C24" s="145">
        <f>IF(B30=0,0,D30)</f>
        <v>0</v>
      </c>
      <c r="D24" s="2437"/>
      <c r="E24" s="138"/>
      <c r="F24" s="138"/>
      <c r="G24" s="138"/>
      <c r="H24" s="138"/>
      <c r="I24" s="138"/>
    </row>
    <row r="25" spans="1:35" ht="14.25">
      <c r="A25" s="3064"/>
      <c r="B25" s="1245" t="s">
        <v>2148</v>
      </c>
      <c r="C25" s="150">
        <f>IF(B30=0,0,C30)</f>
        <v>0</v>
      </c>
      <c r="D25" s="2438"/>
      <c r="E25" s="138"/>
      <c r="F25" s="138"/>
      <c r="G25" s="138"/>
      <c r="H25" s="138"/>
      <c r="I25" s="138"/>
    </row>
    <row r="26" spans="1:35" ht="13.5" customHeight="1">
      <c r="A26" s="2439" t="s">
        <v>2153</v>
      </c>
      <c r="B26" s="151" t="s">
        <v>2154</v>
      </c>
      <c r="C26" s="151" t="s">
        <v>2155</v>
      </c>
      <c r="D26" s="152" t="s">
        <v>2156</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2157</v>
      </c>
      <c r="B30" s="151"/>
      <c r="C30" s="151"/>
      <c r="D30" s="151"/>
      <c r="E30" s="2912" t="s">
        <v>3030</v>
      </c>
      <c r="F30" s="138"/>
      <c r="G30" s="138"/>
      <c r="H30" s="138"/>
      <c r="I30" s="138"/>
    </row>
    <row r="31" spans="1:35" s="2441" customFormat="1" ht="15" thickBot="1">
      <c r="A31" s="2440"/>
      <c r="B31" s="2440"/>
      <c r="C31" s="2440"/>
      <c r="D31" s="2440"/>
      <c r="E31" s="138"/>
      <c r="F31" s="138"/>
      <c r="G31" s="138"/>
      <c r="H31" s="138"/>
      <c r="I31" s="138"/>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2158</v>
      </c>
      <c r="B32" s="2443"/>
      <c r="C32" s="153">
        <f ca="1">IF(D32="总价",G19-C24,G20-C25)</f>
        <v>2338</v>
      </c>
      <c r="D32" s="2444" t="s">
        <v>2159</v>
      </c>
      <c r="E32" s="138"/>
      <c r="F32" s="138"/>
      <c r="G32" s="138"/>
      <c r="H32" s="138"/>
      <c r="I32" s="138"/>
    </row>
    <row r="33" spans="1:15" ht="15">
      <c r="A33" s="955" t="s">
        <v>2160</v>
      </c>
      <c r="B33" s="2445"/>
      <c r="C33" s="2446"/>
      <c r="D33" s="2447"/>
      <c r="E33" s="2448" t="s">
        <v>2161</v>
      </c>
      <c r="F33" s="2449" t="str">
        <f>IF(D32="楼面单价","取值（单价）","取值（总价）")</f>
        <v>取值（总价）</v>
      </c>
      <c r="G33" s="138"/>
      <c r="H33" s="138"/>
      <c r="I33" s="138"/>
    </row>
    <row r="34" spans="1:15" ht="15">
      <c r="A34" s="2450"/>
      <c r="B34" s="2451" t="s">
        <v>2162</v>
      </c>
      <c r="C34" s="157" t="e">
        <f ca="1">IF(C33="自定义",F34,C32-C35)</f>
        <v>#REF!</v>
      </c>
      <c r="D34" s="1053" t="e">
        <f ca="1">IF(C33="自定义",ROUND(C34/C32,3),IF(C33="收益比率",SUMIF(INDIRECT("'"&amp;D33&amp;"'"&amp;"!b:b"),"土地收益比率",INDIRECT("'"&amp;D33&amp;"'"&amp;"!c:c")),SUMIF(INDIRECT("'"&amp;D33&amp;"'"&amp;"!b:b"),"土地成本比率",INDIRECT("'"&amp;D33&amp;"'"&amp;"!c:c"))))</f>
        <v>#REF!</v>
      </c>
      <c r="E34" s="2452" t="s">
        <v>2163</v>
      </c>
      <c r="F34" s="1733"/>
      <c r="G34" s="138"/>
      <c r="H34" s="138"/>
      <c r="I34" s="138"/>
    </row>
    <row r="35" spans="1:15" ht="15.75" thickBot="1">
      <c r="A35" s="2453"/>
      <c r="B35" s="2454" t="s">
        <v>2164</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2165</v>
      </c>
      <c r="F35" s="163"/>
      <c r="G35" s="138"/>
      <c r="H35" s="138"/>
      <c r="I35" s="138"/>
    </row>
    <row r="36" spans="1:15" ht="15.75" thickBot="1">
      <c r="A36" s="3081" t="s">
        <v>2166</v>
      </c>
      <c r="B36" s="2456" t="s">
        <v>2167</v>
      </c>
      <c r="C36" s="154"/>
      <c r="D36" s="2457"/>
      <c r="E36" s="2458"/>
      <c r="F36" s="2459"/>
      <c r="G36" s="138"/>
      <c r="H36" s="138"/>
      <c r="I36" s="138"/>
    </row>
    <row r="37" spans="1:15" ht="15.75" thickBot="1">
      <c r="A37" s="3082"/>
      <c r="B37" s="2261" t="s">
        <v>2168</v>
      </c>
      <c r="C37" s="156"/>
      <c r="D37" s="1390"/>
      <c r="E37" s="1390"/>
      <c r="F37" s="2459"/>
      <c r="G37" s="138"/>
      <c r="H37" s="138"/>
      <c r="I37" s="138"/>
    </row>
    <row r="38" spans="1:15" ht="15.75" thickBot="1">
      <c r="A38" s="3083"/>
      <c r="B38" s="2460" t="s">
        <v>2169</v>
      </c>
      <c r="C38" s="725"/>
      <c r="D38" s="2461" t="s">
        <v>2170</v>
      </c>
      <c r="E38" s="1390"/>
      <c r="F38" s="2459"/>
      <c r="G38" s="138"/>
      <c r="H38" s="138"/>
      <c r="I38" s="138"/>
    </row>
    <row r="39" spans="1:15" ht="15">
      <c r="A39" s="2432" t="s">
        <v>2171</v>
      </c>
      <c r="B39" s="2462" t="s">
        <v>2172</v>
      </c>
      <c r="C39" s="2463" t="s">
        <v>2173</v>
      </c>
      <c r="D39" s="2463" t="s">
        <v>2174</v>
      </c>
      <c r="E39" s="2464" t="s">
        <v>2175</v>
      </c>
      <c r="F39" s="2459"/>
      <c r="G39" s="138"/>
      <c r="H39" s="138"/>
      <c r="I39" s="138"/>
    </row>
    <row r="40" spans="1:15" ht="14.25">
      <c r="A40" s="2465" t="s">
        <v>2176</v>
      </c>
      <c r="B40" s="158"/>
      <c r="C40" s="159"/>
      <c r="D40" s="159"/>
      <c r="E40" s="160"/>
      <c r="F40" s="2459"/>
      <c r="G40" s="138"/>
      <c r="H40" s="138"/>
      <c r="I40" s="138"/>
    </row>
    <row r="41" spans="1:15" ht="14.25">
      <c r="A41" s="2465" t="s">
        <v>2177</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2178</v>
      </c>
      <c r="B44" s="2470"/>
      <c r="C44" s="2470"/>
      <c r="D44" s="2471"/>
      <c r="E44" s="2471"/>
      <c r="F44" s="2472"/>
      <c r="G44" s="2472"/>
      <c r="H44" s="2472"/>
      <c r="I44" s="2472"/>
      <c r="J44" s="2473" t="s">
        <v>2179</v>
      </c>
      <c r="K44" s="2474"/>
      <c r="L44" s="2474"/>
      <c r="M44" s="2474"/>
      <c r="N44" s="2474"/>
      <c r="O44" s="2474"/>
    </row>
    <row r="45" spans="1:15" ht="14.25" customHeight="1" thickBot="1">
      <c r="A45" s="3060" t="s">
        <v>2180</v>
      </c>
      <c r="B45" s="3061"/>
      <c r="C45" s="3062"/>
      <c r="D45" s="164">
        <f ca="1">ROUND(H101*F45,0)</f>
        <v>2338</v>
      </c>
      <c r="E45" s="165" t="s">
        <v>2181</v>
      </c>
      <c r="F45" s="166">
        <v>1</v>
      </c>
      <c r="G45" s="167" t="s">
        <v>2182</v>
      </c>
      <c r="H45" s="138"/>
      <c r="I45" s="138"/>
      <c r="J45" s="3120" t="s">
        <v>2183</v>
      </c>
      <c r="K45" s="3120"/>
      <c r="L45" s="3120"/>
      <c r="M45" s="3120"/>
      <c r="N45" s="3120"/>
      <c r="O45" s="3120"/>
    </row>
    <row r="46" spans="1:15" ht="14.25" customHeight="1">
      <c r="A46" s="3057" t="s">
        <v>2184</v>
      </c>
      <c r="B46" s="3058"/>
      <c r="C46" s="3058"/>
      <c r="D46" s="3058"/>
      <c r="E46" s="3058"/>
      <c r="F46" s="3058"/>
      <c r="G46" s="3059"/>
      <c r="H46" s="2475"/>
      <c r="I46" s="168"/>
      <c r="J46" s="1806">
        <v>1</v>
      </c>
      <c r="K46" s="3120" t="s">
        <v>2185</v>
      </c>
      <c r="L46" s="3120"/>
      <c r="M46" s="3140"/>
      <c r="N46" s="3140"/>
      <c r="O46" s="3140"/>
    </row>
    <row r="47" spans="1:15" ht="12" customHeight="1">
      <c r="A47" s="169" t="s">
        <v>2186</v>
      </c>
      <c r="B47" s="170"/>
      <c r="C47" s="171"/>
      <c r="D47" s="172" t="s">
        <v>2187</v>
      </c>
      <c r="E47" s="24" t="s">
        <v>2188</v>
      </c>
      <c r="F47" s="173" t="s">
        <v>2189</v>
      </c>
      <c r="G47" s="174" t="s">
        <v>2190</v>
      </c>
      <c r="H47" s="2475"/>
      <c r="I47" s="168"/>
      <c r="J47" s="1806">
        <v>2</v>
      </c>
      <c r="K47" s="3120" t="s">
        <v>2191</v>
      </c>
      <c r="L47" s="3120"/>
      <c r="M47" s="3141">
        <f>'数据-取费表'!B2</f>
        <v>43672</v>
      </c>
      <c r="N47" s="3141"/>
      <c r="O47" s="3141"/>
    </row>
    <row r="48" spans="1:15" ht="25.5">
      <c r="A48" s="3088" t="s">
        <v>2192</v>
      </c>
      <c r="B48" s="3071"/>
      <c r="C48" s="3071"/>
      <c r="D48" s="140">
        <f>IF(H48="情况1",0,IF(H48="情况2",D52,IF(H48="情况3",D53,IF(H48="情况4",D54))))</f>
        <v>0</v>
      </c>
      <c r="E48" s="1795" t="str">
        <f>IF(H48="情况4","(销售额-原购置价)×税（费）率","销售额×税（费）率")</f>
        <v>销售额×税（费）率</v>
      </c>
      <c r="F48" s="175" t="str">
        <f>IF(H48="情况1","免征",'数据-取费表'!B41)</f>
        <v>免征</v>
      </c>
      <c r="G48" s="2476" t="s">
        <v>2193</v>
      </c>
      <c r="H48" s="2477" t="s">
        <v>2194</v>
      </c>
      <c r="I48" s="2475"/>
      <c r="J48" s="1806">
        <v>3</v>
      </c>
      <c r="K48" s="3120" t="s">
        <v>2195</v>
      </c>
      <c r="L48" s="3120"/>
      <c r="M48" s="3142">
        <f ca="1">H101</f>
        <v>2338</v>
      </c>
      <c r="N48" s="3142"/>
      <c r="O48" s="3142"/>
    </row>
    <row r="49" spans="1:35" ht="25.5" customHeight="1">
      <c r="A49" s="176" t="s">
        <v>2196</v>
      </c>
      <c r="B49" s="3056" t="s">
        <v>2197</v>
      </c>
      <c r="C49" s="3056"/>
      <c r="D49" s="177">
        <v>0</v>
      </c>
      <c r="E49" s="23" t="s">
        <v>2198</v>
      </c>
      <c r="F49" s="28" t="s">
        <v>34</v>
      </c>
      <c r="G49" s="3126"/>
      <c r="H49" s="138"/>
      <c r="I49" s="2478"/>
      <c r="J49" s="1806">
        <v>4</v>
      </c>
      <c r="K49" s="3120" t="str">
        <f>IF(项目基本情况!E8="房地产抵押价值","房地产抵押价值","抵押担保权已注销时的房地产抵押价值")</f>
        <v>抵押担保权已注销时的房地产抵押价值</v>
      </c>
      <c r="L49" s="3120"/>
      <c r="M49" s="3142">
        <f ca="1">IF(项目基本情况!E8="房地产抵押价值",H107,H109)</f>
        <v>2338</v>
      </c>
      <c r="N49" s="3142"/>
      <c r="O49" s="3142"/>
    </row>
    <row r="50" spans="1:35" ht="25.5" customHeight="1">
      <c r="A50" s="178"/>
      <c r="B50" s="3056" t="s">
        <v>2199</v>
      </c>
      <c r="C50" s="3056"/>
      <c r="D50" s="179"/>
      <c r="E50" s="31"/>
      <c r="F50" s="180"/>
      <c r="G50" s="3127"/>
      <c r="H50" s="138"/>
      <c r="I50" s="2478"/>
      <c r="J50" s="3120" t="s">
        <v>2200</v>
      </c>
      <c r="K50" s="3120"/>
      <c r="L50" s="3120"/>
      <c r="M50" s="3120"/>
      <c r="N50" s="3120"/>
      <c r="O50" s="3120"/>
    </row>
    <row r="51" spans="1:35" ht="12" customHeight="1">
      <c r="A51" s="181"/>
      <c r="B51" s="3056" t="s">
        <v>2201</v>
      </c>
      <c r="C51" s="3056"/>
      <c r="D51" s="182"/>
      <c r="E51" s="30"/>
      <c r="F51" s="180"/>
      <c r="G51" s="3128"/>
      <c r="H51" s="138"/>
      <c r="I51" s="2478"/>
      <c r="J51" s="2479" t="s">
        <v>2202</v>
      </c>
      <c r="K51" s="3120" t="s">
        <v>2203</v>
      </c>
      <c r="L51" s="3120"/>
      <c r="M51" s="2479" t="s">
        <v>2204</v>
      </c>
      <c r="N51" s="2479" t="s">
        <v>2205</v>
      </c>
      <c r="O51" s="2479" t="s">
        <v>2206</v>
      </c>
    </row>
    <row r="52" spans="1:35" ht="24" customHeight="1">
      <c r="A52" s="183" t="s">
        <v>2207</v>
      </c>
      <c r="B52" s="3056" t="s">
        <v>2208</v>
      </c>
      <c r="C52" s="3056"/>
      <c r="D52" s="182">
        <f ca="1">ROUND(D45*'数据-取费表'!B41/(1+'数据-取费表'!C42),0)</f>
        <v>125</v>
      </c>
      <c r="E52" s="11" t="s">
        <v>2209</v>
      </c>
      <c r="F52" s="184">
        <f>'数据-取费表'!B41</f>
        <v>5.6000000000000001E-2</v>
      </c>
      <c r="G52" s="2480"/>
      <c r="H52" s="138"/>
      <c r="I52" s="2478"/>
      <c r="J52" s="1806">
        <v>1</v>
      </c>
      <c r="K52" s="3121" t="s">
        <v>2210</v>
      </c>
      <c r="L52" s="3121"/>
      <c r="M52" s="1748">
        <f>D48</f>
        <v>0</v>
      </c>
      <c r="N52" s="1806" t="str">
        <f>E48</f>
        <v>销售额×税（费）率</v>
      </c>
      <c r="O52" s="1749" t="str">
        <f>F48</f>
        <v>免征</v>
      </c>
    </row>
    <row r="53" spans="1:35" ht="12" customHeight="1">
      <c r="A53" s="183" t="s">
        <v>2211</v>
      </c>
      <c r="B53" s="3079" t="s">
        <v>2212</v>
      </c>
      <c r="C53" s="3080"/>
      <c r="D53" s="182">
        <f ca="1">ROUND(D45*'数据-取费表'!B41/(1+'数据-取费表'!C42),0)</f>
        <v>125</v>
      </c>
      <c r="E53" s="11" t="s">
        <v>2209</v>
      </c>
      <c r="F53" s="184">
        <f>'数据-取费表'!B41</f>
        <v>5.6000000000000001E-2</v>
      </c>
      <c r="G53" s="2480"/>
      <c r="H53" s="138"/>
      <c r="I53" s="2478"/>
      <c r="J53" s="1806">
        <v>2</v>
      </c>
      <c r="K53" s="3121" t="s">
        <v>2213</v>
      </c>
      <c r="L53" s="3121"/>
      <c r="M53" s="1748">
        <f t="shared" ref="M53:O54" ca="1" si="0">D55</f>
        <v>1</v>
      </c>
      <c r="N53" s="1806" t="str">
        <f t="shared" si="0"/>
        <v>销售额×税（费）率</v>
      </c>
      <c r="O53" s="1749">
        <f t="shared" si="0"/>
        <v>5.0000000000000001E-4</v>
      </c>
    </row>
    <row r="54" spans="1:35" ht="12" customHeight="1">
      <c r="A54" s="183" t="s">
        <v>2214</v>
      </c>
      <c r="B54" s="3079" t="s">
        <v>2215</v>
      </c>
      <c r="C54" s="3080"/>
      <c r="D54" s="182">
        <f ca="1">C68</f>
        <v>125</v>
      </c>
      <c r="E54" s="30" t="s">
        <v>2216</v>
      </c>
      <c r="F54" s="184">
        <f>'数据-取费表'!B41</f>
        <v>5.6000000000000001E-2</v>
      </c>
      <c r="G54" s="2480"/>
      <c r="H54" s="2481"/>
      <c r="I54" s="2478"/>
      <c r="J54" s="1806">
        <v>3</v>
      </c>
      <c r="K54" s="3121" t="s">
        <v>2217</v>
      </c>
      <c r="L54" s="3121"/>
      <c r="M54" s="1748">
        <f t="shared" ca="1" si="0"/>
        <v>1324</v>
      </c>
      <c r="N54" s="1806" t="str">
        <f t="shared" si="0"/>
        <v>增值额×税（费）率</v>
      </c>
      <c r="O54" s="1750" t="str">
        <f t="shared" si="0"/>
        <v>——</v>
      </c>
    </row>
    <row r="55" spans="1:35" ht="24" customHeight="1">
      <c r="A55" s="3070" t="s">
        <v>2218</v>
      </c>
      <c r="B55" s="3071"/>
      <c r="C55" s="3071"/>
      <c r="D55" s="185">
        <f ca="1">IF(H55="个人住宅",0,ROUND(D45*I55,0))</f>
        <v>1</v>
      </c>
      <c r="E55" s="11" t="s">
        <v>2219</v>
      </c>
      <c r="F55" s="184">
        <f>IF(H55="正常",I55,"免征")</f>
        <v>5.0000000000000001E-4</v>
      </c>
      <c r="G55" s="2480"/>
      <c r="H55" s="2477" t="s">
        <v>2220</v>
      </c>
      <c r="I55" s="186">
        <f>'数据-取费表'!B49</f>
        <v>5.0000000000000001E-4</v>
      </c>
      <c r="J55" s="1806" t="str">
        <f>IF(H59="非个人房产","",4)</f>
        <v/>
      </c>
      <c r="K55" s="3121" t="str">
        <f>IF(H59="非个人房产","——","个人所得税")</f>
        <v>——</v>
      </c>
      <c r="L55" s="3121"/>
      <c r="M55" s="1751" t="str">
        <f>D59</f>
        <v>——</v>
      </c>
      <c r="N55" s="1804" t="str">
        <f>E59</f>
        <v>——</v>
      </c>
      <c r="O55" s="1752" t="str">
        <f>F59</f>
        <v>——</v>
      </c>
    </row>
    <row r="56" spans="1:35" ht="24.75">
      <c r="A56" s="3070" t="s">
        <v>2221</v>
      </c>
      <c r="B56" s="3071"/>
      <c r="C56" s="3071"/>
      <c r="D56" s="185">
        <f ca="1">IF(H56="个人住宅",D57,D58)</f>
        <v>1324</v>
      </c>
      <c r="E56" s="11" t="s">
        <v>2222</v>
      </c>
      <c r="F56" s="184" t="str">
        <f>IF(H56="正常",F58,"免征")</f>
        <v>——</v>
      </c>
      <c r="G56" s="2482" t="s">
        <v>2223</v>
      </c>
      <c r="H56" s="2483" t="s">
        <v>2220</v>
      </c>
      <c r="I56" s="2484"/>
      <c r="J56" s="1806" t="str">
        <f>IF(项目基本情况!K6="上海银行",IF(J55="",4,J55+1),"")</f>
        <v/>
      </c>
      <c r="K56" s="3144" t="str">
        <f>IF(项目基本情况!K6="上海银行","其他处置费用","")</f>
        <v/>
      </c>
      <c r="L56" s="3145"/>
      <c r="M56" s="1748" t="str">
        <f>IF(项目基本情况!K6="上海银行",M69,"")</f>
        <v/>
      </c>
      <c r="N56" s="3147" t="str">
        <f>IF(项目基本情况!K6="上海银行","包含处置中涉及的律师、诉讼、拍卖、评估等费用","")</f>
        <v/>
      </c>
      <c r="O56" s="3148"/>
    </row>
    <row r="57" spans="1:35" ht="12.75">
      <c r="A57" s="183" t="s">
        <v>2196</v>
      </c>
      <c r="B57" s="3086" t="s">
        <v>2224</v>
      </c>
      <c r="C57" s="3095"/>
      <c r="D57" s="187">
        <v>0</v>
      </c>
      <c r="E57" s="23" t="s">
        <v>2198</v>
      </c>
      <c r="F57" s="155"/>
      <c r="G57" s="2480"/>
      <c r="H57" s="2484"/>
      <c r="I57" s="2484"/>
      <c r="J57" s="3121">
        <f>IF(AND(J55="",J56=""),4,IF(项目基本情况!K6="上海银行",结果表!J56+1,结果表!J55+1))</f>
        <v>4</v>
      </c>
      <c r="K57" s="3121" t="s">
        <v>2225</v>
      </c>
      <c r="L57" s="2485" t="s">
        <v>2226</v>
      </c>
      <c r="M57" s="1753"/>
      <c r="N57" s="1754">
        <f ca="1">SUMIF(M52:M56,"&lt;9e307")</f>
        <v>1325</v>
      </c>
      <c r="O57" s="2486"/>
      <c r="P57" s="1747">
        <f ca="1">N57/M49</f>
        <v>0.56672369546621049</v>
      </c>
    </row>
    <row r="58" spans="1:35" ht="24.75">
      <c r="A58" s="183" t="s">
        <v>2207</v>
      </c>
      <c r="B58" s="3086" t="s">
        <v>2227</v>
      </c>
      <c r="C58" s="3087"/>
      <c r="D58" s="185">
        <f ca="1">IF(H58="转让取得",C81,C97)</f>
        <v>1324</v>
      </c>
      <c r="E58" s="11" t="s">
        <v>2222</v>
      </c>
      <c r="F58" s="24" t="s">
        <v>34</v>
      </c>
      <c r="G58" s="2480"/>
      <c r="H58" s="2483" t="s">
        <v>2228</v>
      </c>
      <c r="I58" s="2484"/>
      <c r="J58" s="3121"/>
      <c r="K58" s="3121"/>
      <c r="L58" s="2485" t="s">
        <v>2229</v>
      </c>
      <c r="M58" s="1755"/>
      <c r="N58" s="2487" t="str">
        <f ca="1">NUMBERSTRING(INT(N57*10000),2)&amp;"元整"</f>
        <v>壹仟叁佰贰拾伍万元整</v>
      </c>
      <c r="O58" s="2488"/>
    </row>
    <row r="59" spans="1:35" ht="24.75" thickBot="1">
      <c r="A59" s="3124" t="s">
        <v>2230</v>
      </c>
      <c r="B59" s="3125"/>
      <c r="C59" s="3125"/>
      <c r="D59" s="188" t="str">
        <f>IF(H59="非个人房产","——",IF(H59="个人住宅",0,ROUND(D45*I59,0)))</f>
        <v>——</v>
      </c>
      <c r="E59" s="189" t="str">
        <f>IF(H59="非个人房产","——","销售额×税（费）率")</f>
        <v>——</v>
      </c>
      <c r="F59" s="190" t="str">
        <f>IF(H59="非个人房产","——",IF(H59="个人住宅","免征",I59))</f>
        <v>——</v>
      </c>
      <c r="G59" s="2489" t="s">
        <v>2223</v>
      </c>
      <c r="H59" s="2483" t="s">
        <v>2231</v>
      </c>
      <c r="I59" s="191">
        <v>0.01</v>
      </c>
      <c r="J59" s="3122">
        <f>J57+1</f>
        <v>5</v>
      </c>
      <c r="K59" s="3121" t="s">
        <v>2232</v>
      </c>
      <c r="L59" s="1806" t="s">
        <v>2226</v>
      </c>
      <c r="M59" s="1756"/>
      <c r="N59" s="1757">
        <f ca="1">M49-N57</f>
        <v>1013</v>
      </c>
      <c r="O59" s="2490"/>
    </row>
    <row r="60" spans="1:35" ht="12" customHeight="1">
      <c r="A60" s="2491"/>
      <c r="B60" s="2413"/>
      <c r="C60" s="2413"/>
      <c r="D60" s="2413"/>
      <c r="E60" s="2160"/>
      <c r="F60" s="2484"/>
      <c r="G60" s="2484"/>
      <c r="H60" s="2492"/>
      <c r="I60" s="138"/>
      <c r="J60" s="3123"/>
      <c r="K60" s="3121"/>
      <c r="L60" s="2485" t="s">
        <v>2229</v>
      </c>
      <c r="M60" s="1755"/>
      <c r="N60" s="2487" t="str">
        <f ca="1">NUMBERSTRING(INT(N59*10000),2)&amp;"元整"</f>
        <v>壹仟零壹拾叁万元整</v>
      </c>
      <c r="O60" s="2488"/>
    </row>
    <row r="61" spans="1:35" ht="13.5" thickBot="1">
      <c r="A61" s="3068" t="s">
        <v>2233</v>
      </c>
      <c r="B61" s="3068"/>
      <c r="C61" s="3068"/>
      <c r="D61" s="3068"/>
      <c r="E61" s="3068"/>
      <c r="F61" s="2484"/>
      <c r="G61" s="2484"/>
      <c r="H61" s="2492"/>
      <c r="I61" s="138"/>
      <c r="J61" s="1806">
        <f>J59+1</f>
        <v>6</v>
      </c>
      <c r="K61" s="3121" t="s">
        <v>2234</v>
      </c>
      <c r="L61" s="3121"/>
      <c r="M61" s="1758"/>
      <c r="N61" s="1759">
        <f ca="1">ROUND(N59*10000/'数据-汇总表'!E3,0)</f>
        <v>26658</v>
      </c>
      <c r="O61" s="2493"/>
    </row>
    <row r="62" spans="1:35" ht="12.75">
      <c r="A62" s="3084" t="s">
        <v>2235</v>
      </c>
      <c r="B62" s="3085"/>
      <c r="C62" s="1798"/>
      <c r="D62" s="1798" t="s">
        <v>2236</v>
      </c>
      <c r="E62" s="192" t="s">
        <v>2237</v>
      </c>
      <c r="F62" s="2484"/>
      <c r="G62" s="2484"/>
      <c r="H62" s="2492"/>
      <c r="I62" s="138"/>
    </row>
    <row r="63" spans="1:35" ht="12.75">
      <c r="A63" s="203" t="s">
        <v>775</v>
      </c>
      <c r="B63" s="193" t="s">
        <v>2238</v>
      </c>
      <c r="C63" s="194">
        <f ca="1">ROUND((C64+C65)/(1+'数据-取费表'!C42),0)</f>
        <v>2227</v>
      </c>
      <c r="D63" s="195"/>
      <c r="E63" s="196"/>
      <c r="F63" s="2484"/>
      <c r="G63" s="2484"/>
      <c r="H63" s="2492"/>
      <c r="I63" s="138"/>
      <c r="J63" s="3146" t="s">
        <v>2239</v>
      </c>
      <c r="K63" s="2494" t="s">
        <v>2240</v>
      </c>
      <c r="L63" s="1746">
        <f ca="1">IF(M49&gt;10000,M49*0.5%,IF(AND(M49&gt;1000,M49&lt;=10000),M49*1%,IF(AND(M49&gt;100,M49&lt;=1000),M49*3%,IF(AND(M49&gt;10,M49&lt;=100),M49*5%,M49*8%))))</f>
        <v>23.38</v>
      </c>
      <c r="M63" s="24">
        <f ca="1">ROUND(L63,1)</f>
        <v>23.4</v>
      </c>
      <c r="Z63" s="2418"/>
      <c r="AI63" s="2419"/>
    </row>
    <row r="64" spans="1:35" ht="14.25" customHeight="1">
      <c r="A64" s="197" t="s">
        <v>770</v>
      </c>
      <c r="B64" s="198" t="s">
        <v>2241</v>
      </c>
      <c r="C64" s="199">
        <f ca="1">D45</f>
        <v>2338</v>
      </c>
      <c r="D64" s="200" t="s">
        <v>32</v>
      </c>
      <c r="E64" s="201"/>
      <c r="F64" s="2484"/>
      <c r="G64" s="2484"/>
      <c r="H64" s="2492"/>
      <c r="I64" s="138"/>
      <c r="J64" s="3146"/>
      <c r="K64" s="2494" t="s">
        <v>2242</v>
      </c>
      <c r="L64" s="1746">
        <f ca="1">IF(M49&gt;2000,M49*0.5%,IF(AND(M49&gt;1000,M49&lt;=2000),M49*0.6%,IF(AND(M49&gt;500,M49&lt;=1000),M49*0.7%,IF(AND(M49&gt;200,M49&lt;=500),M49*0.8%,IF(AND(M49&gt;100,M49&lt;=200),M49*0.9%,IF(AND(M49&gt;50,M49&lt;=100),M49*1%,IF(AND(M49&gt;20,M49&lt;=50),M49*1.5%,IF(AND(M49&gt;10,M49&lt;=20),M49*2%,IF(AND(M49&gt;1,M49&lt;=10),M49*2.5%)))))))))</f>
        <v>11.69</v>
      </c>
      <c r="M64" s="24">
        <f t="shared" ref="M64:M65" ca="1" si="1">ROUND(L64,1)</f>
        <v>11.7</v>
      </c>
      <c r="N64" s="138" t="s">
        <v>2243</v>
      </c>
      <c r="Z64" s="2418"/>
      <c r="AI64" s="2419"/>
    </row>
    <row r="65" spans="1:35" ht="14.25" customHeight="1">
      <c r="A65" s="197" t="s">
        <v>771</v>
      </c>
      <c r="B65" s="198" t="s">
        <v>2244</v>
      </c>
      <c r="C65" s="202"/>
      <c r="D65" s="200"/>
      <c r="E65" s="201"/>
      <c r="F65" s="2484"/>
      <c r="G65" s="2484"/>
      <c r="H65" s="2492"/>
      <c r="I65" s="138"/>
      <c r="J65" s="3146"/>
      <c r="K65" s="2494" t="s">
        <v>2245</v>
      </c>
      <c r="L65" s="1746">
        <f ca="1">IF(M49&gt;1000,M49*0.1%,IF(AND(M49&gt;500,M49&lt;=1000),M49*0.5%,IF(AND(M49&gt;50,M49&lt;=500),M49*1%,IF(AND(M49&gt;1,M49&lt;=50),M49*1.5%))))</f>
        <v>2.3380000000000001</v>
      </c>
      <c r="M65" s="24">
        <f t="shared" ca="1" si="1"/>
        <v>2.2999999999999998</v>
      </c>
      <c r="N65" s="138" t="s">
        <v>2243</v>
      </c>
      <c r="Z65" s="2418"/>
      <c r="AI65" s="2419"/>
    </row>
    <row r="66" spans="1:35" ht="14.25" customHeight="1">
      <c r="A66" s="203" t="s">
        <v>772</v>
      </c>
      <c r="B66" s="204" t="s">
        <v>2246</v>
      </c>
      <c r="C66" s="205"/>
      <c r="D66" s="206" t="s">
        <v>32</v>
      </c>
      <c r="E66" s="1770" t="s">
        <v>1367</v>
      </c>
      <c r="F66" s="2484"/>
      <c r="G66" s="2484"/>
      <c r="H66" s="2492"/>
      <c r="I66" s="138"/>
      <c r="J66" s="3146"/>
      <c r="K66" s="2494" t="s">
        <v>2247</v>
      </c>
      <c r="L66" s="1746">
        <f ca="1">M49*0.5%</f>
        <v>11.69</v>
      </c>
      <c r="M66" s="24">
        <f ca="1">IF(L66&gt;0.5,0.5,ROUND(L66,0))</f>
        <v>0.5</v>
      </c>
      <c r="N66" s="138" t="s">
        <v>2248</v>
      </c>
      <c r="Z66" s="2418"/>
      <c r="AI66" s="2419"/>
    </row>
    <row r="67" spans="1:35" ht="14.25" customHeight="1">
      <c r="A67" s="203" t="s">
        <v>773</v>
      </c>
      <c r="B67" s="204" t="s">
        <v>2249</v>
      </c>
      <c r="C67" s="207">
        <f ca="1">C63-C66</f>
        <v>2227</v>
      </c>
      <c r="D67" s="200" t="s">
        <v>32</v>
      </c>
      <c r="E67" s="201"/>
      <c r="F67" s="2484"/>
      <c r="G67" s="2484"/>
      <c r="H67" s="2492"/>
      <c r="I67" s="138"/>
      <c r="J67" s="3146"/>
      <c r="K67" s="2494" t="s">
        <v>2250</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customHeight="1" thickBot="1">
      <c r="A68" s="208" t="s">
        <v>774</v>
      </c>
      <c r="B68" s="209" t="s">
        <v>2251</v>
      </c>
      <c r="C68" s="210">
        <f ca="1">IF(C67&lt;=0,0,ROUND(C67*D68,0))</f>
        <v>125</v>
      </c>
      <c r="D68" s="211">
        <f>'数据-取费表'!B41</f>
        <v>5.6000000000000001E-2</v>
      </c>
      <c r="E68" s="212"/>
      <c r="F68" s="2484"/>
      <c r="G68" s="2484"/>
      <c r="H68" s="2492"/>
      <c r="I68" s="138"/>
      <c r="J68" s="3146"/>
      <c r="K68" s="2494" t="s">
        <v>2252</v>
      </c>
      <c r="L68" s="1746">
        <f ca="1">IF(M49&gt;10000,M49*0.5%,IF(AND(M49&gt;5000,M49&lt;=10000),M49*1%,IF(AND(M49&gt;1000,M49&lt;=5000),M49*2%,IF(AND(M49&gt;200,M49&lt;=1000),M49*3%,M49*5%))))</f>
        <v>46.76</v>
      </c>
      <c r="M68" s="24">
        <f ca="1">ROUND(L68,1)</f>
        <v>46.8</v>
      </c>
      <c r="Z68" s="2418"/>
      <c r="AI68" s="2419"/>
    </row>
    <row r="69" spans="1:35" s="2441" customFormat="1" ht="16.5" customHeight="1">
      <c r="A69" s="2495"/>
      <c r="B69" s="2496"/>
      <c r="C69" s="2497"/>
      <c r="D69" s="2498"/>
      <c r="E69" s="2499"/>
      <c r="F69" s="2160"/>
      <c r="G69" s="2160"/>
      <c r="H69" s="2159"/>
      <c r="I69" s="2413"/>
      <c r="J69" s="3146"/>
      <c r="K69" s="2494" t="s">
        <v>2253</v>
      </c>
      <c r="L69" s="2500"/>
      <c r="M69" s="24">
        <f ca="1">ROUND(SUM(M63:M68),0)</f>
        <v>87</v>
      </c>
      <c r="N69" s="1747">
        <f ca="1">M69/M49</f>
        <v>3.7211291702309669E-2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05" t="s">
        <v>2254</v>
      </c>
      <c r="B70" s="3106"/>
      <c r="C70" s="3106"/>
      <c r="D70" s="3106"/>
      <c r="E70" s="3106"/>
      <c r="F70" s="3106"/>
      <c r="G70" s="3106"/>
      <c r="H70" s="310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84" t="s">
        <v>2235</v>
      </c>
      <c r="B71" s="3085"/>
      <c r="C71" s="1798"/>
      <c r="D71" s="1798" t="s">
        <v>2236</v>
      </c>
      <c r="E71" s="213" t="s">
        <v>2237</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2255</v>
      </c>
      <c r="C72" s="207">
        <f ca="1">ROUND(D45/(1+'数据-取费表'!C42),0)</f>
        <v>2227</v>
      </c>
      <c r="D72" s="200" t="s">
        <v>32</v>
      </c>
      <c r="E72" s="1797"/>
      <c r="F72" s="1791"/>
      <c r="G72" s="1791"/>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2256</v>
      </c>
      <c r="C73" s="207">
        <f ca="1">C74+C78</f>
        <v>13</v>
      </c>
      <c r="D73" s="200" t="s">
        <v>32</v>
      </c>
      <c r="E73" s="1797"/>
      <c r="F73" s="1791"/>
      <c r="G73" s="1791"/>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2257</v>
      </c>
      <c r="C74" s="200">
        <f>ROUND(IF(G77="2016年5月1日后购买",C75/(1+'数据-取费表'!C42)+C76+C77,C75+C76+C77),0)</f>
        <v>0</v>
      </c>
      <c r="D74" s="200" t="s">
        <v>32</v>
      </c>
      <c r="E74" s="1797"/>
      <c r="F74" s="1791"/>
      <c r="G74" s="1791"/>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2258</v>
      </c>
      <c r="C75" s="218"/>
      <c r="D75" s="200" t="s">
        <v>32</v>
      </c>
      <c r="E75" s="219" t="s">
        <v>2259</v>
      </c>
      <c r="F75" s="2506" t="s">
        <v>2260</v>
      </c>
      <c r="G75" s="219" t="s">
        <v>2261</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2262</v>
      </c>
      <c r="C76" s="200">
        <f>IF(F75="购房发票",ROUND(C75*H75*D76,0),0)</f>
        <v>0</v>
      </c>
      <c r="D76" s="222">
        <v>0.05</v>
      </c>
      <c r="E76" s="3079" t="s">
        <v>2263</v>
      </c>
      <c r="F76" s="3056"/>
      <c r="G76" s="3056"/>
      <c r="H76" s="310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8" t="s">
        <v>2266</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2267</v>
      </c>
      <c r="C78" s="225">
        <f ca="1">ROUND(D45*D78/(1+'数据-取费表'!C42),0)</f>
        <v>13</v>
      </c>
      <c r="D78" s="226">
        <f>'数据-取费表'!B43</f>
        <v>6.000000000000001E-3</v>
      </c>
      <c r="E78" s="3065" t="s">
        <v>2268</v>
      </c>
      <c r="F78" s="3066"/>
      <c r="G78" s="3066"/>
      <c r="H78" s="307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2269</v>
      </c>
      <c r="C79" s="207">
        <f ca="1">C72-C73</f>
        <v>2214</v>
      </c>
      <c r="D79" s="200" t="s">
        <v>32</v>
      </c>
      <c r="E79" s="1797"/>
      <c r="F79" s="1791"/>
      <c r="G79" s="1791"/>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2270</v>
      </c>
      <c r="C80" s="227">
        <f ca="1">IF(C79&lt;=0,0,C79/C73)</f>
        <v>170.30769230769232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2271</v>
      </c>
      <c r="C81" s="228">
        <f ca="1">ROUND(IF(C79&lt;=0,0,IF(C80&gt;=200%,C79*60%-C73*35%,IF(C80&gt;=100%,C79*50%-C73*15%,IF(C80&gt;=50%,C79*40%-C73*5%,IF(C80&lt;50%,C79*30%,0))))),0)</f>
        <v>1324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05" t="s">
        <v>2272</v>
      </c>
      <c r="B83" s="3106"/>
      <c r="C83" s="3106"/>
      <c r="D83" s="3106"/>
      <c r="E83" s="3106"/>
      <c r="F83" s="3106"/>
      <c r="G83" s="3106"/>
      <c r="H83" s="310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84" t="s">
        <v>2235</v>
      </c>
      <c r="B84" s="3085"/>
      <c r="C84" s="1798"/>
      <c r="D84" s="1798" t="s">
        <v>2236</v>
      </c>
      <c r="E84" s="213" t="s">
        <v>2237</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2255</v>
      </c>
      <c r="C85" s="207">
        <f ca="1">ROUND(D45/(1+'数据-取费表'!C42),0)</f>
        <v>2227</v>
      </c>
      <c r="D85" s="200" t="s">
        <v>32</v>
      </c>
      <c r="E85" s="1797"/>
      <c r="F85" s="1791"/>
      <c r="G85" s="1791"/>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2256</v>
      </c>
      <c r="C86" s="207">
        <f ca="1">IF(H88="仅含出让金",C87+C90+C91+C92+C93+C94,C87+C91+C92+C93+C94)</f>
        <v>13</v>
      </c>
      <c r="D86" s="235"/>
      <c r="E86" s="1797"/>
      <c r="F86" s="1791"/>
      <c r="G86" s="1791"/>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2273</v>
      </c>
      <c r="C87" s="225">
        <f>C88+C89</f>
        <v>0</v>
      </c>
      <c r="D87" s="226"/>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2274</v>
      </c>
      <c r="C88" s="236"/>
      <c r="D88" s="226"/>
      <c r="E88" s="237" t="s">
        <v>2275</v>
      </c>
      <c r="F88" s="1794"/>
      <c r="G88" s="238" t="s">
        <v>2276</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2264</v>
      </c>
      <c r="C89" s="225">
        <f>ROUND(C88*D89,0)</f>
        <v>0</v>
      </c>
      <c r="D89" s="226">
        <f>'数据-取费表'!B48+'数据-取费表'!B49</f>
        <v>3.0499999999999999E-2</v>
      </c>
      <c r="E89" s="237" t="s">
        <v>2277</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2278</v>
      </c>
      <c r="C90" s="236"/>
      <c r="D90" s="226"/>
      <c r="E90" s="237"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2279</v>
      </c>
      <c r="B91" s="198" t="s">
        <v>2280</v>
      </c>
      <c r="C91" s="225">
        <f>IF(H91="——",成本法!C33,I91)</f>
        <v>0</v>
      </c>
      <c r="D91" s="226"/>
      <c r="E91" s="3065" t="s">
        <v>2281</v>
      </c>
      <c r="F91" s="3066"/>
      <c r="G91" s="3066"/>
      <c r="H91" s="2513" t="s">
        <v>2282</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2283</v>
      </c>
      <c r="B92" s="198" t="s">
        <v>2284</v>
      </c>
      <c r="C92" s="225">
        <f>ROUND((C87+C90+C91)*D92,0)</f>
        <v>0</v>
      </c>
      <c r="D92" s="226">
        <v>0.1</v>
      </c>
      <c r="E92" s="3065" t="s">
        <v>2285</v>
      </c>
      <c r="F92" s="3066"/>
      <c r="G92" s="3066"/>
      <c r="H92" s="307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2286</v>
      </c>
      <c r="B93" s="198" t="s">
        <v>2267</v>
      </c>
      <c r="C93" s="225">
        <f ca="1">ROUND(D45*D93/(1+'数据-取费表'!C42),0)</f>
        <v>13</v>
      </c>
      <c r="D93" s="226">
        <f>'数据-取费表'!B43</f>
        <v>6.000000000000001E-3</v>
      </c>
      <c r="E93" s="3065" t="s">
        <v>2268</v>
      </c>
      <c r="F93" s="3066"/>
      <c r="G93" s="3066"/>
      <c r="H93" s="307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2287</v>
      </c>
      <c r="B94" s="198" t="s">
        <v>2288</v>
      </c>
      <c r="C94" s="236">
        <f>ROUND((C87+C90+C91)*D94,0)</f>
        <v>0</v>
      </c>
      <c r="D94" s="226">
        <v>0.2</v>
      </c>
      <c r="E94" s="3076" t="s">
        <v>2289</v>
      </c>
      <c r="F94" s="3077"/>
      <c r="G94" s="3077"/>
      <c r="H94" s="3078"/>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2269</v>
      </c>
      <c r="C95" s="207">
        <f ca="1">ROUND(C85-C86,0)</f>
        <v>2214</v>
      </c>
      <c r="D95" s="200" t="s">
        <v>32</v>
      </c>
      <c r="E95" s="1797"/>
      <c r="F95" s="1791"/>
      <c r="G95" s="1791"/>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2270</v>
      </c>
      <c r="C96" s="227">
        <f ca="1">IF(C95&lt;=0,0,C95/C86)</f>
        <v>170.30769230769232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2271</v>
      </c>
      <c r="C97" s="228">
        <f ca="1">ROUND(IF(C95&lt;=0,0,IF(C96&gt;=200%,C95*60%-C86*35%,IF(C96&gt;=100%,C95*50%-C86*15%,IF(C96&gt;=50%,C95*40%-C86*5%,IF(C96&lt;50%,C95*30%,0))))),0)</f>
        <v>1324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2290</v>
      </c>
      <c r="B99" s="2413"/>
      <c r="C99" s="2413"/>
      <c r="D99" s="2413"/>
      <c r="E99" s="2160"/>
      <c r="F99" s="2160"/>
      <c r="G99" s="2160"/>
      <c r="H99" s="2159"/>
      <c r="I99" s="138"/>
    </row>
    <row r="100" spans="1:35" ht="18.75" customHeight="1">
      <c r="A100" s="3050" t="s">
        <v>2291</v>
      </c>
      <c r="B100" s="3051"/>
      <c r="C100" s="3051"/>
      <c r="D100" s="3067"/>
      <c r="E100" s="3051" t="s">
        <v>2292</v>
      </c>
      <c r="F100" s="3051"/>
      <c r="G100" s="3051"/>
      <c r="H100" s="3067"/>
      <c r="I100" s="138"/>
    </row>
    <row r="101" spans="1:35" ht="18.75" customHeight="1">
      <c r="A101" s="3129" t="s">
        <v>2293</v>
      </c>
      <c r="B101" s="3130"/>
      <c r="C101" s="734" t="str">
        <f>C4</f>
        <v>收益法</v>
      </c>
      <c r="D101" s="735" t="str">
        <f>D4</f>
        <v>比较法-办公</v>
      </c>
      <c r="E101" s="3143" t="s">
        <v>2294</v>
      </c>
      <c r="F101" s="3097"/>
      <c r="G101" s="2515" t="s">
        <v>2295</v>
      </c>
      <c r="H101" s="1043">
        <f ca="1">H118</f>
        <v>2338</v>
      </c>
      <c r="I101" s="138"/>
    </row>
    <row r="102" spans="1:35" ht="18.75" customHeight="1">
      <c r="A102" s="3099" t="s">
        <v>2296</v>
      </c>
      <c r="B102" s="2515" t="s">
        <v>2295</v>
      </c>
      <c r="C102" s="734">
        <f ca="1">C19</f>
        <v>2187</v>
      </c>
      <c r="D102" s="735">
        <f ca="1">D19</f>
        <v>2489</v>
      </c>
      <c r="E102" s="3143"/>
      <c r="F102" s="3097"/>
      <c r="G102" s="2515" t="s">
        <v>2297</v>
      </c>
      <c r="H102" s="371">
        <f ca="1">I118</f>
        <v>61526</v>
      </c>
      <c r="I102" s="138"/>
    </row>
    <row r="103" spans="1:35" ht="42.75" customHeight="1">
      <c r="A103" s="3099"/>
      <c r="B103" s="2515" t="s">
        <v>2297</v>
      </c>
      <c r="C103" s="736">
        <f ca="1">C20</f>
        <v>57553</v>
      </c>
      <c r="D103" s="737">
        <f ca="1">D20</f>
        <v>65496</v>
      </c>
      <c r="E103" s="3138" t="s">
        <v>2298</v>
      </c>
      <c r="F103" s="3139"/>
      <c r="G103" s="2516" t="s">
        <v>2299</v>
      </c>
      <c r="H103" s="1043">
        <f>IF(D36="正常操作",H104+H105+H106,H105+H106)</f>
        <v>0</v>
      </c>
      <c r="I103" s="138"/>
    </row>
    <row r="104" spans="1:35" ht="18.75" customHeight="1">
      <c r="A104" s="3099" t="s">
        <v>2300</v>
      </c>
      <c r="B104" s="2517" t="s">
        <v>2295</v>
      </c>
      <c r="C104" s="738">
        <f ca="1">H118</f>
        <v>2338</v>
      </c>
      <c r="D104" s="739"/>
      <c r="E104" s="2261" t="s">
        <v>2301</v>
      </c>
      <c r="F104" s="2252"/>
      <c r="G104" s="2516" t="s">
        <v>2299</v>
      </c>
      <c r="H104" s="1044">
        <f>IF(D36="同一抵押权人同一抵押物续贷",C36&amp;"（未扣减，详见特别提示）",C36)</f>
        <v>0</v>
      </c>
      <c r="I104" s="138"/>
    </row>
    <row r="105" spans="1:35" ht="18.75" customHeight="1" thickBot="1">
      <c r="A105" s="3100"/>
      <c r="B105" s="2518" t="s">
        <v>2297</v>
      </c>
      <c r="C105" s="740">
        <f ca="1">I118</f>
        <v>61526</v>
      </c>
      <c r="D105" s="741"/>
      <c r="E105" s="2261" t="s">
        <v>2302</v>
      </c>
      <c r="F105" s="2252"/>
      <c r="G105" s="2516" t="s">
        <v>2299</v>
      </c>
      <c r="H105" s="1044">
        <f>C37</f>
        <v>0</v>
      </c>
      <c r="I105" s="138"/>
    </row>
    <row r="106" spans="1:35" ht="18.75" customHeight="1">
      <c r="A106" s="2413" t="s">
        <v>2303</v>
      </c>
      <c r="B106" s="2413"/>
      <c r="C106" s="2413"/>
      <c r="D106" s="2413"/>
      <c r="E106" s="2519" t="s">
        <v>2304</v>
      </c>
      <c r="F106" s="2252"/>
      <c r="G106" s="2516" t="s">
        <v>2299</v>
      </c>
      <c r="H106" s="1044">
        <f>C38</f>
        <v>0</v>
      </c>
      <c r="I106" s="138"/>
    </row>
    <row r="107" spans="1:35" ht="18.75" customHeight="1">
      <c r="A107" s="138"/>
      <c r="B107" s="138"/>
      <c r="C107" s="138"/>
      <c r="D107" s="138"/>
      <c r="E107" s="3096" t="str">
        <f>IF(项目基本情况!E8="已注销","——","3.房地产抵押价值")</f>
        <v>3.房地产抵押价值</v>
      </c>
      <c r="F107" s="3097"/>
      <c r="G107" s="2515" t="s">
        <v>2295</v>
      </c>
      <c r="H107" s="1043">
        <f ca="1">IF(E107="——","——",H101-H103)</f>
        <v>2338</v>
      </c>
      <c r="I107" s="138"/>
    </row>
    <row r="108" spans="1:35" ht="18.75" customHeight="1">
      <c r="A108" s="138"/>
      <c r="B108" s="138"/>
      <c r="C108" s="138"/>
      <c r="D108" s="138"/>
      <c r="E108" s="3096"/>
      <c r="F108" s="3097"/>
      <c r="G108" s="2515" t="s">
        <v>2297</v>
      </c>
      <c r="H108" s="371">
        <f ca="1">ROUND(H107*10000/'数据-汇总表'!E3,0)</f>
        <v>61526</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4.抵押担保权已注销时的房地产抵押价值</v>
      </c>
      <c r="F109" s="3097"/>
      <c r="G109" s="2515" t="s">
        <v>2295</v>
      </c>
      <c r="H109" s="348">
        <f ca="1">IF(E109="——","——",H101-H105-H106)</f>
        <v>2338</v>
      </c>
      <c r="I109" s="138"/>
    </row>
    <row r="110" spans="1:35" ht="18.75" customHeight="1">
      <c r="A110" s="138"/>
      <c r="B110" s="138"/>
      <c r="C110" s="138"/>
      <c r="D110" s="138"/>
      <c r="E110" s="3096"/>
      <c r="F110" s="3097"/>
      <c r="G110" s="2515" t="s">
        <v>2297</v>
      </c>
      <c r="H110" s="371">
        <f ca="1">IF(H109="——","——",ROUND(H109*10000/'数据-汇总表'!E3,0))</f>
        <v>61526</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15" t="s">
        <v>2295</v>
      </c>
      <c r="H111" s="1043" t="str">
        <f>IF(E111="——","——",N59)</f>
        <v>——</v>
      </c>
      <c r="I111" s="138"/>
    </row>
    <row r="112" spans="1:35" ht="18.75" customHeight="1" thickBot="1">
      <c r="A112" s="138"/>
      <c r="B112" s="138"/>
      <c r="C112" s="138"/>
      <c r="D112" s="138"/>
      <c r="E112" s="3133"/>
      <c r="F112" s="3134"/>
      <c r="G112" s="2520" t="s">
        <v>2297</v>
      </c>
      <c r="H112" s="788" t="str">
        <f>IF(E111="——","——",N61)</f>
        <v>——</v>
      </c>
      <c r="I112" s="138"/>
    </row>
    <row r="113" spans="1:11" ht="18.75" customHeight="1">
      <c r="A113" s="138"/>
      <c r="B113" s="138"/>
      <c r="C113" s="138"/>
      <c r="D113" s="138"/>
      <c r="E113" s="3101" t="s">
        <v>2303</v>
      </c>
      <c r="F113" s="3101"/>
      <c r="G113" s="3101"/>
      <c r="H113" s="3101"/>
      <c r="I113" s="138"/>
    </row>
    <row r="114" spans="1:11" ht="3.75" customHeight="1">
      <c r="A114" s="2413"/>
      <c r="B114" s="2413"/>
      <c r="C114" s="2413"/>
      <c r="D114" s="2413"/>
      <c r="E114" s="2491"/>
      <c r="F114" s="2491"/>
      <c r="G114" s="2491"/>
      <c r="H114" s="2491"/>
      <c r="I114" s="2413"/>
    </row>
    <row r="115" spans="1:11" ht="18.75" customHeight="1">
      <c r="A115" s="3114" t="s">
        <v>2305</v>
      </c>
      <c r="B115" s="3115"/>
      <c r="C115" s="3115"/>
      <c r="D115" s="3115"/>
      <c r="E115" s="3115"/>
      <c r="F115" s="3115"/>
      <c r="G115" s="3115"/>
      <c r="H115" s="3115"/>
      <c r="I115" s="3116"/>
    </row>
    <row r="116" spans="1:11" ht="27" customHeight="1">
      <c r="A116" s="3006" t="s">
        <v>2306</v>
      </c>
      <c r="B116" s="3102" t="s">
        <v>2307</v>
      </c>
      <c r="C116" s="3102" t="s">
        <v>2308</v>
      </c>
      <c r="D116" s="3118" t="s">
        <v>2309</v>
      </c>
      <c r="E116" s="3119"/>
      <c r="F116" s="3110" t="s">
        <v>2310</v>
      </c>
      <c r="G116" s="3110"/>
      <c r="H116" s="3006" t="s">
        <v>2311</v>
      </c>
      <c r="I116" s="3006"/>
    </row>
    <row r="117" spans="1:11" ht="18.75" customHeight="1">
      <c r="A117" s="3006"/>
      <c r="B117" s="3103"/>
      <c r="C117" s="3103"/>
      <c r="D117" s="1792" t="s">
        <v>2312</v>
      </c>
      <c r="E117" s="1792" t="s">
        <v>2313</v>
      </c>
      <c r="F117" s="1792" t="s">
        <v>2312</v>
      </c>
      <c r="G117" s="1792" t="s">
        <v>2314</v>
      </c>
      <c r="H117" s="1792" t="s">
        <v>2312</v>
      </c>
      <c r="I117" s="1792" t="s">
        <v>2314</v>
      </c>
    </row>
    <row r="118" spans="1:11" ht="24.75" customHeight="1">
      <c r="A118" s="2521" t="str">
        <f>项目基本情况!S2</f>
        <v>北京市北京市丰台区丽泽路16号院2号楼3层301号等178套办公用房房地产出让国有建设用地使用权及在建建筑物房地产</v>
      </c>
      <c r="B118" s="1792">
        <f>M18</f>
        <v>380</v>
      </c>
      <c r="C118" s="1792">
        <f>M19</f>
        <v>0</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2338</v>
      </c>
      <c r="I118" s="1792">
        <f ca="1">ROUND(IF(D32="楼面单价",C32,H118*10000/B118),0)</f>
        <v>61526</v>
      </c>
    </row>
    <row r="119" spans="1:11" ht="18.75" customHeight="1">
      <c r="A119" s="3006" t="s">
        <v>2315</v>
      </c>
      <c r="B119" s="3006"/>
      <c r="C119" s="3006"/>
      <c r="D119" s="3107" t="e">
        <f ca="1">NUMBERSTRING(INT(D118*10000),2)&amp;"元整"</f>
        <v>#REF!</v>
      </c>
      <c r="E119" s="3109"/>
      <c r="F119" s="3107" t="e">
        <f ca="1">NUMBERSTRING(INT(F118*10000),2)&amp;"元整"</f>
        <v>#REF!</v>
      </c>
      <c r="G119" s="3109"/>
      <c r="H119" s="3107" t="str">
        <f ca="1">NUMBERSTRING(INT(H118*10000),2)&amp;"元整"</f>
        <v>贰仟叁佰叁拾捌万元整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18" t="str">
        <f>IF(D120=0,"故，本次评估不存在"&amp;A120,"故，本次评估"&amp;A120&amp;"为人民币"&amp;D120&amp;"万元整。")</f>
        <v>故，本次评估不存在估价师知悉的法定优先受偿款</v>
      </c>
    </row>
    <row r="121" spans="1:11" ht="18.75" customHeight="1">
      <c r="A121" s="3111" t="s">
        <v>2315</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2338</v>
      </c>
      <c r="E122" s="3136"/>
      <c r="F122" s="3136"/>
      <c r="G122" s="3136"/>
      <c r="H122" s="3136"/>
      <c r="I122" s="3137"/>
    </row>
    <row r="123" spans="1:11" ht="18.75" customHeight="1">
      <c r="A123" s="3006" t="s">
        <v>2315</v>
      </c>
      <c r="B123" s="3006"/>
      <c r="C123" s="3006"/>
      <c r="D123" s="3107" t="str">
        <f ca="1">NUMBERSTRING(INT(D122*10000),2)&amp;"元整"</f>
        <v>贰仟叁佰叁拾捌万元整</v>
      </c>
      <c r="E123" s="3108"/>
      <c r="F123" s="3108"/>
      <c r="G123" s="3108"/>
      <c r="H123" s="3108"/>
      <c r="I123" s="3109"/>
    </row>
    <row r="124" spans="1:11" ht="18.75" customHeight="1">
      <c r="A124" s="3098" t="str">
        <f>IF(项目基本情况!B9="房地产市场价值","",MID(E109,3,LEN(E109)-2))</f>
        <v>抵押担保权已注销时的房地产抵押价值</v>
      </c>
      <c r="B124" s="3098"/>
      <c r="C124" s="3098"/>
      <c r="D124" s="3135">
        <f ca="1">H109</f>
        <v>2338</v>
      </c>
      <c r="E124" s="3136"/>
      <c r="F124" s="3136"/>
      <c r="G124" s="3136"/>
      <c r="H124" s="3136"/>
      <c r="I124" s="3137"/>
    </row>
    <row r="125" spans="1:11" ht="18.75" customHeight="1">
      <c r="A125" s="3006" t="s">
        <v>2315</v>
      </c>
      <c r="B125" s="3006"/>
      <c r="C125" s="3006"/>
      <c r="D125" s="3107" t="str">
        <f ca="1">NUMBERSTRING(INT(D124*10000),2)&amp;"元整"</f>
        <v>贰仟叁佰叁拾捌万元整</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6" t="s">
        <v>2315</v>
      </c>
      <c r="B127" s="3006"/>
      <c r="C127" s="3006"/>
      <c r="D127" s="3107" t="e">
        <f>NUMBERSTRING(INT(D126*10000),2)&amp;"元整"</f>
        <v>#VALUE!</v>
      </c>
      <c r="E127" s="3108"/>
      <c r="F127" s="3108"/>
      <c r="G127" s="3108"/>
      <c r="H127" s="3108"/>
      <c r="I127" s="3109"/>
    </row>
    <row r="128" spans="1:11" ht="21.75" customHeight="1">
      <c r="A128" s="3117" t="s">
        <v>2316</v>
      </c>
      <c r="B128" s="3117"/>
      <c r="C128" s="3117"/>
      <c r="D128" s="3117"/>
      <c r="E128" s="3117"/>
      <c r="F128" s="3117"/>
      <c r="G128" s="3117"/>
      <c r="H128" s="3117"/>
      <c r="I128" s="3117"/>
    </row>
    <row r="129" spans="1:35" ht="21.75" customHeight="1">
      <c r="A129" s="2522" t="s">
        <v>2317</v>
      </c>
      <c r="B129" s="2523"/>
      <c r="C129" s="2524" t="s">
        <v>2318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2319</v>
      </c>
      <c r="G135" s="2539"/>
      <c r="H135" s="2539"/>
      <c r="I135" s="2540" t="s">
        <v>2320</v>
      </c>
    </row>
    <row r="136" spans="1:35" ht="21.75" customHeight="1">
      <c r="A136" s="793"/>
      <c r="B136" s="2541"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2322</v>
      </c>
    </row>
    <row r="139" spans="1:35" ht="21.75" customHeight="1">
      <c r="A139" s="793"/>
      <c r="B139" s="2541" t="s">
        <v>2323</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2322</v>
      </c>
    </row>
    <row r="142" spans="1:35" ht="21.75" customHeight="1">
      <c r="A142" s="793"/>
      <c r="B142" s="2541"/>
      <c r="C142" s="2542"/>
      <c r="D142" s="2543"/>
      <c r="E142" s="2543"/>
      <c r="F142" s="2335"/>
      <c r="G142" s="793"/>
      <c r="H142" s="793"/>
      <c r="I142" s="793"/>
    </row>
    <row r="143" spans="1:35" s="139" customFormat="1" ht="21.75" customHeight="1">
      <c r="A143" s="793"/>
      <c r="B143" s="2541"/>
      <c r="C143" s="2542"/>
      <c r="D143" s="2543"/>
      <c r="E143" s="2543"/>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2" t="str">
        <f>项目基本情况!B1</f>
        <v>北京市北京市丰台区丽泽路16号院2号楼3层301号等178套办公用房房地产出让国有建设用地使用权及在建建筑物房地产抵押价值预评估</v>
      </c>
      <c r="C37" s="2962"/>
      <c r="D37" s="2962"/>
      <c r="E37" s="2962"/>
      <c r="F37" s="2962"/>
      <c r="G37" s="2962"/>
      <c r="H37" s="2962"/>
      <c r="I37" s="2962"/>
    </row>
    <row r="38" spans="1:9">
      <c r="A38" s="1014"/>
      <c r="B38" s="1014"/>
    </row>
    <row r="39" spans="1:9">
      <c r="A39" s="1012" t="s">
        <v>818</v>
      </c>
      <c r="B39" s="1012" t="s">
        <v>820</v>
      </c>
    </row>
    <row r="40" spans="1:9">
      <c r="A40" s="1012"/>
      <c r="B40" s="1938" t="str">
        <f>项目基本情况!B5</f>
        <v>北京银鹤永泰商业管理有限公司</v>
      </c>
    </row>
    <row r="41" spans="1:9">
      <c r="A41" s="1012"/>
      <c r="B41" s="1012"/>
    </row>
    <row r="42" spans="1:9">
      <c r="A42" s="1012" t="s">
        <v>818</v>
      </c>
      <c r="B42" s="1012" t="s">
        <v>821</v>
      </c>
    </row>
    <row r="43" spans="1:9">
      <c r="A43" s="1012"/>
      <c r="B43" s="1938" t="s">
        <v>822</v>
      </c>
    </row>
    <row r="44" spans="1:9">
      <c r="A44" s="1012"/>
      <c r="B44" s="1012"/>
    </row>
    <row r="45" spans="1:9">
      <c r="A45" s="1012" t="s">
        <v>818</v>
      </c>
      <c r="B45" s="1012" t="s">
        <v>823</v>
      </c>
    </row>
    <row r="46" spans="1:9" s="1012" customFormat="1" ht="12.75">
      <c r="B46" s="1938" t="str">
        <f ca="1">项目基本情况!K4</f>
        <v>吴薇（注册号：1419970001)、郑燚（注册号：1120070131)</v>
      </c>
    </row>
    <row r="47" spans="1:9">
      <c r="A47" s="1012"/>
      <c r="B47" s="1012" t="str">
        <f>项目基本情况!K5</f>
        <v/>
      </c>
    </row>
    <row r="48" spans="1:9">
      <c r="A48" s="1012" t="s">
        <v>818</v>
      </c>
      <c r="B48" s="1012"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10" sqref="E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3"/>
      <c r="C1" s="242"/>
      <c r="D1" s="242"/>
      <c r="E1" s="242"/>
      <c r="F1" s="242"/>
      <c r="G1" s="1377">
        <f>MATCH(B1,'数据-取费表'!A6:A16,0)+5</f>
        <v>7</v>
      </c>
    </row>
    <row r="2" spans="1:9" s="244" customFormat="1" ht="18" customHeight="1">
      <c r="A2" s="245" t="s">
        <v>2325</v>
      </c>
      <c r="B2" s="246">
        <f ca="1">IF(D2="——",C52,C52-E2)</f>
        <v>273</v>
      </c>
      <c r="C2" s="243" t="s">
        <v>2326</v>
      </c>
      <c r="D2" s="2544" t="s">
        <v>70</v>
      </c>
      <c r="E2" s="1438" t="e">
        <f ca="1">SUMIF(INDIRECT("'"&amp;G2&amp;"'"&amp;"!A:A"),"承租人权益价值",INDIRECT("'"&amp;G2&amp;"'"&amp;"!c:c"))</f>
        <v>#REF!</v>
      </c>
      <c r="F2" s="2545" t="s">
        <v>2326</v>
      </c>
      <c r="G2" s="2546"/>
    </row>
    <row r="3" spans="1:9" s="244" customFormat="1" ht="18" customHeight="1" thickBot="1">
      <c r="A3" s="247" t="s">
        <v>2327</v>
      </c>
      <c r="B3" s="248">
        <f ca="1">ROUND(B2*10000/(IF(B1="",'数据-汇总表'!E3,INDIRECT("'数据-取费表'!k"&amp;$G$1))),0)</f>
        <v>7184</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47" t="s">
        <v>2335</v>
      </c>
      <c r="B6" s="259" t="s">
        <v>2336</v>
      </c>
      <c r="C6" s="260"/>
      <c r="D6" s="261"/>
      <c r="E6" s="262"/>
      <c r="F6" s="262"/>
      <c r="G6" s="263"/>
    </row>
    <row r="7" spans="1:9" s="258" customFormat="1" ht="13.5" customHeight="1">
      <c r="A7" s="947" t="s">
        <v>2337</v>
      </c>
      <c r="B7" s="259" t="s">
        <v>2338</v>
      </c>
      <c r="C7" s="264">
        <f>ROUND(C6*F7,0)</f>
        <v>0</v>
      </c>
      <c r="D7" s="264"/>
      <c r="E7" s="262"/>
      <c r="F7" s="265">
        <f>IF(项目基本情况!B8="出让",0,'数据-取费表'!B48+'数据-取费表'!B49)</f>
        <v>3.0499999999999999E-2</v>
      </c>
      <c r="G7" s="263"/>
    </row>
    <row r="8" spans="1:9" s="267" customFormat="1">
      <c r="A8" s="947" t="s">
        <v>2339</v>
      </c>
      <c r="B8" s="259" t="s">
        <v>2340</v>
      </c>
      <c r="C8" s="264">
        <f>IF(G8="已包含在土地购买价格中","0",IF(B1="",'数据-取费表'!B29,IF(G9="全部缴纳",C9+C10,H9)))</f>
        <v>0</v>
      </c>
      <c r="D8" s="266"/>
      <c r="E8" s="264"/>
      <c r="F8" s="265"/>
      <c r="G8" s="2547" t="s">
        <v>3309</v>
      </c>
    </row>
    <row r="9" spans="1:9" s="258" customFormat="1" ht="13.5" customHeight="1">
      <c r="A9" s="948" t="s">
        <v>800</v>
      </c>
      <c r="B9" s="268" t="s">
        <v>2341</v>
      </c>
      <c r="C9" s="269">
        <f ca="1">ROUND(D9*E9/10000,0)</f>
        <v>0</v>
      </c>
      <c r="D9" s="1030">
        <f ca="1">IF(B1="",'数据-汇总表'!E5,IF(INDIRECT("'数据-取费表'!c"&amp;$G$1)="住宅",INDIRECT("'数据-取费表'!k"&amp;$G$1),0))</f>
        <v>0</v>
      </c>
      <c r="E9" s="269">
        <f>'数据-取费表'!B27</f>
        <v>160</v>
      </c>
      <c r="F9" s="265"/>
      <c r="G9" s="2548"/>
      <c r="H9" s="1388"/>
      <c r="I9" s="2549" t="s">
        <v>2342</v>
      </c>
    </row>
    <row r="10" spans="1:9" s="258" customFormat="1" ht="13.5" customHeight="1">
      <c r="A10" s="948" t="s">
        <v>801</v>
      </c>
      <c r="B10" s="268" t="s">
        <v>2343</v>
      </c>
      <c r="C10" s="269">
        <f ca="1">ROUND(D10*E10/10000,0)</f>
        <v>8</v>
      </c>
      <c r="D10" s="1030">
        <f ca="1">IF(B1="",'数据-汇总表'!E6,IF(INDIRECT("'数据-取费表'!c"&amp;$G$1)="住宅",INDIRECT("'数据-取费表'!s"&amp;$G$1),INDIRECT("'数据-取费表'!k"&amp;$G$1)+INDIRECT("'数据-取费表'!s"&amp;$G$1)))</f>
        <v>380</v>
      </c>
      <c r="E10" s="269">
        <f>'数据-取费表'!B28</f>
        <v>200</v>
      </c>
      <c r="F10" s="265"/>
      <c r="G10" s="270"/>
    </row>
    <row r="11" spans="1:9" s="258" customFormat="1" ht="13.5" hidden="1" customHeight="1">
      <c r="A11" s="271" t="s">
        <v>7</v>
      </c>
      <c r="B11" s="259" t="s">
        <v>2344</v>
      </c>
      <c r="C11" s="255"/>
      <c r="D11" s="1032"/>
      <c r="E11" s="262"/>
      <c r="F11" s="262"/>
      <c r="G11" s="263"/>
    </row>
    <row r="12" spans="1:9" s="258" customFormat="1" ht="13.5" hidden="1" customHeight="1">
      <c r="A12" s="271" t="s">
        <v>8</v>
      </c>
      <c r="B12" s="259" t="s">
        <v>2345</v>
      </c>
      <c r="C12" s="255">
        <v>0</v>
      </c>
      <c r="D12" s="1032"/>
      <c r="E12" s="272"/>
      <c r="F12" s="265">
        <v>3.0499999999999999E-2</v>
      </c>
      <c r="G12" s="263"/>
    </row>
    <row r="13" spans="1:9" s="258" customFormat="1" ht="13.5" hidden="1" customHeight="1">
      <c r="A13" s="271" t="s">
        <v>9</v>
      </c>
      <c r="B13" s="259" t="s">
        <v>2346</v>
      </c>
      <c r="C13" s="255"/>
      <c r="D13" s="1032"/>
      <c r="E13" s="262"/>
      <c r="F13" s="262"/>
      <c r="G13" s="263"/>
    </row>
    <row r="14" spans="1:9" s="258" customFormat="1" ht="13.5" hidden="1" customHeight="1">
      <c r="A14" s="271" t="s">
        <v>10</v>
      </c>
      <c r="B14" s="259" t="s">
        <v>2347</v>
      </c>
      <c r="C14" s="255"/>
      <c r="D14" s="1032"/>
      <c r="E14" s="262"/>
      <c r="F14" s="262"/>
      <c r="G14" s="263" t="s">
        <v>2348</v>
      </c>
    </row>
    <row r="15" spans="1:9" s="258" customFormat="1" ht="13.5" hidden="1" customHeight="1">
      <c r="A15" s="271" t="s">
        <v>11</v>
      </c>
      <c r="B15" s="259" t="s">
        <v>2349</v>
      </c>
      <c r="C15" s="264"/>
      <c r="D15" s="1032"/>
      <c r="E15" s="262"/>
      <c r="F15" s="262"/>
      <c r="G15" s="263" t="s">
        <v>2350</v>
      </c>
    </row>
    <row r="16" spans="1:9" s="258" customFormat="1" ht="13.5" hidden="1" customHeight="1">
      <c r="A16" s="271" t="s">
        <v>12</v>
      </c>
      <c r="B16" s="259" t="s">
        <v>2347</v>
      </c>
      <c r="C16" s="264"/>
      <c r="D16" s="1032"/>
      <c r="E16" s="262"/>
      <c r="F16" s="262"/>
      <c r="G16" s="263"/>
    </row>
    <row r="17" spans="1:7" s="258" customFormat="1" ht="13.5" hidden="1" customHeight="1">
      <c r="A17" s="271" t="s">
        <v>13</v>
      </c>
      <c r="B17" s="259" t="s">
        <v>2351</v>
      </c>
      <c r="C17" s="273"/>
      <c r="D17" s="1033"/>
      <c r="E17" s="273"/>
      <c r="F17" s="273"/>
      <c r="G17" s="263" t="s">
        <v>2350</v>
      </c>
    </row>
    <row r="18" spans="1:7" s="258" customFormat="1" ht="13.5" hidden="1" customHeight="1">
      <c r="A18" s="271" t="s">
        <v>14</v>
      </c>
      <c r="B18" s="259" t="s">
        <v>2352</v>
      </c>
      <c r="C18" s="264">
        <v>0</v>
      </c>
      <c r="D18" s="1032"/>
      <c r="E18" s="262"/>
      <c r="F18" s="265">
        <v>3.0499999999999999E-2</v>
      </c>
      <c r="G18" s="263" t="s">
        <v>2353</v>
      </c>
    </row>
    <row r="19" spans="1:7" s="267" customFormat="1" ht="13.5" customHeight="1">
      <c r="A19" s="299" t="s">
        <v>2354</v>
      </c>
      <c r="B19" s="254" t="s">
        <v>2355</v>
      </c>
      <c r="C19" s="255">
        <f ca="1">IF(G19="已包含在土地取得成本中","0",ROUND(D19*E19/10000,0))</f>
        <v>8</v>
      </c>
      <c r="D19" s="1034">
        <f ca="1">D9+D10</f>
        <v>380</v>
      </c>
      <c r="E19" s="255">
        <f>'数据-取费表'!B31</f>
        <v>200</v>
      </c>
      <c r="F19" s="275"/>
      <c r="G19" s="2547"/>
    </row>
    <row r="20" spans="1:7" s="258" customFormat="1" ht="13.5" customHeight="1">
      <c r="A20" s="299" t="s">
        <v>2356</v>
      </c>
      <c r="B20" s="254" t="s">
        <v>2357</v>
      </c>
      <c r="C20" s="276">
        <f ca="1">ROUND((C5+C19)*F20,0)</f>
        <v>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2">
        <f ca="1">ROUND(SUM(C23:C25),0)</f>
        <v>1</v>
      </c>
      <c r="D22" s="279">
        <f ca="1">C26</f>
        <v>1E-3</v>
      </c>
      <c r="E22" s="280" t="s">
        <v>2361</v>
      </c>
      <c r="F22" s="281">
        <f ca="1">'数据-取费表'!B40</f>
        <v>4.7500000000000001E-2</v>
      </c>
      <c r="G22" s="278" t="str">
        <f>IF('数据-取费表'!B22&lt;=1,"单利计息","复利计息")</f>
        <v>复利计息</v>
      </c>
    </row>
    <row r="23" spans="1:7" s="258" customFormat="1" ht="13.5" customHeight="1">
      <c r="A23" s="949" t="s">
        <v>2365</v>
      </c>
      <c r="B23" s="259" t="s">
        <v>2366</v>
      </c>
      <c r="C23" s="1353">
        <f ca="1">ROUND(IF('数据-取费表'!B22&lt;=1,C5*F22*'数据-取费表'!B23,C5*(POWER((1+F22),'数据-取费表'!B23)-1)),0)</f>
        <v>0</v>
      </c>
      <c r="D23" s="282"/>
      <c r="E23" s="282"/>
      <c r="F23" s="283"/>
      <c r="G23" s="284" t="s">
        <v>2367</v>
      </c>
    </row>
    <row r="24" spans="1:7" s="258" customFormat="1" ht="13.5" customHeight="1">
      <c r="A24" s="949" t="s">
        <v>2368</v>
      </c>
      <c r="B24" s="259" t="s">
        <v>2369</v>
      </c>
      <c r="C24" s="1353">
        <f ca="1">ROUND(IF('数据-取费表'!B22&lt;=1,C19*F22*('数据-取费表'!B19/2+'数据-取费表'!B21),C19*(POWER((1+F22),('数据-取费表'!B19/2+'数据-取费表'!B21))-1)),0)</f>
        <v>1</v>
      </c>
      <c r="D24" s="282"/>
      <c r="E24" s="282"/>
      <c r="F24" s="283"/>
      <c r="G24" s="284" t="s">
        <v>2370</v>
      </c>
    </row>
    <row r="25" spans="1:7" s="258" customFormat="1" ht="24">
      <c r="A25" s="949" t="s">
        <v>2371</v>
      </c>
      <c r="B25" s="259" t="s">
        <v>2372</v>
      </c>
      <c r="C25" s="1353">
        <f ca="1">ROUND(IF('数据-取费表'!B22&lt;=1,C20*F22*'数据-取费表'!B23/2,C20*(POWER((1+F22),'数据-取费表'!B23/2)-1)),0)</f>
        <v>0</v>
      </c>
      <c r="D25" s="282"/>
      <c r="E25" s="285"/>
      <c r="F25" s="283"/>
      <c r="G25" s="286" t="s">
        <v>2373</v>
      </c>
    </row>
    <row r="26" spans="1:7" s="258" customFormat="1">
      <c r="A26" s="949"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2</v>
      </c>
      <c r="D27" s="279">
        <f ca="1">C29</f>
        <v>5.0000000000000001E-3</v>
      </c>
      <c r="E27" s="280" t="s">
        <v>2377</v>
      </c>
      <c r="F27" s="290">
        <f ca="1">IF(B1="",'数据-取费表'!Q16,INDIRECT("'数据-取费表'!q"&amp;$G$1))</f>
        <v>0.25</v>
      </c>
      <c r="G27" s="291" t="s">
        <v>2378</v>
      </c>
    </row>
    <row r="28" spans="1:7" s="258" customFormat="1" ht="13.5" customHeight="1">
      <c r="A28" s="949" t="s">
        <v>791</v>
      </c>
      <c r="B28" s="292" t="s">
        <v>2379</v>
      </c>
      <c r="C28" s="293">
        <f ca="1">ROUND((C5+C19+C20)*F27*'数据-取费表'!B21/'数据-取费表'!B20,0)</f>
        <v>2</v>
      </c>
      <c r="D28" s="279"/>
      <c r="E28" s="280"/>
      <c r="F28" s="290"/>
      <c r="G28" s="291"/>
    </row>
    <row r="29" spans="1:7" s="258" customFormat="1" ht="13.5" customHeight="1">
      <c r="A29" s="949"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187</v>
      </c>
      <c r="D33" s="276"/>
      <c r="E33" s="256"/>
      <c r="F33" s="285"/>
      <c r="G33" s="278"/>
    </row>
    <row r="34" spans="1:7" s="302" customFormat="1" ht="13.5" customHeight="1">
      <c r="A34" s="949" t="s">
        <v>791</v>
      </c>
      <c r="B34" s="259" t="s">
        <v>2388</v>
      </c>
      <c r="C34" s="264">
        <f ca="1">IF(B1="",IF(F34=100%,'数据-取费表'!M16,'数据-取费表'!O16),IF(F34=100%,INDIRECT("'数据-取费表'!m"&amp;$G$1)+INDIRECT("'数据-取费表'!t"&amp;$G$1),INDIRECT("'数据-取费表'!o"&amp;$G$1)+INDIRECT("'数据-取费表'!aq"&amp;$G$1)))</f>
        <v>171</v>
      </c>
      <c r="D34" s="261"/>
      <c r="E34" s="264"/>
      <c r="F34" s="301">
        <f ca="1">IF('数据-取费表'!B24=0,1,IF(B1="",'数据-取费表'!N16,INDIRECT("'数据-取费表'!n"&amp;$G$1)))</f>
        <v>1</v>
      </c>
      <c r="G34" s="263" t="s">
        <v>2389</v>
      </c>
    </row>
    <row r="35" spans="1:7" ht="13.5" customHeight="1">
      <c r="A35" s="949" t="s">
        <v>796</v>
      </c>
      <c r="B35" s="259" t="s">
        <v>2390</v>
      </c>
      <c r="C35" s="264">
        <f ca="1">ROUND(C34*F35,0)</f>
        <v>5</v>
      </c>
      <c r="D35" s="264"/>
      <c r="E35" s="264"/>
      <c r="F35" s="303">
        <f>'数据-取费表'!B33</f>
        <v>0.03</v>
      </c>
      <c r="G35" s="263" t="s">
        <v>2391</v>
      </c>
    </row>
    <row r="36" spans="1:7" ht="24">
      <c r="A36" s="949"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49" t="s">
        <v>798</v>
      </c>
      <c r="B37" s="259" t="s">
        <v>2394</v>
      </c>
      <c r="C37" s="293">
        <f ca="1">ROUND(E37*D37*F34/10000,0)</f>
        <v>8</v>
      </c>
      <c r="D37" s="261">
        <f ca="1">D19</f>
        <v>380</v>
      </c>
      <c r="E37" s="293">
        <f>'数据-取费表'!B35</f>
        <v>200</v>
      </c>
      <c r="F37" s="303"/>
      <c r="G37" s="305" t="s">
        <v>2395</v>
      </c>
    </row>
    <row r="38" spans="1:7" ht="13.5" customHeight="1">
      <c r="A38" s="949" t="s">
        <v>799</v>
      </c>
      <c r="B38" s="259" t="s">
        <v>2396</v>
      </c>
      <c r="C38" s="264">
        <f ca="1">ROUND(C34*F38,0)</f>
        <v>3</v>
      </c>
      <c r="D38" s="264"/>
      <c r="E38" s="264"/>
      <c r="F38" s="303">
        <f>'数据-取费表'!B36</f>
        <v>1.4999999999999999E-2</v>
      </c>
      <c r="G38" s="263" t="s">
        <v>2391</v>
      </c>
    </row>
    <row r="39" spans="1:7" s="258" customFormat="1" ht="13.5" customHeight="1">
      <c r="A39" s="299" t="s">
        <v>2397</v>
      </c>
      <c r="B39" s="254" t="s">
        <v>2398</v>
      </c>
      <c r="C39" s="276">
        <f ca="1">ROUND(C33*F20,0)</f>
        <v>4</v>
      </c>
      <c r="D39" s="276"/>
      <c r="E39" s="276"/>
      <c r="F39" s="277"/>
      <c r="G39" s="278" t="s">
        <v>2399</v>
      </c>
    </row>
    <row r="40" spans="1:7" s="258" customFormat="1" ht="13.5" customHeight="1">
      <c r="A40" s="299" t="s">
        <v>2400</v>
      </c>
      <c r="B40" s="254" t="s">
        <v>2401</v>
      </c>
      <c r="C40" s="1725">
        <f>F21</f>
        <v>0.02</v>
      </c>
      <c r="D40" s="280" t="s">
        <v>2402</v>
      </c>
      <c r="E40" s="276"/>
      <c r="F40" s="277"/>
      <c r="G40" s="278" t="s">
        <v>2403</v>
      </c>
    </row>
    <row r="41" spans="1:7" s="258" customFormat="1" ht="13.5" customHeight="1">
      <c r="A41" s="299" t="s">
        <v>2404</v>
      </c>
      <c r="B41" s="254" t="s">
        <v>2405</v>
      </c>
      <c r="C41" s="276">
        <f ca="1">ROUND(SUM(C42:C43),0)</f>
        <v>9</v>
      </c>
      <c r="D41" s="279">
        <f ca="1">C44</f>
        <v>1E-3</v>
      </c>
      <c r="E41" s="280" t="s">
        <v>2402</v>
      </c>
      <c r="F41" s="281"/>
      <c r="G41" s="278" t="str">
        <f>IF('数据-取费表'!B22&lt;=1,"单利计息","复利计息")</f>
        <v>复利计息</v>
      </c>
    </row>
    <row r="42" spans="1:7" ht="13.5" customHeight="1">
      <c r="A42" s="949" t="s">
        <v>791</v>
      </c>
      <c r="B42" s="259" t="s">
        <v>2406</v>
      </c>
      <c r="C42" s="282">
        <f ca="1">ROUND(IF('数据-取费表'!B22&lt;=1,C33*F22*'数据-取费表'!B21/2,C33*(POWER((1+F22),'数据-取费表'!B21/2)-1)),0)</f>
        <v>9</v>
      </c>
      <c r="D42" s="282"/>
      <c r="E42" s="282"/>
      <c r="F42" s="283"/>
      <c r="G42" s="3149" t="s">
        <v>2407</v>
      </c>
    </row>
    <row r="43" spans="1:7" ht="13.5" customHeight="1">
      <c r="A43" s="949" t="s">
        <v>792</v>
      </c>
      <c r="B43" s="259" t="s">
        <v>2408</v>
      </c>
      <c r="C43" s="282">
        <f ca="1">ROUND(IF('数据-取费表'!B22&lt;=1,C39*F22*'数据-取费表'!B21/2,C39*(POWER((1+F22),'数据-取费表'!B21/2)-1)),0)</f>
        <v>0</v>
      </c>
      <c r="D43" s="282"/>
      <c r="E43" s="282"/>
      <c r="F43" s="283"/>
      <c r="G43" s="3150"/>
    </row>
    <row r="44" spans="1:7" ht="13.5" customHeight="1">
      <c r="A44" s="949" t="s">
        <v>793</v>
      </c>
      <c r="B44" s="259" t="s">
        <v>2409</v>
      </c>
      <c r="C44" s="282">
        <f ca="1">ROUND(IF('数据-取费表'!B22&lt;=1,C40*F22*'数据-取费表'!B21/2,C40*(POWER((1+F22),'数据-取费表'!B21/2)-1)),4)</f>
        <v>1E-3</v>
      </c>
      <c r="D44" s="282"/>
      <c r="E44" s="282"/>
      <c r="F44" s="283"/>
      <c r="G44" s="3151"/>
    </row>
    <row r="45" spans="1:7" s="258" customFormat="1" ht="13.5" customHeight="1">
      <c r="A45" s="299" t="s">
        <v>2410</v>
      </c>
      <c r="B45" s="288" t="s">
        <v>2376</v>
      </c>
      <c r="C45" s="289">
        <f ca="1">C46</f>
        <v>48</v>
      </c>
      <c r="D45" s="279">
        <f ca="1">C47</f>
        <v>5.0000000000000001E-3</v>
      </c>
      <c r="E45" s="280" t="s">
        <v>2402</v>
      </c>
      <c r="F45" s="290"/>
      <c r="G45" s="291" t="s">
        <v>2411</v>
      </c>
    </row>
    <row r="46" spans="1:7" s="258" customFormat="1" ht="13.5" customHeight="1">
      <c r="A46" s="949" t="s">
        <v>791</v>
      </c>
      <c r="B46" s="292" t="s">
        <v>2412</v>
      </c>
      <c r="C46" s="293">
        <f ca="1">ROUND((C33+C39)*F27,0)</f>
        <v>48</v>
      </c>
      <c r="D46" s="307"/>
      <c r="E46" s="280"/>
      <c r="F46" s="290"/>
      <c r="G46" s="291"/>
    </row>
    <row r="47" spans="1:7" s="258" customFormat="1" ht="13.5" customHeight="1">
      <c r="A47" s="949" t="s">
        <v>792</v>
      </c>
      <c r="B47" s="292" t="s">
        <v>2413</v>
      </c>
      <c r="C47" s="282">
        <f ca="1">ROUND(C40*F27,4)</f>
        <v>5.0000000000000001E-3</v>
      </c>
      <c r="D47" s="307"/>
      <c r="E47" s="280"/>
      <c r="F47" s="290"/>
      <c r="G47" s="291"/>
    </row>
    <row r="48" spans="1:7" s="258" customFormat="1" ht="13.5" customHeight="1">
      <c r="A48" s="299" t="s">
        <v>2375</v>
      </c>
      <c r="B48" s="254" t="s">
        <v>2414</v>
      </c>
      <c r="C48" s="1725">
        <f>ROUND(F30/(1+'数据-取费表'!C42),4)</f>
        <v>5.33E-2</v>
      </c>
      <c r="D48" s="280" t="s">
        <v>2402</v>
      </c>
      <c r="E48" s="276"/>
      <c r="F48" s="281"/>
      <c r="G48" s="278" t="s">
        <v>2415</v>
      </c>
    </row>
    <row r="49" spans="1:7" ht="16.5" customHeight="1">
      <c r="A49" s="299" t="s">
        <v>2381</v>
      </c>
      <c r="B49" s="254" t="s">
        <v>2416</v>
      </c>
      <c r="C49" s="276">
        <f ca="1">ROUND((C33+C39+C41+C45)/(1-C40-D41-D45-C48),0)</f>
        <v>269</v>
      </c>
      <c r="D49" s="276"/>
      <c r="E49" s="276"/>
      <c r="F49" s="308"/>
      <c r="G49" s="278" t="s">
        <v>2417</v>
      </c>
    </row>
    <row r="50" spans="1:7" s="302" customFormat="1" ht="24">
      <c r="A50" s="299" t="s">
        <v>2418</v>
      </c>
      <c r="B50" s="254" t="s">
        <v>2419</v>
      </c>
      <c r="C50" s="276"/>
      <c r="D50" s="276"/>
      <c r="E50" s="276"/>
      <c r="F50" s="308">
        <f>IF('数据-取费表'!B24=0,'数据-取费表'!N16,1)</f>
        <v>0.97</v>
      </c>
      <c r="G50" s="291" t="s">
        <v>2420</v>
      </c>
    </row>
    <row r="51" spans="1:7" ht="16.5" customHeight="1">
      <c r="A51" s="299" t="s">
        <v>2421</v>
      </c>
      <c r="B51" s="254" t="s">
        <v>2422</v>
      </c>
      <c r="C51" s="276">
        <f ca="1">ROUND(C49*F50,0)</f>
        <v>261</v>
      </c>
      <c r="D51" s="276"/>
      <c r="E51" s="276"/>
      <c r="F51" s="308"/>
      <c r="G51" s="278" t="s">
        <v>2423</v>
      </c>
    </row>
    <row r="52" spans="1:7" s="252" customFormat="1" ht="16.5" thickBot="1">
      <c r="A52" s="309" t="s">
        <v>2424</v>
      </c>
      <c r="B52" s="310"/>
      <c r="C52" s="311">
        <f ca="1">C31+C51</f>
        <v>273</v>
      </c>
      <c r="D52" s="310"/>
      <c r="E52" s="310"/>
      <c r="F52" s="310"/>
      <c r="G52" s="312"/>
    </row>
    <row r="55" spans="1:7" ht="15">
      <c r="B55" s="314" t="s">
        <v>2425</v>
      </c>
      <c r="C55" s="315"/>
    </row>
    <row r="56" spans="1:7">
      <c r="B56" s="317" t="s">
        <v>1508</v>
      </c>
      <c r="C56" s="319">
        <f ca="1">1-C57</f>
        <v>4.4000000000000039E-2</v>
      </c>
    </row>
    <row r="57" spans="1:7">
      <c r="B57" s="317" t="s">
        <v>1509</v>
      </c>
      <c r="C57" s="318">
        <f ca="1">ROUND(C51/C52,3)</f>
        <v>0.95599999999999996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3"/>
      <c r="C1" s="2550" t="s">
        <v>2426</v>
      </c>
      <c r="D1" s="242"/>
      <c r="E1" s="242"/>
      <c r="F1" s="242"/>
      <c r="G1" s="1377">
        <f>MATCH(B1,'数据-取费表'!A6:A16,0)+5</f>
        <v>7</v>
      </c>
      <c r="H1" s="1280" t="str">
        <f>IF(ISERROR(FIND("住宅",B1)),"非住宅","住宅")</f>
        <v>非住宅</v>
      </c>
    </row>
    <row r="2" spans="1:8" s="244" customFormat="1" ht="18" customHeight="1">
      <c r="A2" s="245" t="s">
        <v>2325</v>
      </c>
      <c r="B2" s="246">
        <f ca="1">ROUND(IF(D2="——",C52/10000,C52/10000-E2),0)</f>
        <v>282</v>
      </c>
      <c r="C2" s="243" t="s">
        <v>2326</v>
      </c>
      <c r="D2" s="2544" t="s">
        <v>70</v>
      </c>
      <c r="E2" s="1438" t="e">
        <f ca="1">SUMIF(INDIRECT("'"&amp;G2&amp;"'"&amp;"!A:A"),"承租人权益价值",INDIRECT("'"&amp;G2&amp;"'"&amp;"!c:c"))</f>
        <v>#REF!</v>
      </c>
      <c r="F2" s="2545" t="s">
        <v>2326</v>
      </c>
      <c r="G2" s="2546"/>
    </row>
    <row r="3" spans="1:8" s="244" customFormat="1" ht="18" customHeight="1" thickBot="1">
      <c r="A3" s="247" t="s">
        <v>2327</v>
      </c>
      <c r="B3" s="248">
        <f ca="1">ROUND(B2*10000/(IF(B1="",'数据-汇总表'!E3,INDIRECT("'数据-取费表'!k"&amp;$G$1))),0)</f>
        <v>7421</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76000</v>
      </c>
      <c r="D5" s="255" t="s">
        <v>2332</v>
      </c>
      <c r="E5" s="256" t="s">
        <v>2333</v>
      </c>
      <c r="F5" s="256" t="s">
        <v>2334</v>
      </c>
      <c r="G5" s="257"/>
    </row>
    <row r="6" spans="1:8" s="258" customFormat="1" ht="13.5" customHeight="1">
      <c r="A6" s="947" t="s">
        <v>2335</v>
      </c>
      <c r="B6" s="259" t="s">
        <v>2336</v>
      </c>
      <c r="C6" s="260"/>
      <c r="D6" s="261"/>
      <c r="E6" s="262"/>
      <c r="F6" s="262"/>
      <c r="G6" s="263"/>
    </row>
    <row r="7" spans="1:8" s="258" customFormat="1" ht="13.5" customHeight="1">
      <c r="A7" s="947" t="s">
        <v>2337</v>
      </c>
      <c r="B7" s="259" t="s">
        <v>2338</v>
      </c>
      <c r="C7" s="264">
        <f>ROUND(C6*F7,0)</f>
        <v>0</v>
      </c>
      <c r="D7" s="264"/>
      <c r="E7" s="262"/>
      <c r="F7" s="265">
        <f>IF(项目基本情况!B8="出让",0,'数据-取费表'!B48+'数据-取费表'!B49)</f>
        <v>3.0499999999999999E-2</v>
      </c>
      <c r="G7" s="263"/>
    </row>
    <row r="8" spans="1:8" s="267" customFormat="1">
      <c r="A8" s="947" t="s">
        <v>2339</v>
      </c>
      <c r="B8" s="259" t="s">
        <v>2340</v>
      </c>
      <c r="C8" s="264">
        <f ca="1">IF(G8="已包含在土地购买价格中",0,C9+C10)</f>
        <v>76000</v>
      </c>
      <c r="D8" s="266"/>
      <c r="E8" s="264"/>
      <c r="F8" s="265"/>
      <c r="G8" s="2547"/>
    </row>
    <row r="9" spans="1:8" s="258" customFormat="1" ht="13.5" customHeight="1">
      <c r="A9" s="948" t="s">
        <v>800</v>
      </c>
      <c r="B9" s="268" t="s">
        <v>2341</v>
      </c>
      <c r="C9" s="269">
        <f ca="1">ROUND(D9*E9,0)</f>
        <v>0</v>
      </c>
      <c r="D9" s="1030">
        <f ca="1">IF(B1="",'数据-汇总表'!E5,IF(INDIRECT("'数据-取费表'!c"&amp;$G$1)="住宅",INDIRECT("'数据-取费表'!k"&amp;$G$1),0))</f>
        <v>0</v>
      </c>
      <c r="E9" s="269">
        <f>'数据-取费表'!B27</f>
        <v>160</v>
      </c>
      <c r="F9" s="265"/>
      <c r="G9" s="270"/>
    </row>
    <row r="10" spans="1:8" s="258" customFormat="1" ht="13.5" customHeight="1">
      <c r="A10" s="948" t="s">
        <v>801</v>
      </c>
      <c r="B10" s="268" t="s">
        <v>2343</v>
      </c>
      <c r="C10" s="269">
        <f ca="1">ROUND(D10*E10,0)</f>
        <v>76000</v>
      </c>
      <c r="D10" s="1030">
        <f ca="1">IF(B1="",'数据-汇总表'!E6,IF(INDIRECT("'数据-取费表'!c"&amp;$G$1)="住宅",INDIRECT("'数据-取费表'!s"&amp;$G$1),INDIRECT("'数据-取费表'!k"&amp;$G$1)+INDIRECT("'数据-取费表'!s"&amp;$G$1)))</f>
        <v>380</v>
      </c>
      <c r="E10" s="269">
        <f>'数据-取费表'!B28</f>
        <v>200</v>
      </c>
      <c r="F10" s="265"/>
      <c r="G10" s="270"/>
    </row>
    <row r="11" spans="1:8" s="258" customFormat="1" ht="13.5" hidden="1" customHeight="1">
      <c r="A11" s="271" t="s">
        <v>7</v>
      </c>
      <c r="B11" s="259" t="s">
        <v>2344</v>
      </c>
      <c r="C11" s="255"/>
      <c r="D11" s="1032"/>
      <c r="E11" s="262"/>
      <c r="F11" s="262"/>
      <c r="G11" s="263"/>
    </row>
    <row r="12" spans="1:8" s="258" customFormat="1" ht="13.5" hidden="1" customHeight="1">
      <c r="A12" s="271" t="s">
        <v>8</v>
      </c>
      <c r="B12" s="259" t="s">
        <v>2427</v>
      </c>
      <c r="C12" s="255">
        <v>0</v>
      </c>
      <c r="D12" s="1032"/>
      <c r="E12" s="272"/>
      <c r="F12" s="265">
        <v>3.0499999999999999E-2</v>
      </c>
      <c r="G12" s="263"/>
    </row>
    <row r="13" spans="1:8" s="258" customFormat="1" ht="13.5" hidden="1" customHeight="1">
      <c r="A13" s="271" t="s">
        <v>9</v>
      </c>
      <c r="B13" s="259" t="s">
        <v>2428</v>
      </c>
      <c r="C13" s="255"/>
      <c r="D13" s="1032"/>
      <c r="E13" s="262"/>
      <c r="F13" s="262"/>
      <c r="G13" s="263"/>
    </row>
    <row r="14" spans="1:8" s="258" customFormat="1" ht="13.5" hidden="1" customHeight="1">
      <c r="A14" s="271" t="s">
        <v>10</v>
      </c>
      <c r="B14" s="259" t="s">
        <v>2340</v>
      </c>
      <c r="C14" s="255"/>
      <c r="D14" s="1032"/>
      <c r="E14" s="262"/>
      <c r="F14" s="262"/>
      <c r="G14" s="263" t="s">
        <v>2429</v>
      </c>
    </row>
    <row r="15" spans="1:8" s="258" customFormat="1" ht="13.5" hidden="1" customHeight="1">
      <c r="A15" s="271" t="s">
        <v>11</v>
      </c>
      <c r="B15" s="259" t="s">
        <v>2430</v>
      </c>
      <c r="C15" s="264"/>
      <c r="D15" s="1032"/>
      <c r="E15" s="262"/>
      <c r="F15" s="262"/>
      <c r="G15" s="263" t="s">
        <v>2431</v>
      </c>
    </row>
    <row r="16" spans="1:8" s="258" customFormat="1" ht="13.5" hidden="1" customHeight="1">
      <c r="A16" s="271" t="s">
        <v>12</v>
      </c>
      <c r="B16" s="259" t="s">
        <v>2340</v>
      </c>
      <c r="C16" s="264"/>
      <c r="D16" s="1032"/>
      <c r="E16" s="262"/>
      <c r="F16" s="262"/>
      <c r="G16" s="263"/>
    </row>
    <row r="17" spans="1:7" s="258" customFormat="1" ht="13.5" hidden="1" customHeight="1">
      <c r="A17" s="271" t="s">
        <v>13</v>
      </c>
      <c r="B17" s="259" t="s">
        <v>2432</v>
      </c>
      <c r="C17" s="273"/>
      <c r="D17" s="1033"/>
      <c r="E17" s="273"/>
      <c r="F17" s="273"/>
      <c r="G17" s="263" t="s">
        <v>2431</v>
      </c>
    </row>
    <row r="18" spans="1:7" s="258" customFormat="1" ht="13.5" hidden="1" customHeight="1">
      <c r="A18" s="271" t="s">
        <v>14</v>
      </c>
      <c r="B18" s="259" t="s">
        <v>2433</v>
      </c>
      <c r="C18" s="264">
        <v>0</v>
      </c>
      <c r="D18" s="1032"/>
      <c r="E18" s="262"/>
      <c r="F18" s="265">
        <v>3.0499999999999999E-2</v>
      </c>
      <c r="G18" s="263" t="s">
        <v>2434</v>
      </c>
    </row>
    <row r="19" spans="1:7" s="267" customFormat="1" ht="13.5" customHeight="1">
      <c r="A19" s="299" t="s">
        <v>2435</v>
      </c>
      <c r="B19" s="254" t="s">
        <v>2436</v>
      </c>
      <c r="C19" s="255">
        <f ca="1">IF(G19="已包含在土地取得成本中","0",ROUND(D19*E19,0))</f>
        <v>76000</v>
      </c>
      <c r="D19" s="1034">
        <f ca="1">D9+D10</f>
        <v>380</v>
      </c>
      <c r="E19" s="255">
        <f>'数据-取费表'!B31</f>
        <v>200</v>
      </c>
      <c r="F19" s="275"/>
      <c r="G19" s="2547"/>
    </row>
    <row r="20" spans="1:7" s="258" customFormat="1" ht="13.5" customHeight="1">
      <c r="A20" s="299" t="s">
        <v>2437</v>
      </c>
      <c r="B20" s="254" t="s">
        <v>2438</v>
      </c>
      <c r="C20" s="276">
        <f ca="1">ROUND((C5+C19)*F20,0)</f>
        <v>3040</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8">
        <f ca="1">ROUND(SUM(C23:C25),0)</f>
        <v>14926</v>
      </c>
      <c r="D22" s="279">
        <f ca="1">C26</f>
        <v>1E-3</v>
      </c>
      <c r="E22" s="280" t="s">
        <v>2442</v>
      </c>
      <c r="F22" s="281">
        <f ca="1">'数据-取费表'!B40</f>
        <v>4.7500000000000001E-2</v>
      </c>
      <c r="G22" s="278" t="str">
        <f>IF('数据-取费表'!B22&lt;=1,"单利计息","复利计息")</f>
        <v>复利计息</v>
      </c>
    </row>
    <row r="23" spans="1:7" s="258" customFormat="1" ht="13.5" customHeight="1">
      <c r="A23" s="949" t="s">
        <v>2335</v>
      </c>
      <c r="B23" s="259" t="s">
        <v>2446</v>
      </c>
      <c r="C23" s="1379">
        <f ca="1">ROUND(IF('数据-取费表'!B22&lt;=1,C5*F22*'数据-取费表'!B22,C5*(POWER((1+F22),'数据-取费表'!B22)-1)),0)</f>
        <v>7391</v>
      </c>
      <c r="D23" s="282"/>
      <c r="E23" s="282"/>
      <c r="F23" s="283"/>
      <c r="G23" s="284" t="s">
        <v>2447</v>
      </c>
    </row>
    <row r="24" spans="1:7" s="258" customFormat="1" ht="13.5" customHeight="1">
      <c r="A24" s="949" t="s">
        <v>2337</v>
      </c>
      <c r="B24" s="259" t="s">
        <v>2448</v>
      </c>
      <c r="C24" s="1379">
        <f ca="1">ROUND(IF('数据-取费表'!B22&lt;=1,C19*F22*('数据-取费表'!B19/2+'数据-取费表'!B20),C19*(POWER((1+F22),('数据-取费表'!B19/2+'数据-取费表'!B20))-1)),0)</f>
        <v>7391</v>
      </c>
      <c r="D24" s="282"/>
      <c r="E24" s="282"/>
      <c r="F24" s="283"/>
      <c r="G24" s="284" t="s">
        <v>2449</v>
      </c>
    </row>
    <row r="25" spans="1:7" s="258" customFormat="1" ht="24">
      <c r="A25" s="949" t="s">
        <v>2339</v>
      </c>
      <c r="B25" s="259" t="s">
        <v>2450</v>
      </c>
      <c r="C25" s="1379">
        <f ca="1">ROUND(IF('数据-取费表'!B22&lt;=1,C20*F22*'数据-取费表'!B22/2,C20*(POWER((1+F22),'数据-取费表'!B22/2)-1)),0)</f>
        <v>144</v>
      </c>
      <c r="D25" s="282"/>
      <c r="E25" s="285"/>
      <c r="F25" s="283"/>
      <c r="G25" s="286" t="s">
        <v>2451</v>
      </c>
    </row>
    <row r="26" spans="1:7" s="258" customFormat="1">
      <c r="A26" s="949"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38760</v>
      </c>
      <c r="D27" s="279">
        <f ca="1">C29</f>
        <v>5.0000000000000001E-3</v>
      </c>
      <c r="E27" s="280" t="s">
        <v>2377</v>
      </c>
      <c r="F27" s="290">
        <f ca="1">IF(B1="",'数据-取费表'!Q16,INDIRECT("'数据-取费表'!q"&amp;$G$1))</f>
        <v>0.25</v>
      </c>
      <c r="G27" s="291" t="s">
        <v>2378</v>
      </c>
    </row>
    <row r="28" spans="1:7" s="258" customFormat="1" ht="13.5" customHeight="1">
      <c r="A28" s="949" t="s">
        <v>791</v>
      </c>
      <c r="B28" s="292" t="s">
        <v>2379</v>
      </c>
      <c r="C28" s="293">
        <f ca="1">ROUND((C5+C19+C20)*F27,0)</f>
        <v>38760</v>
      </c>
      <c r="D28" s="279"/>
      <c r="E28" s="280"/>
      <c r="F28" s="290"/>
      <c r="G28" s="291"/>
    </row>
    <row r="29" spans="1:7" s="258" customFormat="1" ht="13.5" customHeight="1">
      <c r="A29" s="949"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226704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1862950</v>
      </c>
      <c r="D33" s="276"/>
      <c r="E33" s="256"/>
      <c r="F33" s="285"/>
      <c r="G33" s="278"/>
    </row>
    <row r="34" spans="1:7" s="302" customFormat="1" ht="13.5" customHeight="1">
      <c r="A34" s="949" t="s">
        <v>791</v>
      </c>
      <c r="B34" s="259" t="s">
        <v>2388</v>
      </c>
      <c r="C34" s="264">
        <f ca="1">ROUND(IF(B1="",SUMPRODUCT('数据-取费表'!K6:K14,'数据-取费表'!L6:L14),INDIRECT("'数据-取费表'!l"&amp;$G$1)*INDIRECT("'数据-取费表'!k"&amp;$G$1)+'数据-取费表'!L14*INDIRECT("'数据-取费表'!S"&amp;$G$1)),0)</f>
        <v>1710000</v>
      </c>
      <c r="D34" s="261"/>
      <c r="E34" s="264"/>
      <c r="F34" s="301"/>
      <c r="G34" s="263"/>
    </row>
    <row r="35" spans="1:7" ht="13.5" customHeight="1">
      <c r="A35" s="949" t="s">
        <v>796</v>
      </c>
      <c r="B35" s="259" t="s">
        <v>2390</v>
      </c>
      <c r="C35" s="264">
        <f ca="1">ROUND(C34*F35,0)</f>
        <v>51300</v>
      </c>
      <c r="D35" s="264"/>
      <c r="E35" s="264"/>
      <c r="F35" s="303">
        <f>'数据-取费表'!B33</f>
        <v>0.03</v>
      </c>
      <c r="G35" s="263" t="s">
        <v>2391</v>
      </c>
    </row>
    <row r="36" spans="1:7" ht="24">
      <c r="A36" s="949"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9" t="s">
        <v>798</v>
      </c>
      <c r="B37" s="259" t="s">
        <v>2394</v>
      </c>
      <c r="C37" s="293">
        <f ca="1">ROUND(E37*D37,0)</f>
        <v>76000</v>
      </c>
      <c r="D37" s="261">
        <f ca="1">D19</f>
        <v>380</v>
      </c>
      <c r="E37" s="293">
        <f>'数据-取费表'!B35</f>
        <v>200</v>
      </c>
      <c r="F37" s="303"/>
      <c r="G37" s="305"/>
    </row>
    <row r="38" spans="1:7" ht="13.5" customHeight="1">
      <c r="A38" s="949" t="s">
        <v>799</v>
      </c>
      <c r="B38" s="259" t="s">
        <v>2396</v>
      </c>
      <c r="C38" s="264">
        <f ca="1">ROUND(C34*F38,0)</f>
        <v>25650</v>
      </c>
      <c r="D38" s="264"/>
      <c r="E38" s="264"/>
      <c r="F38" s="303">
        <f>'数据-取费表'!B36</f>
        <v>1.4999999999999999E-2</v>
      </c>
      <c r="G38" s="263" t="s">
        <v>2391</v>
      </c>
    </row>
    <row r="39" spans="1:7" s="258" customFormat="1" ht="13.5" customHeight="1">
      <c r="A39" s="299" t="s">
        <v>2397</v>
      </c>
      <c r="B39" s="254" t="s">
        <v>2398</v>
      </c>
      <c r="C39" s="276">
        <f ca="1">ROUND(C33*F20,0)</f>
        <v>37259</v>
      </c>
      <c r="D39" s="276"/>
      <c r="E39" s="276"/>
      <c r="F39" s="277"/>
      <c r="G39" s="278" t="s">
        <v>2399</v>
      </c>
    </row>
    <row r="40" spans="1:7" s="258" customFormat="1" ht="13.5" customHeight="1">
      <c r="A40" s="299" t="s">
        <v>2400</v>
      </c>
      <c r="B40" s="254" t="s">
        <v>2401</v>
      </c>
      <c r="C40" s="1725">
        <f>F21</f>
        <v>0.02</v>
      </c>
      <c r="D40" s="280" t="s">
        <v>2402</v>
      </c>
      <c r="E40" s="276"/>
      <c r="F40" s="277"/>
      <c r="G40" s="278" t="s">
        <v>2403</v>
      </c>
    </row>
    <row r="41" spans="1:7" s="258" customFormat="1" ht="13.5" customHeight="1">
      <c r="A41" s="299" t="s">
        <v>2404</v>
      </c>
      <c r="B41" s="254" t="s">
        <v>2405</v>
      </c>
      <c r="C41" s="276">
        <f ca="1">ROUND(SUM(C42:C43),0)</f>
        <v>90260</v>
      </c>
      <c r="D41" s="279">
        <f ca="1">C44</f>
        <v>1E-3</v>
      </c>
      <c r="E41" s="280" t="s">
        <v>2402</v>
      </c>
      <c r="F41" s="281"/>
      <c r="G41" s="278" t="str">
        <f>IF('数据-取费表'!B22&lt;=1,"单利计息","复利计息")</f>
        <v>复利计息</v>
      </c>
    </row>
    <row r="42" spans="1:7" ht="13.5" customHeight="1">
      <c r="A42" s="949" t="s">
        <v>791</v>
      </c>
      <c r="B42" s="259" t="s">
        <v>2406</v>
      </c>
      <c r="C42" s="282">
        <f ca="1">ROUND(IF('数据-取费表'!B22&lt;=1,C33*F22*'数据-取费表'!B20/2,C33*(POWER((1+F22),'数据-取费表'!B20/2)-1)),0)</f>
        <v>88490</v>
      </c>
      <c r="D42" s="282"/>
      <c r="E42" s="282"/>
      <c r="F42" s="283"/>
      <c r="G42" s="3149" t="s">
        <v>2454</v>
      </c>
    </row>
    <row r="43" spans="1:7" ht="13.5" customHeight="1">
      <c r="A43" s="949" t="s">
        <v>792</v>
      </c>
      <c r="B43" s="259" t="s">
        <v>2408</v>
      </c>
      <c r="C43" s="282">
        <f ca="1">ROUND(IF('数据-取费表'!B22&lt;=1,C39*F22*'数据-取费表'!B20/2,C39*(POWER((1+F22),'数据-取费表'!B20/2)-1)),0)</f>
        <v>1770</v>
      </c>
      <c r="D43" s="282"/>
      <c r="E43" s="282"/>
      <c r="F43" s="283"/>
      <c r="G43" s="3150"/>
    </row>
    <row r="44" spans="1:7" ht="13.5" customHeight="1">
      <c r="A44" s="949" t="s">
        <v>793</v>
      </c>
      <c r="B44" s="259" t="s">
        <v>2409</v>
      </c>
      <c r="C44" s="282">
        <f ca="1">ROUND(IF('数据-取费表'!B22&lt;=1,C40*F22*'数据-取费表'!B20/2,C40*(POWER((1+F22),'数据-取费表'!B20/2)-1)),4)</f>
        <v>1E-3</v>
      </c>
      <c r="D44" s="282"/>
      <c r="E44" s="282"/>
      <c r="F44" s="283"/>
      <c r="G44" s="3151"/>
    </row>
    <row r="45" spans="1:7" s="258" customFormat="1" ht="13.5" customHeight="1">
      <c r="A45" s="299" t="s">
        <v>2410</v>
      </c>
      <c r="B45" s="288" t="s">
        <v>2376</v>
      </c>
      <c r="C45" s="289">
        <f ca="1">C46</f>
        <v>475052</v>
      </c>
      <c r="D45" s="279">
        <f ca="1">C47</f>
        <v>5.0000000000000001E-3</v>
      </c>
      <c r="E45" s="280" t="s">
        <v>2402</v>
      </c>
      <c r="F45" s="290"/>
      <c r="G45" s="291" t="s">
        <v>2411</v>
      </c>
    </row>
    <row r="46" spans="1:7" s="258" customFormat="1" ht="13.5" customHeight="1">
      <c r="A46" s="949" t="s">
        <v>791</v>
      </c>
      <c r="B46" s="292" t="s">
        <v>2412</v>
      </c>
      <c r="C46" s="293">
        <f ca="1">ROUND((C33+C39)*F27,0)</f>
        <v>475052</v>
      </c>
      <c r="D46" s="307"/>
      <c r="E46" s="280"/>
      <c r="F46" s="290"/>
      <c r="G46" s="291"/>
    </row>
    <row r="47" spans="1:7" s="258" customFormat="1" ht="13.5" customHeight="1">
      <c r="A47" s="949"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2677877</v>
      </c>
      <c r="D49" s="276"/>
      <c r="E49" s="276"/>
      <c r="F49" s="308"/>
      <c r="G49" s="278" t="s">
        <v>2417</v>
      </c>
    </row>
    <row r="50" spans="1:7" s="302" customFormat="1">
      <c r="A50" s="299" t="s">
        <v>2418</v>
      </c>
      <c r="B50" s="254" t="s">
        <v>2419</v>
      </c>
      <c r="C50" s="276"/>
      <c r="D50" s="276"/>
      <c r="E50" s="276"/>
      <c r="F50" s="308">
        <f>IF('数据-取费表'!B24=0,'数据-取费表'!N16,1)</f>
        <v>0.97</v>
      </c>
      <c r="G50" s="291"/>
    </row>
    <row r="51" spans="1:7" ht="16.5" customHeight="1">
      <c r="A51" s="299" t="s">
        <v>2421</v>
      </c>
      <c r="B51" s="254" t="s">
        <v>2456</v>
      </c>
      <c r="C51" s="276">
        <f ca="1">ROUND(C49*F50,0)</f>
        <v>2597541</v>
      </c>
      <c r="D51" s="276"/>
      <c r="E51" s="276"/>
      <c r="F51" s="308"/>
      <c r="G51" s="278" t="s">
        <v>2423</v>
      </c>
    </row>
    <row r="52" spans="1:7" s="252" customFormat="1" ht="16.5" thickBot="1">
      <c r="A52" s="309" t="s">
        <v>2424</v>
      </c>
      <c r="B52" s="310"/>
      <c r="C52" s="311">
        <f ca="1">C31+C51</f>
        <v>2824245</v>
      </c>
      <c r="D52" s="310"/>
      <c r="E52" s="310"/>
      <c r="F52" s="310"/>
      <c r="G52" s="312"/>
    </row>
    <row r="55" spans="1:7" ht="15">
      <c r="B55" s="314" t="s">
        <v>2425</v>
      </c>
      <c r="C55" s="315"/>
    </row>
    <row r="56" spans="1:7">
      <c r="B56" s="317" t="s">
        <v>1508</v>
      </c>
      <c r="C56" s="319">
        <f ca="1">1-C57</f>
        <v>7.999999999999996E-2</v>
      </c>
    </row>
    <row r="57" spans="1:7">
      <c r="B57" s="317" t="s">
        <v>1509</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2457</v>
      </c>
      <c r="B1" s="1579"/>
      <c r="C1" s="1580"/>
      <c r="D1" s="1578"/>
      <c r="E1" s="320"/>
      <c r="F1" s="320"/>
      <c r="G1" s="1579"/>
      <c r="H1" s="320"/>
      <c r="I1" s="320"/>
      <c r="J1" s="320"/>
      <c r="K1" s="320">
        <f>MATCH(C1,'数据-取费表'!A6:A16,0)+5</f>
        <v>7</v>
      </c>
    </row>
    <row r="2" spans="1:33" ht="18" customHeight="1">
      <c r="A2" s="245" t="s">
        <v>2325</v>
      </c>
      <c r="B2" s="248">
        <f ca="1">C32</f>
        <v>-10</v>
      </c>
      <c r="C2" s="320" t="s">
        <v>2458</v>
      </c>
      <c r="D2" s="320"/>
      <c r="E2" s="320"/>
      <c r="F2" s="320"/>
      <c r="G2" s="320"/>
      <c r="H2" s="320"/>
      <c r="I2" s="320"/>
      <c r="J2" s="320"/>
      <c r="K2" s="320"/>
    </row>
    <row r="3" spans="1:33" ht="18" customHeight="1" thickBot="1">
      <c r="A3" s="247" t="s">
        <v>2327</v>
      </c>
      <c r="B3" s="248">
        <f ca="1">ROUND(B2*10000/IF(C1="",'数据-汇总表'!E3,INDIRECT("'数据-取费表'!K"&amp;$K$1)),0)</f>
        <v>-263</v>
      </c>
      <c r="C3" s="320" t="s">
        <v>2459</v>
      </c>
      <c r="D3" s="320"/>
      <c r="E3" s="320"/>
      <c r="F3" s="320"/>
      <c r="G3" s="320"/>
      <c r="H3" s="320"/>
      <c r="I3" s="320"/>
      <c r="J3" s="320"/>
      <c r="K3" s="320"/>
    </row>
    <row r="4" spans="1:33" s="954" customFormat="1" ht="16.5" customHeight="1">
      <c r="A4" s="951" t="s">
        <v>2460</v>
      </c>
      <c r="B4" s="952"/>
      <c r="C4" s="994">
        <f>SUM(C8:K8)</f>
        <v>0</v>
      </c>
      <c r="D4" s="952"/>
      <c r="E4" s="952"/>
      <c r="F4" s="952"/>
      <c r="G4" s="952"/>
      <c r="H4" s="952"/>
      <c r="I4" s="952"/>
      <c r="J4" s="952"/>
      <c r="K4" s="953"/>
    </row>
    <row r="5" spans="1:33" s="958" customFormat="1" ht="24.75">
      <c r="A5" s="955" t="s">
        <v>2461</v>
      </c>
      <c r="B5" s="956" t="s">
        <v>2462</v>
      </c>
      <c r="C5" s="2551" t="s">
        <v>2463</v>
      </c>
      <c r="D5" s="2551" t="s">
        <v>2464</v>
      </c>
      <c r="E5" s="2551" t="s">
        <v>2465</v>
      </c>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2466</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2469</v>
      </c>
      <c r="B8" s="177" t="s">
        <v>2470</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2471</v>
      </c>
      <c r="B9" s="952"/>
      <c r="C9" s="952"/>
      <c r="D9" s="952"/>
      <c r="E9" s="952"/>
      <c r="F9" s="952"/>
      <c r="G9" s="952"/>
      <c r="H9" s="952"/>
      <c r="I9" s="952"/>
      <c r="J9" s="952"/>
      <c r="K9" s="953"/>
    </row>
    <row r="10" spans="1:33" s="968" customFormat="1" ht="13.5" customHeight="1">
      <c r="A10" s="955" t="s">
        <v>2472</v>
      </c>
      <c r="B10" s="8" t="s">
        <v>2473</v>
      </c>
      <c r="C10" s="964" t="s">
        <v>2474</v>
      </c>
      <c r="D10" s="965" t="s">
        <v>2475</v>
      </c>
      <c r="E10" s="965" t="s">
        <v>2476</v>
      </c>
      <c r="F10" s="965" t="s">
        <v>2477</v>
      </c>
      <c r="G10" s="8"/>
      <c r="H10" s="966"/>
      <c r="I10" s="966"/>
      <c r="J10" s="966"/>
      <c r="K10" s="967"/>
    </row>
    <row r="11" spans="1:33" s="973" customFormat="1" ht="13.5" customHeight="1">
      <c r="A11" s="969" t="s">
        <v>1330</v>
      </c>
      <c r="B11" s="970" t="s">
        <v>2478</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2479</v>
      </c>
      <c r="C12" s="24">
        <f ca="1">ROUND(C11*F12,0)</f>
        <v>0</v>
      </c>
      <c r="D12" s="971"/>
      <c r="E12" s="375"/>
      <c r="F12" s="974">
        <f>'数据-取费表'!B33</f>
        <v>0.03</v>
      </c>
      <c r="G12" s="8" t="s">
        <v>2480</v>
      </c>
      <c r="H12" s="966"/>
      <c r="I12" s="966"/>
      <c r="J12" s="966"/>
      <c r="K12" s="967"/>
    </row>
    <row r="13" spans="1:33" s="973" customFormat="1" ht="13.5" customHeight="1">
      <c r="A13" s="969" t="s">
        <v>1332</v>
      </c>
      <c r="B13" s="970" t="s">
        <v>2481</v>
      </c>
      <c r="C13" s="24">
        <f ca="1">ROUND(IF(C1="",SUMIF('数据-取费表'!C:C,"住宅",'数据-取费表'!P:P)*F13,IF(INDIRECT("'数据-取费表'!c"&amp;$K$1)="住宅",INDIRECT("'数据-取费表'!P"&amp;$K$1)*F13,0)),0)</f>
        <v>0</v>
      </c>
      <c r="D13" s="1031"/>
      <c r="E13" s="375"/>
      <c r="F13" s="974">
        <f>'数据-取费表'!B34</f>
        <v>0</v>
      </c>
      <c r="G13" s="8" t="s">
        <v>2482</v>
      </c>
      <c r="H13" s="966"/>
      <c r="I13" s="966"/>
      <c r="J13" s="966"/>
      <c r="K13" s="967"/>
    </row>
    <row r="14" spans="1:33" s="975" customFormat="1" ht="13.5" customHeight="1">
      <c r="A14" s="969" t="s">
        <v>1333</v>
      </c>
      <c r="B14" s="970" t="s">
        <v>2483</v>
      </c>
      <c r="C14" s="24">
        <f ca="1">ROUND(D14*E14*F11/10000,0)</f>
        <v>0</v>
      </c>
      <c r="D14" s="1031">
        <f ca="1">IF(C1="",'数据-汇总表'!E3,INDIRECT("'数据-取费表'!K"&amp;$K$1)+INDIRECT("'数据-取费表'!S"&amp;$K$1))</f>
        <v>380</v>
      </c>
      <c r="E14" s="24">
        <f>'数据-取费表'!B35</f>
        <v>200</v>
      </c>
      <c r="F14" s="974"/>
      <c r="G14" s="8" t="s">
        <v>2484</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2485</v>
      </c>
      <c r="C15" s="981">
        <f ca="1">ROUND(C11*F15,0)</f>
        <v>0</v>
      </c>
      <c r="D15" s="976"/>
      <c r="E15" s="981"/>
      <c r="F15" s="982">
        <f>'数据-取费表'!B36</f>
        <v>1.4999999999999999E-2</v>
      </c>
      <c r="G15" s="140" t="s">
        <v>2486</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2487</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2488</v>
      </c>
      <c r="C17" s="24">
        <f ca="1">ROUND(D17*E17/10000,0)</f>
        <v>0</v>
      </c>
      <c r="D17" s="1031">
        <f ca="1">D14</f>
        <v>380</v>
      </c>
      <c r="E17" s="24">
        <f>'数据-取费表'!B32</f>
        <v>0</v>
      </c>
      <c r="F17" s="976"/>
      <c r="G17" s="140" t="s">
        <v>2489</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2490</v>
      </c>
      <c r="C18" s="24">
        <f ca="1">C19+C20-IF(C1="",'数据-取费表'!B29,IF(G18="已全部缴纳",C19+C20,H18))</f>
        <v>8</v>
      </c>
      <c r="D18" s="1031"/>
      <c r="E18" s="24"/>
      <c r="F18" s="974"/>
      <c r="G18" s="2553"/>
      <c r="H18" s="1575"/>
      <c r="I18" s="2554" t="s">
        <v>2491</v>
      </c>
      <c r="J18" s="977"/>
      <c r="K18" s="978"/>
    </row>
    <row r="19" spans="1:33" s="973" customFormat="1" ht="13.5" customHeight="1">
      <c r="A19" s="969" t="s">
        <v>805</v>
      </c>
      <c r="B19" s="970" t="s">
        <v>2492</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2493</v>
      </c>
      <c r="C20" s="24">
        <f ca="1">ROUND(D20*E20/10000,0)</f>
        <v>8</v>
      </c>
      <c r="D20" s="1031">
        <f ca="1">IF(C1="",'数据-汇总表'!E6,IF(INDIRECT("'数据-取费表'!c"&amp;$K$1)="住宅",INDIRECT("'数据-取费表'!s"&amp;$K$1),INDIRECT("'数据-取费表'!k"&amp;$K$1)+INDIRECT("'数据-取费表'!s"&amp;$K$1)))</f>
        <v>380</v>
      </c>
      <c r="E20" s="24">
        <f>'数据-取费表'!B28</f>
        <v>200</v>
      </c>
      <c r="F20" s="974"/>
      <c r="G20" s="15"/>
      <c r="H20" s="979"/>
      <c r="I20" s="979"/>
      <c r="J20" s="979"/>
      <c r="K20" s="980"/>
    </row>
    <row r="21" spans="1:33" s="973" customFormat="1" ht="13.5" customHeight="1">
      <c r="A21" s="959" t="s">
        <v>802</v>
      </c>
      <c r="B21" s="983" t="s">
        <v>2494</v>
      </c>
      <c r="C21" s="984">
        <f ca="1">C16+C17+C18</f>
        <v>8</v>
      </c>
      <c r="D21" s="985"/>
      <c r="E21" s="325"/>
      <c r="F21" s="325"/>
      <c r="G21" s="140" t="s">
        <v>2495</v>
      </c>
      <c r="H21" s="977"/>
      <c r="I21" s="977"/>
      <c r="J21" s="977"/>
      <c r="K21" s="978"/>
    </row>
    <row r="22" spans="1:33" s="973" customFormat="1" ht="13.5" customHeight="1">
      <c r="A22" s="959" t="s">
        <v>2467</v>
      </c>
      <c r="B22" s="983" t="s">
        <v>2496</v>
      </c>
      <c r="C22" s="984">
        <f ca="1">ROUND(C21*F22,0)</f>
        <v>0</v>
      </c>
      <c r="D22" s="325"/>
      <c r="E22" s="325"/>
      <c r="F22" s="986">
        <f>'数据-取费表'!B37</f>
        <v>0.02</v>
      </c>
      <c r="G22" s="8" t="s">
        <v>2497</v>
      </c>
      <c r="H22" s="966"/>
      <c r="I22" s="966"/>
      <c r="J22" s="966"/>
      <c r="K22" s="967"/>
    </row>
    <row r="23" spans="1:33" s="973" customFormat="1" ht="13.5" customHeight="1">
      <c r="A23" s="959" t="s">
        <v>2469</v>
      </c>
      <c r="B23" s="983" t="s">
        <v>2498</v>
      </c>
      <c r="C23" s="984">
        <f ca="1">ROUND(C4*F23*F11,0)</f>
        <v>0</v>
      </c>
      <c r="D23" s="325"/>
      <c r="E23" s="325"/>
      <c r="F23" s="986">
        <f>'数据-取费表'!B38</f>
        <v>0.02</v>
      </c>
      <c r="G23" s="8" t="s">
        <v>2499</v>
      </c>
      <c r="H23" s="966"/>
      <c r="I23" s="966"/>
      <c r="J23" s="966"/>
      <c r="K23" s="967"/>
    </row>
    <row r="24" spans="1:33" s="973" customFormat="1" ht="13.5" customHeight="1">
      <c r="A24" s="959" t="s">
        <v>2500</v>
      </c>
      <c r="B24" s="983" t="s">
        <v>2501</v>
      </c>
      <c r="C24" s="324">
        <f>ROUND(F24/(1+'数据-取费表'!C42),4)</f>
        <v>2.9000000000000001E-2</v>
      </c>
      <c r="D24" s="325" t="s">
        <v>15</v>
      </c>
      <c r="E24" s="325"/>
      <c r="F24" s="986">
        <f>IF(项目基本情况!B8="出让",0,'数据-取费表'!B48+'数据-取费表'!B49)</f>
        <v>3.0499999999999999E-2</v>
      </c>
      <c r="G24" s="8" t="s">
        <v>2502</v>
      </c>
      <c r="H24" s="988"/>
      <c r="I24" s="988"/>
      <c r="J24" s="988"/>
      <c r="K24" s="989"/>
    </row>
    <row r="25" spans="1:33" s="973" customFormat="1" ht="13.5" customHeight="1">
      <c r="A25" s="959" t="s">
        <v>2503</v>
      </c>
      <c r="B25" s="985" t="s">
        <v>2504</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2505</v>
      </c>
      <c r="C26" s="1355">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2506</v>
      </c>
      <c r="C27" s="1356">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7"/>
      <c r="I27" s="977"/>
      <c r="J27" s="977"/>
      <c r="K27" s="978"/>
    </row>
    <row r="28" spans="1:33" s="333" customFormat="1" ht="13.5" customHeight="1">
      <c r="A28" s="959" t="s">
        <v>2507</v>
      </c>
      <c r="B28" s="2556" t="s">
        <v>2508</v>
      </c>
      <c r="C28" s="331">
        <f ca="1">C30</f>
        <v>2</v>
      </c>
      <c r="D28" s="324">
        <f ca="1">C29</f>
        <v>0</v>
      </c>
      <c r="E28" s="326" t="s">
        <v>15</v>
      </c>
      <c r="F28" s="332">
        <f ca="1">IF(C1="",'数据-取费表'!Q16,INDIRECT("'数据-取费表'!q"&amp;$K$1))</f>
        <v>0.25</v>
      </c>
      <c r="G28" s="987"/>
      <c r="H28" s="988"/>
      <c r="I28" s="988"/>
      <c r="J28" s="988"/>
      <c r="K28" s="989"/>
    </row>
    <row r="29" spans="1:33" s="335" customFormat="1" ht="13.5" customHeight="1">
      <c r="A29" s="969" t="s">
        <v>803</v>
      </c>
      <c r="B29" s="992" t="s">
        <v>2509</v>
      </c>
      <c r="C29" s="328">
        <f ca="1">ROUND((1+C24)*F28*'数据-取费表'!B24/'数据-取费表'!B20,4)</f>
        <v>0</v>
      </c>
      <c r="D29" s="328"/>
      <c r="E29" s="329"/>
      <c r="F29" s="334"/>
      <c r="G29" s="140" t="s">
        <v>2510</v>
      </c>
      <c r="H29" s="977"/>
      <c r="I29" s="977"/>
      <c r="J29" s="977"/>
      <c r="K29" s="978"/>
    </row>
    <row r="30" spans="1:33" s="335" customFormat="1" ht="13.5" customHeight="1">
      <c r="A30" s="969" t="s">
        <v>804</v>
      </c>
      <c r="B30" s="992" t="s">
        <v>2511</v>
      </c>
      <c r="C30" s="336">
        <f ca="1">ROUND((C21+C22+C23)*F28,0)</f>
        <v>2</v>
      </c>
      <c r="D30" s="328"/>
      <c r="E30" s="329"/>
      <c r="F30" s="334"/>
      <c r="G30" s="140"/>
      <c r="H30" s="977"/>
      <c r="I30" s="977"/>
      <c r="J30" s="977"/>
      <c r="K30" s="978"/>
    </row>
    <row r="31" spans="1:33" s="973" customFormat="1" ht="13.5" customHeight="1" thickBot="1">
      <c r="A31" s="2557" t="s">
        <v>2512</v>
      </c>
      <c r="B31" s="1003" t="s">
        <v>2513</v>
      </c>
      <c r="C31" s="1004">
        <f>ROUND(C4*F31/(1+'数据-取费表'!C42),0)</f>
        <v>0</v>
      </c>
      <c r="D31" s="1005"/>
      <c r="E31" s="1006"/>
      <c r="F31" s="1007">
        <f>'数据-取费表'!B41</f>
        <v>5.6000000000000001E-2</v>
      </c>
      <c r="G31" s="1008" t="s">
        <v>2514</v>
      </c>
      <c r="H31" s="1009"/>
      <c r="I31" s="1009"/>
      <c r="J31" s="1009"/>
      <c r="K31" s="1010"/>
    </row>
    <row r="32" spans="1:33" s="968" customFormat="1" ht="13.5" customHeight="1" thickBot="1">
      <c r="A32" s="998" t="s">
        <v>2515</v>
      </c>
      <c r="B32" s="999"/>
      <c r="C32" s="1000">
        <f ca="1">ROUND((C4-C21-C22-C23-C25-C28-C31)/(1+C24+D25+D28),0)</f>
        <v>-10</v>
      </c>
      <c r="D32" s="999"/>
      <c r="E32" s="999"/>
      <c r="F32" s="999"/>
      <c r="G32" s="1001" t="s">
        <v>2516</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B2" sqref="B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0"/>
      <c r="C1" s="1834" t="s">
        <v>27</v>
      </c>
      <c r="D1" s="1817" t="s">
        <v>70</v>
      </c>
      <c r="E1" s="1818" t="s">
        <v>1382</v>
      </c>
      <c r="F1" s="1281">
        <f ca="1">J53</f>
        <v>43.66</v>
      </c>
      <c r="G1" s="1833">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1510</v>
      </c>
      <c r="B2" s="1841">
        <f ca="1">C40+J29+L46</f>
        <v>2187</v>
      </c>
      <c r="C2" s="1842" t="s">
        <v>1511</v>
      </c>
      <c r="D2" s="1842"/>
      <c r="E2" s="1843"/>
      <c r="F2" s="1844"/>
      <c r="G2" s="1845"/>
      <c r="H2" s="1837"/>
      <c r="I2" s="1837"/>
      <c r="J2" s="1837"/>
      <c r="K2" s="1838"/>
      <c r="L2" s="1837"/>
      <c r="M2" s="1837"/>
    </row>
    <row r="3" spans="1:37" ht="18" customHeight="1" thickBot="1">
      <c r="A3" s="1846" t="s">
        <v>1512</v>
      </c>
      <c r="B3" s="1847">
        <f ca="1">IF(ISERROR(B2*10000/F43),0,ROUND(B2*10000/F43,0))</f>
        <v>57553</v>
      </c>
      <c r="C3" s="1842" t="s">
        <v>1513</v>
      </c>
      <c r="D3" s="1842"/>
      <c r="E3" s="1843"/>
      <c r="F3" s="1844"/>
      <c r="G3" s="1845"/>
      <c r="H3" s="742" t="s">
        <v>1583</v>
      </c>
      <c r="I3" s="1837"/>
      <c r="J3" s="1837"/>
      <c r="K3" s="1838"/>
      <c r="L3" s="1837"/>
      <c r="M3" s="1837"/>
    </row>
    <row r="4" spans="1:37" ht="18" customHeight="1">
      <c r="A4" s="340" t="s">
        <v>1391</v>
      </c>
      <c r="B4" s="341" t="s">
        <v>1392</v>
      </c>
      <c r="C4" s="341" t="s">
        <v>1393</v>
      </c>
      <c r="D4" s="341" t="s">
        <v>1394</v>
      </c>
      <c r="E4" s="342" t="s">
        <v>1395</v>
      </c>
      <c r="F4" s="343"/>
      <c r="G4" s="1848"/>
      <c r="H4" s="340" t="s">
        <v>1391</v>
      </c>
      <c r="I4" s="341" t="s">
        <v>1392</v>
      </c>
      <c r="J4" s="341" t="s">
        <v>1393</v>
      </c>
      <c r="K4" s="341" t="s">
        <v>1394</v>
      </c>
      <c r="L4" s="342" t="s">
        <v>1395</v>
      </c>
      <c r="M4" s="343"/>
    </row>
    <row r="5" spans="1:37" ht="18" customHeight="1">
      <c r="A5" s="344">
        <v>1</v>
      </c>
      <c r="B5" s="345" t="s">
        <v>1396</v>
      </c>
      <c r="C5" s="1290">
        <f ca="1">C6+C10+C12</f>
        <v>100</v>
      </c>
      <c r="D5" s="1819" t="s">
        <v>1397</v>
      </c>
      <c r="E5" s="1291"/>
      <c r="F5" s="1292"/>
      <c r="G5" s="1848"/>
      <c r="H5" s="344">
        <v>1</v>
      </c>
      <c r="I5" s="345" t="s">
        <v>1396</v>
      </c>
      <c r="J5" s="1290">
        <f ca="1">J6+J10+J12</f>
        <v>0</v>
      </c>
      <c r="K5" s="1819" t="s">
        <v>1397</v>
      </c>
      <c r="L5" s="1291"/>
      <c r="M5" s="1292"/>
    </row>
    <row r="6" spans="1:37" ht="18" customHeight="1">
      <c r="A6" s="1289" t="s">
        <v>1032</v>
      </c>
      <c r="B6" s="3154" t="s">
        <v>1398</v>
      </c>
      <c r="C6" s="1294">
        <f ca="1">ROUND(F6*F8*F7*(1-F9)/10000,0)</f>
        <v>100</v>
      </c>
      <c r="D6" s="164" t="s">
        <v>3026</v>
      </c>
      <c r="E6" s="347" t="s">
        <v>1400</v>
      </c>
      <c r="F6" s="348">
        <f ca="1">INDIRECT("'数据-取费表'!u"&amp;$G$1)</f>
        <v>8</v>
      </c>
      <c r="G6" s="1848"/>
      <c r="H6" s="1289" t="s">
        <v>1032</v>
      </c>
      <c r="I6" s="3154" t="s">
        <v>1398</v>
      </c>
      <c r="J6" s="346">
        <f ca="1">ROUND(M6*M8*M7*(1-M9)/10000,0)</f>
        <v>0</v>
      </c>
      <c r="K6" s="164" t="s">
        <v>3025</v>
      </c>
      <c r="L6" s="347" t="s">
        <v>1400</v>
      </c>
      <c r="M6" s="348">
        <f ca="1">INDIRECT("'数据-取费表'!z"&amp;$G$1)</f>
        <v>0</v>
      </c>
    </row>
    <row r="7" spans="1:37" ht="18" customHeight="1">
      <c r="A7" s="1293"/>
      <c r="B7" s="3155"/>
      <c r="C7" s="1295"/>
      <c r="D7" s="352"/>
      <c r="E7" s="1296" t="s">
        <v>1401</v>
      </c>
      <c r="F7" s="348">
        <f ca="1">IF(INDIRECT("'数据-取费表'!ah"&amp;$G$1)="",INDIRECT("'数据-取费表'!k"&amp;$G$1),INDIRECT("'数据-取费表'!ah"&amp;$G$1))</f>
        <v>380</v>
      </c>
      <c r="G7" s="1848"/>
      <c r="H7" s="349"/>
      <c r="I7" s="3155"/>
      <c r="J7" s="351"/>
      <c r="K7" s="352"/>
      <c r="L7" s="347" t="s">
        <v>1401</v>
      </c>
      <c r="M7" s="348">
        <f ca="1">F7</f>
        <v>380</v>
      </c>
    </row>
    <row r="8" spans="1:37" ht="18" customHeight="1">
      <c r="A8" s="349"/>
      <c r="B8" s="3155"/>
      <c r="C8" s="351"/>
      <c r="D8" s="352"/>
      <c r="E8" s="347" t="s">
        <v>1402</v>
      </c>
      <c r="F8" s="348">
        <f ca="1">INDIRECT("'数据-取费表'!ai"&amp;$G$1)</f>
        <v>365</v>
      </c>
      <c r="G8" s="1848"/>
      <c r="H8" s="349"/>
      <c r="I8" s="3155"/>
      <c r="J8" s="351"/>
      <c r="K8" s="352"/>
      <c r="L8" s="347" t="s">
        <v>1402</v>
      </c>
      <c r="M8" s="348">
        <f ca="1">INDIRECT("'数据-取费表'!ai"&amp;$G$1)</f>
        <v>365</v>
      </c>
    </row>
    <row r="9" spans="1:37" ht="18" customHeight="1">
      <c r="A9" s="349"/>
      <c r="B9" s="3156"/>
      <c r="C9" s="351"/>
      <c r="D9" s="352"/>
      <c r="E9" s="347" t="s">
        <v>1403</v>
      </c>
      <c r="F9" s="357">
        <f ca="1">INDIRECT("'数据-取费表'!w"&amp;$G$1)</f>
        <v>0.1</v>
      </c>
      <c r="G9" s="1848"/>
      <c r="H9" s="349"/>
      <c r="I9" s="3156"/>
      <c r="J9" s="351"/>
      <c r="K9" s="352"/>
      <c r="L9" s="358" t="s">
        <v>1403</v>
      </c>
      <c r="M9" s="359">
        <f ca="1">INDIRECT("'数据-取费表'!ab"&amp;$G$1)</f>
        <v>0</v>
      </c>
    </row>
    <row r="10" spans="1:37" ht="18" customHeight="1">
      <c r="A10" s="1289" t="s">
        <v>1036</v>
      </c>
      <c r="B10" s="1820" t="s">
        <v>1404</v>
      </c>
      <c r="C10" s="361">
        <f ca="1">ROUND(IF(F10="押一",C6/12*F11,IF(F10="押二",C6/12*2*F11,IF(F10="押三",C6/12*3*F11,C11*F11))),0)</f>
        <v>0</v>
      </c>
      <c r="D10" s="1821" t="s">
        <v>3035</v>
      </c>
      <c r="E10" s="358" t="s">
        <v>1405</v>
      </c>
      <c r="F10" s="1364" t="s">
        <v>3305</v>
      </c>
      <c r="G10" s="1848"/>
      <c r="H10" s="1289" t="s">
        <v>1036</v>
      </c>
      <c r="I10" s="1820" t="s">
        <v>1404</v>
      </c>
      <c r="J10" s="346">
        <f ca="1">ROUND(IF(M10="押一",J6/12*M11,IF(M10="押二",J6/12*2*M11,IF(M10="押三",J6/12*3*M11,J11*M11))),0)</f>
        <v>0</v>
      </c>
      <c r="K10" s="1821" t="s">
        <v>3034</v>
      </c>
      <c r="L10" s="358" t="s">
        <v>1405</v>
      </c>
      <c r="M10" s="1364" t="s">
        <v>1406</v>
      </c>
    </row>
    <row r="11" spans="1:37" ht="18" customHeight="1">
      <c r="A11" s="353"/>
      <c r="B11" s="1822" t="s">
        <v>1383</v>
      </c>
      <c r="C11" s="1176"/>
      <c r="D11" s="1823"/>
      <c r="E11" s="358" t="s">
        <v>1407</v>
      </c>
      <c r="F11" s="359">
        <f ca="1">'数据-取费表'!B39</f>
        <v>1.4999999999999999E-2</v>
      </c>
      <c r="G11" s="1848"/>
      <c r="H11" s="1297"/>
      <c r="I11" s="1822" t="s">
        <v>1383</v>
      </c>
      <c r="J11" s="1176"/>
      <c r="K11" s="746"/>
      <c r="L11" s="358" t="s">
        <v>1407</v>
      </c>
      <c r="M11" s="1054">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5">
        <f ca="1">ROUND(C29*F13,0)</f>
        <v>261</v>
      </c>
      <c r="D13" s="1329" t="s">
        <v>1410</v>
      </c>
      <c r="E13" s="1329" t="s">
        <v>1411</v>
      </c>
      <c r="F13" s="1330">
        <f ca="1">INDIRECT("'数据-取费表'!y"&amp;$G$1)</f>
        <v>0.97</v>
      </c>
      <c r="G13" s="1848"/>
      <c r="H13" s="1327">
        <v>2</v>
      </c>
      <c r="I13" s="1328" t="s">
        <v>1409</v>
      </c>
      <c r="J13" s="1288">
        <f ca="1">ROUND(J14*J15,0)</f>
        <v>0</v>
      </c>
      <c r="K13" s="1335" t="s">
        <v>1410</v>
      </c>
      <c r="L13" s="1849"/>
      <c r="M13" s="1850"/>
    </row>
    <row r="14" spans="1:37" ht="18" customHeight="1">
      <c r="A14" s="1199" t="s">
        <v>1031</v>
      </c>
      <c r="B14" s="347" t="s">
        <v>1412</v>
      </c>
      <c r="C14" s="363">
        <f ca="1">INDIRECT("'数据-取费表'!m"&amp;$G$1)+INDIRECT("'数据-取费表'!t"&amp;$G$1)</f>
        <v>171</v>
      </c>
      <c r="D14" s="1797" t="s">
        <v>1413</v>
      </c>
      <c r="E14" s="1791"/>
      <c r="F14" s="364"/>
      <c r="G14" s="1848"/>
      <c r="H14" s="1199" t="s">
        <v>1032</v>
      </c>
      <c r="I14" s="347" t="s">
        <v>1414</v>
      </c>
      <c r="J14" s="24">
        <f ca="1">C29</f>
        <v>269</v>
      </c>
      <c r="K14" s="15"/>
      <c r="L14" s="977"/>
      <c r="M14" s="978"/>
    </row>
    <row r="15" spans="1:37" s="1855" customFormat="1" ht="18" customHeight="1" thickBot="1">
      <c r="A15" s="1199" t="s">
        <v>1033</v>
      </c>
      <c r="B15" s="347" t="s">
        <v>1415</v>
      </c>
      <c r="C15" s="24">
        <f ca="1">ROUND(C14*F15,0)</f>
        <v>5</v>
      </c>
      <c r="D15" s="365" t="s">
        <v>1416</v>
      </c>
      <c r="E15" s="365" t="s">
        <v>1417</v>
      </c>
      <c r="F15" s="366">
        <f>'数据-取费表'!B33</f>
        <v>0.03</v>
      </c>
      <c r="G15" s="1851"/>
      <c r="H15" s="1337" t="s">
        <v>1036</v>
      </c>
      <c r="I15" s="1338" t="s">
        <v>1411</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7" t="s">
        <v>1418</v>
      </c>
      <c r="C16" s="24">
        <f ca="1">ROUND(INDIRECT("'数据-取费表'!m"&amp;$G$1)*F16,0)</f>
        <v>0</v>
      </c>
      <c r="D16" s="347" t="s">
        <v>1416</v>
      </c>
      <c r="E16" s="347" t="s">
        <v>1417</v>
      </c>
      <c r="F16" s="367">
        <f ca="1">IF(INDIRECT("'数据-取费表'!c"&amp;$G$1)="住宅",'数据-取费表'!B34,0)</f>
        <v>0</v>
      </c>
      <c r="G16" s="1848"/>
      <c r="H16" s="1327" t="s">
        <v>1027</v>
      </c>
      <c r="I16" s="1328" t="s">
        <v>1419</v>
      </c>
      <c r="J16" s="355">
        <f ca="1">ROUND(J17+J22+J23+J24,0)</f>
        <v>6</v>
      </c>
      <c r="K16" s="1335" t="s">
        <v>1420</v>
      </c>
      <c r="L16" s="1336"/>
      <c r="M16" s="1292"/>
    </row>
    <row r="17" spans="1:37" s="1855" customFormat="1" ht="18" customHeight="1">
      <c r="A17" s="1199" t="s">
        <v>1385</v>
      </c>
      <c r="B17" s="347" t="s">
        <v>1421</v>
      </c>
      <c r="C17" s="24">
        <f ca="1">ROUND(F17*(F43+INDIRECT("'数据-取费表'!S"&amp;$G$1))/10000,0)</f>
        <v>8</v>
      </c>
      <c r="D17" s="347" t="s">
        <v>1422</v>
      </c>
      <c r="E17" s="347" t="s">
        <v>1423</v>
      </c>
      <c r="F17" s="26">
        <f>'数据-取费表'!B35</f>
        <v>200</v>
      </c>
      <c r="G17" s="1851"/>
      <c r="H17" s="1199" t="s">
        <v>1032</v>
      </c>
      <c r="I17" s="347" t="s">
        <v>1424</v>
      </c>
      <c r="J17" s="24">
        <f ca="1">ROUND(IF(项目基本情况!B11="自然人",J6*M17/(1+'数据-取费表'!C42),J18+J19+J20),1)</f>
        <v>2.2999999999999998</v>
      </c>
      <c r="K17" s="1797" t="s">
        <v>1425</v>
      </c>
      <c r="L17" s="1795" t="s">
        <v>1426</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7" t="s">
        <v>1427</v>
      </c>
      <c r="C18" s="24">
        <f ca="1">ROUND(C14*F18,0)</f>
        <v>3</v>
      </c>
      <c r="D18" s="347" t="s">
        <v>1416</v>
      </c>
      <c r="E18" s="347" t="s">
        <v>1417</v>
      </c>
      <c r="F18" s="367">
        <f>'数据-取费表'!B36</f>
        <v>1.4999999999999999E-2</v>
      </c>
      <c r="G18" s="1851"/>
      <c r="H18" s="1199" t="s">
        <v>1031</v>
      </c>
      <c r="I18" s="347" t="s">
        <v>1428</v>
      </c>
      <c r="J18" s="24">
        <f ca="1">ROUND(J6*M18/(1+'数据-取费表'!C42),2)</f>
        <v>0</v>
      </c>
      <c r="K18" s="1795" t="s">
        <v>1429</v>
      </c>
      <c r="L18" s="347" t="s">
        <v>1417</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1430</v>
      </c>
      <c r="C19" s="24">
        <f ca="1">SUM(C14:C18)</f>
        <v>187</v>
      </c>
      <c r="D19" s="140" t="s">
        <v>1431</v>
      </c>
      <c r="E19" s="1815"/>
      <c r="F19" s="26"/>
      <c r="G19" s="1848"/>
      <c r="H19" s="1199" t="s">
        <v>1033</v>
      </c>
      <c r="I19" s="347" t="s">
        <v>1432</v>
      </c>
      <c r="J19" s="24">
        <f ca="1">IF(K19="按租金收入计税",ROUND(J6*M19/(1+'数据-取费表'!C42),2),ROUND(C29*M19*0.7,2))</f>
        <v>2.2599999999999998</v>
      </c>
      <c r="K19" s="1825" t="s">
        <v>1433</v>
      </c>
      <c r="L19" s="347" t="s">
        <v>1417</v>
      </c>
      <c r="M19" s="367">
        <f>IF(K19="按租金收入计税",'数据-取费表'!B51,'数据-取费表'!B50)</f>
        <v>1.2E-2</v>
      </c>
    </row>
    <row r="20" spans="1:37" s="1855" customFormat="1" ht="18" customHeight="1">
      <c r="A20" s="1199" t="s">
        <v>1036</v>
      </c>
      <c r="B20" s="347" t="s">
        <v>1434</v>
      </c>
      <c r="C20" s="24">
        <f ca="1">ROUND(C19*F20,0)</f>
        <v>4</v>
      </c>
      <c r="D20" s="369" t="s">
        <v>1435</v>
      </c>
      <c r="E20" s="347" t="s">
        <v>1417</v>
      </c>
      <c r="F20" s="367">
        <f>'数据-取费表'!B37</f>
        <v>0.02</v>
      </c>
      <c r="G20" s="1851"/>
      <c r="H20" s="1199" t="s">
        <v>1384</v>
      </c>
      <c r="I20" s="164" t="s">
        <v>1436</v>
      </c>
      <c r="J20" s="25">
        <f ca="1">ROUND(M20*M21/10000,2)</f>
        <v>0</v>
      </c>
      <c r="K20" s="370" t="s">
        <v>1437</v>
      </c>
      <c r="L20" s="347" t="s">
        <v>1438</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1439</v>
      </c>
      <c r="C21" s="24" t="s">
        <v>18</v>
      </c>
      <c r="D21" s="369" t="s">
        <v>1440</v>
      </c>
      <c r="E21" s="347" t="s">
        <v>1441</v>
      </c>
      <c r="F21" s="367">
        <f>'数据-取费表'!B38</f>
        <v>0.02</v>
      </c>
      <c r="G21" s="1851"/>
      <c r="H21" s="372"/>
      <c r="I21" s="356"/>
      <c r="J21" s="29"/>
      <c r="K21" s="373"/>
      <c r="L21" s="347" t="s">
        <v>1442</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5"/>
      <c r="F22" s="26"/>
      <c r="G22" s="1848"/>
      <c r="H22" s="1199" t="s">
        <v>1036</v>
      </c>
      <c r="I22" s="347" t="s">
        <v>1444</v>
      </c>
      <c r="J22" s="24">
        <f ca="1">ROUND(J14*M22,1)</f>
        <v>4</v>
      </c>
      <c r="K22" s="1795" t="s">
        <v>1445</v>
      </c>
      <c r="L22" s="347" t="s">
        <v>1417</v>
      </c>
      <c r="M22" s="374">
        <f ca="1">INDIRECT("'数据-取费表'!Ak"&amp;$G$1)</f>
        <v>1.4999999999999999E-2</v>
      </c>
    </row>
    <row r="23" spans="1:37" s="1855" customFormat="1" ht="18" customHeight="1">
      <c r="A23" s="1199" t="s">
        <v>1031</v>
      </c>
      <c r="B23" s="347" t="s">
        <v>1446</v>
      </c>
      <c r="C23" s="24">
        <f ca="1">IF('数据-取费表'!B22&lt;=1,ROUND(C19*F24*F23/2,0)+ROUND(C20*F24*F23/2,0),ROUND(C19*(POWER((1+F24),F23/2)-1),0)+ROUND(C20*(POWER((1+F24),F23/2)-1),0))</f>
        <v>9</v>
      </c>
      <c r="D23" s="375" t="str">
        <f>IF(F23&lt;=1,"(建造成本+管理费用)×利率×(建设周期÷2)","(建造成本+管理费用)×((1+利率)^(建设周期÷2)-1)")</f>
        <v>(建造成本+管理费用)×((1+利率)^(建设周期÷2)-1)</v>
      </c>
      <c r="E23" s="347" t="s">
        <v>1447</v>
      </c>
      <c r="F23" s="371">
        <f>'数据-取费表'!B20</f>
        <v>2</v>
      </c>
      <c r="G23" s="1851"/>
      <c r="H23" s="1199" t="s">
        <v>1072</v>
      </c>
      <c r="I23" s="347" t="s">
        <v>1448</v>
      </c>
      <c r="J23" s="24">
        <f ca="1">ROUND(J13*M23,1)</f>
        <v>0</v>
      </c>
      <c r="K23" s="1795" t="s">
        <v>1449</v>
      </c>
      <c r="L23" s="347" t="s">
        <v>1450</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1"/>
      <c r="H24" s="1337" t="s">
        <v>1388</v>
      </c>
      <c r="I24" s="1338" t="s">
        <v>1434</v>
      </c>
      <c r="J24" s="1339">
        <f ca="1">ROUND(J5*M24,1)</f>
        <v>0</v>
      </c>
      <c r="K24" s="1340" t="s">
        <v>1454</v>
      </c>
      <c r="L24" s="1338" t="s">
        <v>1450</v>
      </c>
      <c r="M24" s="1334">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1455</v>
      </c>
      <c r="B25" s="347" t="s">
        <v>1456</v>
      </c>
      <c r="C25" s="24"/>
      <c r="D25" s="140" t="s">
        <v>1457</v>
      </c>
      <c r="E25" s="1815"/>
      <c r="F25" s="26"/>
      <c r="G25" s="1848"/>
      <c r="H25" s="1327" t="s">
        <v>1028</v>
      </c>
      <c r="I25" s="1342" t="s">
        <v>1458</v>
      </c>
      <c r="J25" s="355">
        <f ca="1">J5-J16</f>
        <v>-6</v>
      </c>
      <c r="K25" s="1343" t="s">
        <v>1459</v>
      </c>
      <c r="L25" s="1344"/>
      <c r="M25" s="1345"/>
    </row>
    <row r="26" spans="1:37">
      <c r="A26" s="1199" t="s">
        <v>1031</v>
      </c>
      <c r="B26" s="347" t="s">
        <v>1460</v>
      </c>
      <c r="C26" s="24">
        <f ca="1">ROUND((C19+C20)*F26,0)</f>
        <v>48</v>
      </c>
      <c r="D26" s="369" t="s">
        <v>1461</v>
      </c>
      <c r="E26" s="358" t="s">
        <v>1462</v>
      </c>
      <c r="F26" s="357">
        <f ca="1">INDIRECT("'数据-取费表'!q"&amp;$G$1)</f>
        <v>0.25</v>
      </c>
      <c r="G26" s="1848"/>
      <c r="H26" s="344" t="s">
        <v>1029</v>
      </c>
      <c r="I26" s="345" t="s">
        <v>1463</v>
      </c>
      <c r="J26" s="346">
        <f ca="1">IF(J5&lt;&gt;0,ROUND(J25*(1-((1+M28)/(1+M26))^M27)/(M26-M28),0),0)</f>
        <v>0</v>
      </c>
      <c r="K26" s="370" t="s">
        <v>1464</v>
      </c>
      <c r="L26" s="347" t="s">
        <v>1465</v>
      </c>
      <c r="M26" s="357">
        <f ca="1">INDIRECT("'数据-取费表'!I"&amp;$G$1)</f>
        <v>0.05</v>
      </c>
    </row>
    <row r="27" spans="1:37" ht="18" customHeight="1">
      <c r="A27" s="1199" t="s">
        <v>1033</v>
      </c>
      <c r="B27" s="347" t="s">
        <v>1466</v>
      </c>
      <c r="C27" s="24">
        <f ca="1">ROUND(F21*F26,4)</f>
        <v>5.0000000000000001E-3</v>
      </c>
      <c r="D27" s="369" t="s">
        <v>1467</v>
      </c>
      <c r="E27" s="365"/>
      <c r="F27" s="366"/>
      <c r="G27" s="1848"/>
      <c r="H27" s="349"/>
      <c r="I27" s="350"/>
      <c r="J27" s="351"/>
      <c r="K27" s="378" t="s">
        <v>1468</v>
      </c>
      <c r="L27" s="347" t="s">
        <v>1469</v>
      </c>
      <c r="M27" s="379">
        <f ca="1">INDIRECT("'数据-取费表'!ag"&amp;$G$1)</f>
        <v>0</v>
      </c>
    </row>
    <row r="28" spans="1:37" s="1855" customFormat="1" ht="18" customHeight="1">
      <c r="A28" s="1199" t="s">
        <v>1034</v>
      </c>
      <c r="B28" s="347" t="s">
        <v>1470</v>
      </c>
      <c r="C28" s="24">
        <f>ROUND(F28/(1+'数据-取费表'!C42),4)</f>
        <v>5.33E-2</v>
      </c>
      <c r="D28" s="369" t="s">
        <v>1471</v>
      </c>
      <c r="E28" s="347" t="s">
        <v>1417</v>
      </c>
      <c r="F28" s="367">
        <f>'数据-取费表'!B41</f>
        <v>5.6000000000000001E-2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f ca="1">ROUND((C19+C20+C23+C26)/(1-F21-C24-C27-C28),0)</f>
        <v>269</v>
      </c>
      <c r="D29" s="1340"/>
      <c r="E29" s="1338"/>
      <c r="F29" s="1341"/>
      <c r="G29" s="1851"/>
      <c r="H29" s="380" t="s">
        <v>1030</v>
      </c>
      <c r="I29" s="381" t="s">
        <v>1474</v>
      </c>
      <c r="J29" s="382">
        <f ca="1">ROUND(J26/(1+F40)^F41,0)</f>
        <v>0</v>
      </c>
      <c r="K29" s="383" t="s">
        <v>1475</v>
      </c>
      <c r="L29" s="384"/>
      <c r="M29" s="385">
        <f ca="1">INDIRECT("'数据-取费表'!k"&amp;$G$1)</f>
        <v>380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5">
        <f ca="1">ROUND(C31+C36+C37+C38,0)</f>
        <v>23</v>
      </c>
      <c r="D30" s="1335" t="s">
        <v>1420</v>
      </c>
      <c r="E30" s="1336"/>
      <c r="F30" s="1292"/>
      <c r="G30" s="1848"/>
      <c r="H30" s="743"/>
      <c r="I30" s="744"/>
      <c r="J30" s="745"/>
      <c r="K30" s="746"/>
      <c r="L30" s="747"/>
      <c r="M30" s="748"/>
    </row>
    <row r="31" spans="1:37" ht="18" customHeight="1">
      <c r="A31" s="1199" t="s">
        <v>1032</v>
      </c>
      <c r="B31" s="347" t="s">
        <v>1424</v>
      </c>
      <c r="C31" s="24">
        <f ca="1">ROUND(IF(项目基本情况!B11="自然人",C6*F31/(1+'数据-取费表'!C42),C32+C33+C34),1)</f>
        <v>16.8</v>
      </c>
      <c r="D31" s="1797" t="s">
        <v>1425</v>
      </c>
      <c r="E31" s="1795" t="s">
        <v>1476</v>
      </c>
      <c r="F31" s="368" t="str">
        <f ca="1">IF(项目基本情况!B11="企业","",IF(INDIRECT("'数据-取费表'!c"&amp;$G$1)="住宅",5%,IF(F6*F7*F8/12/(1+'数据-取费表'!C42)&gt;20000,12%,7%)))</f>
        <v/>
      </c>
      <c r="G31" s="1848"/>
      <c r="H31" s="743"/>
      <c r="I31" s="744"/>
      <c r="J31" s="745"/>
      <c r="K31" s="746"/>
      <c r="L31" s="747"/>
      <c r="M31" s="748"/>
    </row>
    <row r="32" spans="1:37" ht="18" customHeight="1">
      <c r="A32" s="1199" t="s">
        <v>1031</v>
      </c>
      <c r="B32" s="347" t="s">
        <v>1428</v>
      </c>
      <c r="C32" s="24">
        <f ca="1">IF(项目基本情况!B11="自然人","——",ROUND(C6*F32/(1+'数据-取费表'!C42),2))</f>
        <v>5.33</v>
      </c>
      <c r="D32" s="1795" t="s">
        <v>1429</v>
      </c>
      <c r="E32" s="347" t="s">
        <v>1417</v>
      </c>
      <c r="F32" s="377">
        <f>'数据-取费表'!B41</f>
        <v>5.6000000000000001E-2</v>
      </c>
      <c r="G32" s="1848"/>
      <c r="H32" s="743"/>
      <c r="I32" s="744"/>
      <c r="J32" s="745"/>
      <c r="K32" s="746"/>
      <c r="L32" s="747"/>
      <c r="M32" s="748"/>
    </row>
    <row r="33" spans="1:18" ht="18" customHeight="1">
      <c r="A33" s="1199" t="s">
        <v>1033</v>
      </c>
      <c r="B33" s="347" t="s">
        <v>1432</v>
      </c>
      <c r="C33" s="24">
        <f ca="1">IF(项目基本情况!B11="自然人","——",IF(D33="按租金收入计税",ROUND(C6*F33/(1+'数据-取费表'!C42),2),IF(D33="按房产原值计税",ROUND(C29*F33*0.7,2),INDIRECT("'数据-取费表'!Aj"&amp;$G$1))))</f>
        <v>11.43</v>
      </c>
      <c r="D33" s="1825" t="s">
        <v>3306</v>
      </c>
      <c r="E33" s="347" t="s">
        <v>1417</v>
      </c>
      <c r="F33" s="367">
        <f>IF(D33="按票据","——",IF(D33="按租金收入计税",'数据-取费表'!B51,'数据-取费表'!B50))</f>
        <v>0.12</v>
      </c>
      <c r="G33" s="1848"/>
      <c r="H33" s="1856"/>
      <c r="I33" s="1857"/>
      <c r="J33" s="1858"/>
      <c r="K33" s="1859"/>
      <c r="L33" s="1856"/>
      <c r="M33" s="1856"/>
    </row>
    <row r="34" spans="1:18" ht="18" customHeight="1">
      <c r="A34" s="1289" t="s">
        <v>1384</v>
      </c>
      <c r="B34" s="164" t="s">
        <v>1436</v>
      </c>
      <c r="C34" s="25">
        <f ca="1">IF(项目基本情况!B11="自然人","——",ROUND(F34*F35/10000,2))</f>
        <v>0</v>
      </c>
      <c r="D34" s="370" t="s">
        <v>1437</v>
      </c>
      <c r="E34" s="347" t="s">
        <v>1438</v>
      </c>
      <c r="F34" s="371">
        <f>'数据-取费表'!B52</f>
        <v>12</v>
      </c>
      <c r="G34" s="1848"/>
      <c r="H34" s="743"/>
      <c r="I34" s="1857"/>
      <c r="J34" s="1858"/>
      <c r="K34" s="1860"/>
      <c r="L34" s="1861"/>
      <c r="M34" s="1861"/>
    </row>
    <row r="35" spans="1:18" ht="18" customHeight="1">
      <c r="A35" s="1351"/>
      <c r="B35" s="1349"/>
      <c r="C35" s="29"/>
      <c r="D35" s="373"/>
      <c r="E35" s="347" t="s">
        <v>1442</v>
      </c>
      <c r="F35" s="348">
        <f ca="1">INDIRECT("'数据-取费表'!r"&amp;$G$1)</f>
        <v>0</v>
      </c>
      <c r="G35" s="1848"/>
      <c r="H35" s="743"/>
      <c r="I35" s="1857"/>
      <c r="J35" s="1858"/>
      <c r="K35" s="1859"/>
      <c r="L35" s="1856"/>
      <c r="M35" s="1856"/>
    </row>
    <row r="36" spans="1:18" ht="18" customHeight="1">
      <c r="A36" s="1350" t="s">
        <v>1036</v>
      </c>
      <c r="B36" s="347" t="s">
        <v>1444</v>
      </c>
      <c r="C36" s="24">
        <f ca="1">ROUND(C29*F36,1)</f>
        <v>4</v>
      </c>
      <c r="D36" s="1795" t="s">
        <v>1477</v>
      </c>
      <c r="E36" s="347" t="s">
        <v>1417</v>
      </c>
      <c r="F36" s="374">
        <f ca="1">INDIRECT("'数据-取费表'!Ak"&amp;$G$1)</f>
        <v>1.4999999999999999E-2</v>
      </c>
      <c r="G36" s="1848"/>
      <c r="H36" s="1856"/>
      <c r="I36" s="1857"/>
      <c r="J36" s="1858"/>
      <c r="K36" s="749"/>
      <c r="L36" s="1856"/>
      <c r="M36" s="1856"/>
    </row>
    <row r="37" spans="1:18" ht="18" customHeight="1">
      <c r="A37" s="1199" t="s">
        <v>1072</v>
      </c>
      <c r="B37" s="347" t="s">
        <v>1448</v>
      </c>
      <c r="C37" s="24">
        <f ca="1">ROUND(C13*F37,1)</f>
        <v>0.4</v>
      </c>
      <c r="D37" s="1795" t="s">
        <v>1449</v>
      </c>
      <c r="E37" s="347" t="s">
        <v>1450</v>
      </c>
      <c r="F37" s="376">
        <f ca="1">INDIRECT("'数据-取费表'!Al"&amp;$G$1)</f>
        <v>1.5E-3</v>
      </c>
      <c r="G37" s="1848"/>
      <c r="H37" s="1856"/>
      <c r="I37" s="1857"/>
      <c r="J37" s="1858"/>
      <c r="K37" s="749"/>
      <c r="L37" s="1856"/>
      <c r="M37" s="1856"/>
    </row>
    <row r="38" spans="1:18" ht="18" customHeight="1" thickBot="1">
      <c r="A38" s="1337" t="s">
        <v>1388</v>
      </c>
      <c r="B38" s="1338" t="s">
        <v>1434</v>
      </c>
      <c r="C38" s="1339">
        <f ca="1">ROUND(C5*F38,1)</f>
        <v>1.5</v>
      </c>
      <c r="D38" s="1340" t="s">
        <v>1454</v>
      </c>
      <c r="E38" s="1338" t="s">
        <v>1450</v>
      </c>
      <c r="F38" s="1334">
        <f ca="1">INDIRECT("'数据-取费表'!Am"&amp;$G$1)</f>
        <v>1.4999999999999999E-2</v>
      </c>
      <c r="G38" s="1848"/>
      <c r="H38" s="1856"/>
      <c r="I38" s="1857"/>
      <c r="J38" s="1858"/>
      <c r="K38" s="1862"/>
      <c r="L38" s="1856"/>
      <c r="M38" s="1856"/>
    </row>
    <row r="39" spans="1:18" ht="24.6" customHeight="1" thickTop="1">
      <c r="A39" s="1327" t="s">
        <v>1028</v>
      </c>
      <c r="B39" s="1342" t="s">
        <v>1478</v>
      </c>
      <c r="C39" s="355">
        <f ca="1">C5-C30</f>
        <v>77</v>
      </c>
      <c r="D39" s="1343" t="s">
        <v>1479</v>
      </c>
      <c r="E39" s="1344"/>
      <c r="F39" s="1345"/>
      <c r="G39" s="1848"/>
      <c r="H39" s="1856"/>
      <c r="I39" s="1857"/>
      <c r="J39" s="1858"/>
      <c r="K39" s="1862"/>
      <c r="L39" s="1856"/>
      <c r="M39" s="1856"/>
    </row>
    <row r="40" spans="1:18" ht="18" customHeight="1">
      <c r="A40" s="344" t="s">
        <v>1029</v>
      </c>
      <c r="B40" s="345" t="s">
        <v>1480</v>
      </c>
      <c r="C40" s="346">
        <f ca="1">ROUND(C39*(1-((1+F42)/(1+F40))^F41)/(F40-F42),0)</f>
        <v>2187</v>
      </c>
      <c r="D40" s="370" t="s">
        <v>1464</v>
      </c>
      <c r="E40" s="347" t="s">
        <v>1465</v>
      </c>
      <c r="F40" s="357">
        <f ca="1">INDIRECT("'数据-取费表'!I"&amp;$G$1)</f>
        <v>0.05</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43.66</v>
      </c>
      <c r="G41" s="1848"/>
      <c r="H41" s="730"/>
      <c r="I41" s="1857"/>
      <c r="J41" s="1858"/>
      <c r="K41" s="749"/>
      <c r="L41" s="730"/>
      <c r="M41" s="730"/>
    </row>
    <row r="42" spans="1:18" ht="18" customHeight="1">
      <c r="A42" s="353"/>
      <c r="B42" s="354"/>
      <c r="C42" s="355"/>
      <c r="D42" s="373"/>
      <c r="E42" s="347" t="s">
        <v>1472</v>
      </c>
      <c r="F42" s="357">
        <f ca="1">INDIRECT("'数据-取费表'!v"&amp;$G$1)</f>
        <v>0.03</v>
      </c>
      <c r="G42" s="1848"/>
      <c r="H42" s="730"/>
      <c r="I42" s="1857"/>
      <c r="J42" s="1858"/>
      <c r="K42" s="749"/>
      <c r="L42" s="730"/>
      <c r="M42" s="730"/>
    </row>
    <row r="43" spans="1:18" ht="18" customHeight="1" thickBot="1">
      <c r="A43" s="380" t="s">
        <v>1030</v>
      </c>
      <c r="B43" s="381" t="s">
        <v>1482</v>
      </c>
      <c r="C43" s="382">
        <f ca="1">ROUND(C40*10000/F43,0)</f>
        <v>57553</v>
      </c>
      <c r="D43" s="383" t="s">
        <v>1483</v>
      </c>
      <c r="E43" s="384" t="s">
        <v>1484</v>
      </c>
      <c r="F43" s="385">
        <f ca="1">INDIRECT("'数据-取费表'!k"&amp;$G$1)</f>
        <v>380</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4"/>
      <c r="O45" s="1866" t="s">
        <v>1514</v>
      </c>
      <c r="P45" s="1836"/>
      <c r="Q45" s="1836"/>
      <c r="R45" s="1836"/>
    </row>
    <row r="46" spans="1:18" s="1839" customFormat="1" ht="13.5" thickBot="1">
      <c r="A46" s="1867" t="s">
        <v>1515</v>
      </c>
      <c r="C46" s="1868">
        <f ca="1">C68-C40</f>
        <v>-2663</v>
      </c>
      <c r="D46" s="1869" t="str">
        <f>C2</f>
        <v>万元</v>
      </c>
      <c r="E46" s="1863"/>
      <c r="F46" s="1863"/>
      <c r="I46" s="1870" t="s">
        <v>1516</v>
      </c>
      <c r="J46" s="1871"/>
      <c r="K46" s="1872"/>
      <c r="L46" s="1873" t="str">
        <f ca="1">IF(M47="住宅",0,IF(L48&gt;J51,L60,J60))</f>
        <v>0</v>
      </c>
      <c r="O46" s="1874" t="s">
        <v>1517</v>
      </c>
      <c r="P46" s="1875" t="s">
        <v>1518</v>
      </c>
      <c r="Q46" s="1876" t="s">
        <v>1519</v>
      </c>
      <c r="R46" s="1876" t="s">
        <v>1520</v>
      </c>
    </row>
    <row r="47" spans="1:18" s="1839" customFormat="1" ht="13.5" thickBot="1">
      <c r="A47" s="1163" t="s">
        <v>1391</v>
      </c>
      <c r="B47" s="1195" t="s">
        <v>1392</v>
      </c>
      <c r="C47" s="1365" t="s">
        <v>1393</v>
      </c>
      <c r="D47" s="1195" t="s">
        <v>1394</v>
      </c>
      <c r="E47" s="1277" t="s">
        <v>1395</v>
      </c>
      <c r="F47" s="1278"/>
      <c r="G47" s="790"/>
      <c r="I47" s="1877" t="s">
        <v>1521</v>
      </c>
      <c r="J47" s="1878" t="s">
        <v>3257</v>
      </c>
      <c r="K47" s="1879" t="s">
        <v>1522</v>
      </c>
      <c r="L47" s="1880">
        <f ca="1">INDIRECT("'数据-取费表'!d"&amp;$G$1)</f>
        <v>50</v>
      </c>
      <c r="M47" s="1835" t="str">
        <f>IF(ISNUMBER(FIND("住宅",C1)),"住宅","非住宅")</f>
        <v>非住宅</v>
      </c>
      <c r="O47" s="1881" t="s">
        <v>1037</v>
      </c>
      <c r="P47" s="1882" t="s">
        <v>1523</v>
      </c>
      <c r="Q47" s="1883">
        <f ca="1">C40+J29</f>
        <v>2187</v>
      </c>
      <c r="R47" s="1883" t="s">
        <v>1524</v>
      </c>
    </row>
    <row r="48" spans="1:18" s="1839" customFormat="1" ht="28.5" thickBot="1">
      <c r="A48" s="1358" t="s">
        <v>1132</v>
      </c>
      <c r="B48" s="345" t="s">
        <v>1396</v>
      </c>
      <c r="C48" s="1814">
        <f ca="1">C49+C53+C55</f>
        <v>0</v>
      </c>
      <c r="D48" s="1360"/>
      <c r="E48" s="1361"/>
      <c r="F48" s="1179"/>
      <c r="G48" s="790"/>
      <c r="H48" s="791"/>
      <c r="I48" s="1884" t="s">
        <v>1525</v>
      </c>
      <c r="J48" s="1885" t="s">
        <v>3308</v>
      </c>
      <c r="K48" s="1886" t="s">
        <v>1526</v>
      </c>
      <c r="L48" s="1887">
        <f ca="1">INDIRECT("'数据-取费表'!f"&amp;$G$1)</f>
        <v>43.66</v>
      </c>
      <c r="O48" s="1881" t="s">
        <v>1038</v>
      </c>
      <c r="P48" s="1882" t="s">
        <v>1527</v>
      </c>
      <c r="Q48" s="1883" t="str">
        <f ca="1">J60</f>
        <v>0</v>
      </c>
      <c r="R48" s="1883" t="s">
        <v>1528</v>
      </c>
    </row>
    <row r="49" spans="1:18" s="1839" customFormat="1" ht="13.5" thickBot="1">
      <c r="A49" s="1192" t="s">
        <v>1133</v>
      </c>
      <c r="B49" s="1826" t="s">
        <v>1485</v>
      </c>
      <c r="C49" s="1362">
        <f ca="1">ROUND(F49*F51*F50*(1-F52)/10000,0)</f>
        <v>0</v>
      </c>
      <c r="D49" s="1274" t="s">
        <v>3027</v>
      </c>
      <c r="E49" s="1827" t="s">
        <v>1486</v>
      </c>
      <c r="F49" s="1279"/>
      <c r="G49" s="1888"/>
      <c r="H49" s="791"/>
      <c r="I49" s="1884" t="s">
        <v>1529</v>
      </c>
      <c r="J49" s="1889">
        <v>2017</v>
      </c>
      <c r="K49" s="1886" t="s">
        <v>1530</v>
      </c>
      <c r="L49" s="1890"/>
      <c r="O49" s="1891" t="s">
        <v>1039</v>
      </c>
      <c r="P49" s="1882" t="s">
        <v>1531</v>
      </c>
      <c r="Q49" s="1883">
        <f ca="1">C29</f>
        <v>269</v>
      </c>
      <c r="R49" s="1883" t="s">
        <v>1524</v>
      </c>
    </row>
    <row r="50" spans="1:18" s="1839" customFormat="1" ht="13.5" thickBot="1">
      <c r="A50" s="1193"/>
      <c r="B50" s="1196"/>
      <c r="C50" s="1366"/>
      <c r="D50" s="1170"/>
      <c r="E50" s="1275" t="s">
        <v>1401</v>
      </c>
      <c r="F50" s="1276">
        <f ca="1">F7</f>
        <v>380</v>
      </c>
      <c r="H50" s="791"/>
      <c r="I50" s="1884" t="s">
        <v>1532</v>
      </c>
      <c r="J50" s="1892">
        <f>SUMPRODUCT((I63:I65=J47)*(J62:L62=J48)*(J63:L65))</f>
        <v>60</v>
      </c>
      <c r="K50" s="1886" t="s">
        <v>1533</v>
      </c>
      <c r="L50" s="1890"/>
      <c r="M50" s="1893"/>
      <c r="O50" s="1891" t="s">
        <v>1040</v>
      </c>
      <c r="P50" s="1882" t="s">
        <v>1534</v>
      </c>
      <c r="Q50" s="1894" t="e">
        <f ca="1">J58</f>
        <v>#VALUE!</v>
      </c>
      <c r="R50" s="1883"/>
    </row>
    <row r="51" spans="1:18" s="1839" customFormat="1" ht="13.5" thickBot="1">
      <c r="A51" s="1194"/>
      <c r="B51" s="1196"/>
      <c r="C51" s="1197"/>
      <c r="D51" s="1170"/>
      <c r="E51" s="1198" t="s">
        <v>1402</v>
      </c>
      <c r="F51" s="348">
        <f ca="1">F8</f>
        <v>365</v>
      </c>
      <c r="I51" s="1895" t="s">
        <v>1535</v>
      </c>
      <c r="J51" s="1896">
        <f>IF(J49="",J50,J49+J50-YEAR('数据-取费表'!B2))</f>
        <v>58</v>
      </c>
      <c r="K51" s="1897" t="s">
        <v>1536</v>
      </c>
      <c r="L51" s="1898">
        <f ca="1">ROUND(-PV(INDIRECT("'数据-取费表'!h"&amp;$G$1),L48,(C39-C13*C76),0),0)</f>
        <v>1040</v>
      </c>
      <c r="M51" s="1899"/>
      <c r="O51" s="1891" t="s">
        <v>1041</v>
      </c>
      <c r="P51" s="1882" t="s">
        <v>1537</v>
      </c>
      <c r="Q51" s="1894">
        <f>J52</f>
        <v>0.09</v>
      </c>
      <c r="R51" s="1883"/>
    </row>
    <row r="52" spans="1:18" s="1839" customFormat="1" ht="13.5" thickBot="1">
      <c r="A52" s="1194"/>
      <c r="B52" s="1196"/>
      <c r="C52" s="1197"/>
      <c r="D52" s="1170"/>
      <c r="E52" s="1198" t="s">
        <v>1403</v>
      </c>
      <c r="F52" s="1273"/>
      <c r="I52" s="1900" t="s">
        <v>1538</v>
      </c>
      <c r="J52" s="1901">
        <v>0.09</v>
      </c>
      <c r="K52" s="1900" t="s">
        <v>1539</v>
      </c>
      <c r="L52" s="1901"/>
      <c r="O52" s="1891" t="s">
        <v>1042</v>
      </c>
      <c r="P52" s="1882" t="s">
        <v>1540</v>
      </c>
      <c r="Q52" s="1883">
        <f ca="1">J53</f>
        <v>43.66</v>
      </c>
      <c r="R52" s="1883" t="s">
        <v>1541</v>
      </c>
    </row>
    <row r="53" spans="1:18" s="1839" customFormat="1" ht="24.75" thickBot="1">
      <c r="A53" s="1403" t="s">
        <v>1134</v>
      </c>
      <c r="B53" s="1828" t="s">
        <v>1404</v>
      </c>
      <c r="C53" s="361">
        <f ca="1">ROUND(IF(F53="押一",C49/12*F11,IF(F53="押二",C49/12*2*F11,IF(F53="押三",C49/12*3*F11,C54*F11))),0)</f>
        <v>0</v>
      </c>
      <c r="D53" s="1821" t="s">
        <v>3034</v>
      </c>
      <c r="E53" s="358" t="s">
        <v>1405</v>
      </c>
      <c r="F53" s="1364"/>
      <c r="I53" s="1902" t="s">
        <v>1542</v>
      </c>
      <c r="J53" s="2947">
        <f ca="1">IF(M47="住宅",IF(D1="——",MAX(J51,L48),MAX(J51,L48-'数据-取费表'!B24)),IF(D1="——",MIN(J51,L48),MIN(J51,L48-'数据-取费表'!B24)))</f>
        <v>43.66</v>
      </c>
      <c r="K53" s="3152" t="s">
        <v>1543</v>
      </c>
      <c r="L53" s="3153"/>
      <c r="O53" s="1881" t="s">
        <v>1043</v>
      </c>
      <c r="P53" s="1882" t="s">
        <v>1544</v>
      </c>
      <c r="Q53" s="1883">
        <f ca="1">Q47+Q48</f>
        <v>2187</v>
      </c>
      <c r="R53" s="1883" t="s">
        <v>1044</v>
      </c>
    </row>
    <row r="54" spans="1:18" s="1839" customFormat="1" ht="13.5" thickBot="1">
      <c r="A54" s="1404"/>
      <c r="B54" s="1822" t="s">
        <v>1383</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1545</v>
      </c>
      <c r="P54" s="1836"/>
      <c r="Q54" s="1836"/>
      <c r="R54" s="1836"/>
    </row>
    <row r="55" spans="1:18" s="1839" customFormat="1" ht="13.5" thickBot="1">
      <c r="A55" s="1331" t="s">
        <v>1072</v>
      </c>
      <c r="B55" s="1824" t="s">
        <v>1408</v>
      </c>
      <c r="C55" s="1332"/>
      <c r="D55" s="1821"/>
      <c r="E55" s="1829"/>
      <c r="F55" s="1903"/>
      <c r="I55" s="1906" t="s">
        <v>1546</v>
      </c>
      <c r="J55" s="1907" t="e">
        <f ca="1">ROUND(IF(J47="钢混",J57/J50,1-(1-2%)*(J50-J57)/J50),3)</f>
        <v>#VALUE!</v>
      </c>
      <c r="K55" s="1908" t="s">
        <v>1547</v>
      </c>
      <c r="L55" s="1909" t="s">
        <v>1548</v>
      </c>
      <c r="O55" s="1874" t="s">
        <v>1517</v>
      </c>
      <c r="P55" s="1875" t="s">
        <v>1518</v>
      </c>
      <c r="Q55" s="1876" t="s">
        <v>1519</v>
      </c>
      <c r="R55" s="1876" t="s">
        <v>1520</v>
      </c>
    </row>
    <row r="56" spans="1:18" s="1839" customFormat="1" ht="25.5" thickTop="1" thickBot="1">
      <c r="A56" s="1174">
        <v>2</v>
      </c>
      <c r="B56" s="1175" t="s">
        <v>1409</v>
      </c>
      <c r="C56" s="276">
        <f ca="1">C13</f>
        <v>261</v>
      </c>
      <c r="D56" s="1910"/>
      <c r="E56" s="1911"/>
      <c r="F56" s="1903"/>
      <c r="I56" s="1912" t="s">
        <v>1549</v>
      </c>
      <c r="J56" s="2961" t="s">
        <v>3246</v>
      </c>
      <c r="K56" s="1884" t="s">
        <v>1550</v>
      </c>
      <c r="L56" s="1887" t="str">
        <f ca="1">IF(L48&lt;J51,"——",L48-J53)</f>
        <v>——</v>
      </c>
      <c r="O56" s="1881" t="s">
        <v>1037</v>
      </c>
      <c r="P56" s="1882" t="s">
        <v>1523</v>
      </c>
      <c r="Q56" s="1883">
        <f ca="1">C40+J29</f>
        <v>2187</v>
      </c>
      <c r="R56" s="1883" t="s">
        <v>1524</v>
      </c>
    </row>
    <row r="57" spans="1:18" s="1839" customFormat="1" ht="24.75" thickBot="1">
      <c r="A57" s="1914"/>
      <c r="B57" s="1167" t="s">
        <v>1473</v>
      </c>
      <c r="C57" s="282">
        <f ca="1">C29</f>
        <v>269</v>
      </c>
      <c r="D57" s="1915"/>
      <c r="E57" s="1916"/>
      <c r="F57" s="1917"/>
      <c r="I57" s="1918" t="s">
        <v>1551</v>
      </c>
      <c r="J57" s="1919" t="str">
        <f ca="1">IF(OR(M47="住宅",J51&lt;L48,J56="是"),"——",J51-L48)</f>
        <v>——</v>
      </c>
      <c r="K57" s="1884" t="s">
        <v>1552</v>
      </c>
      <c r="L57" s="1887" t="str">
        <f ca="1">IF(L48&lt;J51,"——",IF(L55="比较法",L49,IF(L55="基准地价",L50,L51)))</f>
        <v>——</v>
      </c>
      <c r="O57" s="1881" t="s">
        <v>1038</v>
      </c>
      <c r="P57" s="1882" t="s">
        <v>1553</v>
      </c>
      <c r="Q57" s="1883">
        <f ca="1">L60</f>
        <v>0</v>
      </c>
      <c r="R57" s="1883" t="s">
        <v>1554</v>
      </c>
    </row>
    <row r="58" spans="1:18" s="1839" customFormat="1" ht="24.75" thickBot="1">
      <c r="A58" s="360" t="s">
        <v>1027</v>
      </c>
      <c r="B58" s="1175" t="s">
        <v>1419</v>
      </c>
      <c r="C58" s="361">
        <f ca="1">ROUND(C59+C64+C65+C66,0)</f>
        <v>27</v>
      </c>
      <c r="D58" s="1177" t="s">
        <v>1420</v>
      </c>
      <c r="E58" s="1178"/>
      <c r="F58" s="1179"/>
      <c r="I58" s="1918" t="s">
        <v>1555</v>
      </c>
      <c r="J58" s="1920" t="e">
        <f ca="1">IF(J55&lt;0.4,0.4,J55)</f>
        <v>#VALUE!</v>
      </c>
      <c r="K58" s="1897" t="s">
        <v>1556</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9" t="s">
        <v>1032</v>
      </c>
      <c r="B59" s="1167" t="s">
        <v>1424</v>
      </c>
      <c r="C59" s="24">
        <f ca="1">ROUND(IF(项目基本情况!B11="自然人",C48*F59,C60+C61+C62),1)</f>
        <v>22.6</v>
      </c>
      <c r="D59" s="1180" t="s">
        <v>1425</v>
      </c>
      <c r="E59" s="1181" t="s">
        <v>1426</v>
      </c>
      <c r="F59" s="368" t="str">
        <f ca="1">IF(项目基本情况!B11="企业","",IF(INDIRECT("'数据-取费表'!c"&amp;$G$1)="住宅",5%,IF(F49*F50*F51/12/(1+'数据-取费表'!C42)&gt;20000,12%,7%)))</f>
        <v/>
      </c>
      <c r="I59" s="1918" t="s">
        <v>1558</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1559</v>
      </c>
      <c r="Q59" s="1894">
        <f>L52</f>
        <v>0</v>
      </c>
      <c r="R59" s="1883"/>
    </row>
    <row r="60" spans="1:18" s="1839" customFormat="1" ht="16.5" thickBot="1">
      <c r="A60" s="1199" t="s">
        <v>1031</v>
      </c>
      <c r="B60" s="1167" t="s">
        <v>1428</v>
      </c>
      <c r="C60" s="24">
        <f ca="1">IF(项目基本情况!B11="自然人","——",ROUND(C48*F60/(1+'数据-取费表'!C42),2))</f>
        <v>0</v>
      </c>
      <c r="D60" s="1181" t="s">
        <v>1429</v>
      </c>
      <c r="E60" s="1167" t="s">
        <v>1417</v>
      </c>
      <c r="F60" s="377">
        <f t="shared" ref="F60:F66" si="0">F32</f>
        <v>5.6000000000000001E-2</v>
      </c>
      <c r="I60" s="1921" t="s">
        <v>1560</v>
      </c>
      <c r="J60" s="1922" t="str">
        <f ca="1">IF(OR(M47="住宅",J51&lt;L48,J56="是"),"0",ROUND(J59/(1+J52)^J53,0))</f>
        <v>0</v>
      </c>
      <c r="K60" s="1923" t="s">
        <v>1561</v>
      </c>
      <c r="L60" s="1922">
        <f ca="1">IF(OR(M47="住宅",L48&lt;J51),0,ROUND(L57*(L58/L59-1),0))</f>
        <v>0</v>
      </c>
      <c r="O60" s="1891" t="s">
        <v>1041</v>
      </c>
      <c r="P60" s="1882" t="s">
        <v>1562</v>
      </c>
      <c r="Q60" s="1883" t="e">
        <f ca="1">L58</f>
        <v>#DIV/0!</v>
      </c>
      <c r="R60" s="1883" t="s">
        <v>1563</v>
      </c>
    </row>
    <row r="61" spans="1:18" s="1839" customFormat="1" ht="13.5" thickBot="1">
      <c r="A61" s="1199" t="s">
        <v>1487</v>
      </c>
      <c r="B61" s="1167" t="s">
        <v>1488</v>
      </c>
      <c r="C61" s="24">
        <f ca="1">IF(项目基本情况!B11="自然人","——",IF(D61="按租金收入计税",ROUND(C48*F61,2),IF(D61="按房产原值计税",ROUND(C57*F61*0.7,2),INDIRECT("'数据-取费表'!Aj"&amp;$G$1))))</f>
        <v>22.6</v>
      </c>
      <c r="D61" s="1825" t="s">
        <v>1433</v>
      </c>
      <c r="E61" s="1167" t="s">
        <v>1489</v>
      </c>
      <c r="F61" s="367">
        <f t="shared" si="0"/>
        <v>0.12</v>
      </c>
      <c r="I61" s="1924"/>
      <c r="J61" s="1924"/>
      <c r="K61" s="1924"/>
      <c r="L61" s="1924"/>
      <c r="O61" s="1891" t="s">
        <v>1042</v>
      </c>
      <c r="P61" s="1882" t="str">
        <f>K59</f>
        <v>建筑物剩余耐用年限下的土地年期修正系数Kn</v>
      </c>
      <c r="Q61" s="1883" t="e">
        <f ca="1">L59</f>
        <v>#DIV/0!</v>
      </c>
      <c r="R61" s="1883" t="s">
        <v>1564</v>
      </c>
    </row>
    <row r="62" spans="1:18" s="1839" customFormat="1" ht="13.5" thickBot="1">
      <c r="A62" s="1199" t="s">
        <v>1490</v>
      </c>
      <c r="B62" s="1166" t="s">
        <v>1491</v>
      </c>
      <c r="C62" s="25">
        <f ca="1">IF(项目基本情况!B11="自然人","——",ROUND(F62*F63/10000,2))</f>
        <v>0</v>
      </c>
      <c r="D62" s="1182" t="s">
        <v>1492</v>
      </c>
      <c r="E62" s="1167" t="s">
        <v>1493</v>
      </c>
      <c r="F62" s="371">
        <f t="shared" si="0"/>
        <v>12</v>
      </c>
      <c r="I62" s="1925" t="s">
        <v>1565</v>
      </c>
      <c r="J62" s="1926" t="s">
        <v>1566</v>
      </c>
      <c r="K62" s="1926" t="s">
        <v>1567</v>
      </c>
      <c r="L62" s="1926" t="s">
        <v>1568</v>
      </c>
      <c r="M62" s="1927" t="s">
        <v>1569</v>
      </c>
      <c r="O62" s="1881" t="s">
        <v>1043</v>
      </c>
      <c r="P62" s="1882" t="s">
        <v>1570</v>
      </c>
      <c r="Q62" s="1883">
        <f ca="1">Q56+Q57</f>
        <v>2187</v>
      </c>
      <c r="R62" s="1883" t="s">
        <v>1044</v>
      </c>
    </row>
    <row r="63" spans="1:18" s="1839" customFormat="1" ht="13.5" thickBot="1">
      <c r="A63" s="372"/>
      <c r="B63" s="1173"/>
      <c r="C63" s="29"/>
      <c r="D63" s="1183"/>
      <c r="E63" s="1167" t="s">
        <v>1494</v>
      </c>
      <c r="F63" s="348">
        <f t="shared" ca="1" si="0"/>
        <v>0</v>
      </c>
      <c r="I63" s="1925" t="s">
        <v>1571</v>
      </c>
      <c r="J63" s="1926">
        <v>70</v>
      </c>
      <c r="K63" s="1926">
        <v>50</v>
      </c>
      <c r="L63" s="1926">
        <v>80</v>
      </c>
      <c r="M63" s="1928">
        <v>0.02</v>
      </c>
      <c r="O63" s="1866" t="s">
        <v>1572</v>
      </c>
      <c r="P63" s="1836"/>
      <c r="Q63" s="1836"/>
      <c r="R63" s="1836"/>
    </row>
    <row r="64" spans="1:18" s="1839" customFormat="1" ht="13.5" thickBot="1">
      <c r="A64" s="1199" t="s">
        <v>1495</v>
      </c>
      <c r="B64" s="1167" t="s">
        <v>1496</v>
      </c>
      <c r="C64" s="24">
        <f ca="1">ROUND(C57*F64,1)</f>
        <v>4</v>
      </c>
      <c r="D64" s="1181" t="s">
        <v>1497</v>
      </c>
      <c r="E64" s="1167" t="s">
        <v>1489</v>
      </c>
      <c r="F64" s="374">
        <f t="shared" ca="1" si="0"/>
        <v>1.4999999999999999E-2</v>
      </c>
      <c r="I64" s="1925" t="s">
        <v>1573</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f ca="1">ROUND(C56*F65,1)</f>
        <v>0.4</v>
      </c>
      <c r="D65" s="1181" t="s">
        <v>1449</v>
      </c>
      <c r="E65" s="1167" t="s">
        <v>1450</v>
      </c>
      <c r="F65" s="376">
        <f t="shared" ca="1" si="0"/>
        <v>1.5E-3</v>
      </c>
      <c r="I65" s="1925" t="s">
        <v>1574</v>
      </c>
      <c r="J65" s="1926">
        <v>40</v>
      </c>
      <c r="K65" s="1926">
        <v>30</v>
      </c>
      <c r="L65" s="1926">
        <v>50</v>
      </c>
      <c r="M65" s="1928">
        <v>0.02</v>
      </c>
      <c r="O65" s="1881" t="s">
        <v>1037</v>
      </c>
      <c r="P65" s="1882" t="s">
        <v>1575</v>
      </c>
      <c r="Q65" s="1883">
        <f ca="1">C40+J29</f>
        <v>2187</v>
      </c>
      <c r="R65" s="1883" t="s">
        <v>1524</v>
      </c>
    </row>
    <row r="66" spans="1:18" s="1839" customFormat="1" ht="16.5" thickBot="1">
      <c r="A66" s="1199" t="s">
        <v>1499</v>
      </c>
      <c r="B66" s="1167" t="s">
        <v>1434</v>
      </c>
      <c r="C66" s="24">
        <f ca="1">ROUND(C48*F66,1)</f>
        <v>0</v>
      </c>
      <c r="D66" s="1181" t="s">
        <v>1500</v>
      </c>
      <c r="E66" s="1167" t="s">
        <v>1417</v>
      </c>
      <c r="F66" s="357">
        <f t="shared" ca="1" si="0"/>
        <v>1.4999999999999999E-2</v>
      </c>
      <c r="O66" s="1881" t="s">
        <v>1038</v>
      </c>
      <c r="P66" s="1882" t="s">
        <v>1553</v>
      </c>
      <c r="Q66" s="1883">
        <f ca="1">L60</f>
        <v>0</v>
      </c>
      <c r="R66" s="1883" t="s">
        <v>1576</v>
      </c>
    </row>
    <row r="67" spans="1:18" s="1839" customFormat="1" ht="16.5" thickBot="1">
      <c r="A67" s="1174" t="s">
        <v>1028</v>
      </c>
      <c r="B67" s="1184" t="s">
        <v>1458</v>
      </c>
      <c r="C67" s="361">
        <f ca="1">C48-C58</f>
        <v>-27</v>
      </c>
      <c r="D67" s="1180" t="s">
        <v>1459</v>
      </c>
      <c r="E67" s="1185"/>
      <c r="F67" s="1186"/>
      <c r="O67" s="1891" t="s">
        <v>1039</v>
      </c>
      <c r="P67" s="1882" t="s">
        <v>1557</v>
      </c>
      <c r="Q67" s="1929">
        <f ca="1">L51</f>
        <v>1040</v>
      </c>
      <c r="R67" s="1883" t="s">
        <v>1577</v>
      </c>
    </row>
    <row r="68" spans="1:18" s="1839" customFormat="1" ht="16.5" thickBot="1">
      <c r="A68" s="1164" t="s">
        <v>1029</v>
      </c>
      <c r="B68" s="1165" t="s">
        <v>1480</v>
      </c>
      <c r="C68" s="346">
        <f ca="1">ROUND(C67*(1-((1+F70)/(1+F68))^F69)/(F68-F70),0)</f>
        <v>-476</v>
      </c>
      <c r="D68" s="1182" t="s">
        <v>1464</v>
      </c>
      <c r="E68" s="1167" t="s">
        <v>1465</v>
      </c>
      <c r="F68" s="357">
        <f ca="1">F40</f>
        <v>0.05</v>
      </c>
      <c r="O68" s="1891" t="s">
        <v>1040</v>
      </c>
      <c r="P68" s="1930" t="s">
        <v>1578</v>
      </c>
      <c r="Q68" s="1883">
        <f ca="1">ROUND(Q69-Q70*Q71,0)</f>
        <v>55</v>
      </c>
      <c r="R68" s="1883" t="s">
        <v>1048</v>
      </c>
    </row>
    <row r="69" spans="1:18" s="1839" customFormat="1" ht="13.5" thickBot="1">
      <c r="A69" s="1168"/>
      <c r="B69" s="1169"/>
      <c r="C69" s="351"/>
      <c r="D69" s="1187" t="s">
        <v>1468</v>
      </c>
      <c r="E69" s="1167" t="s">
        <v>1469</v>
      </c>
      <c r="F69" s="379">
        <f ca="1">F41</f>
        <v>43.66</v>
      </c>
      <c r="O69" s="1891" t="s">
        <v>1045</v>
      </c>
      <c r="P69" s="1930" t="s">
        <v>1579</v>
      </c>
      <c r="Q69" s="1883">
        <f ca="1">C39</f>
        <v>77</v>
      </c>
      <c r="R69" s="1883" t="s">
        <v>1524</v>
      </c>
    </row>
    <row r="70" spans="1:18" s="1839" customFormat="1" ht="13.5" thickBot="1">
      <c r="A70" s="1171"/>
      <c r="B70" s="1172"/>
      <c r="C70" s="355"/>
      <c r="D70" s="1183"/>
      <c r="E70" s="1167" t="s">
        <v>1472</v>
      </c>
      <c r="F70" s="1273"/>
      <c r="O70" s="1891" t="s">
        <v>1046</v>
      </c>
      <c r="P70" s="1930" t="s">
        <v>1580</v>
      </c>
      <c r="Q70" s="1883">
        <f ca="1">C13</f>
        <v>261</v>
      </c>
      <c r="R70" s="1883" t="s">
        <v>1524</v>
      </c>
    </row>
    <row r="71" spans="1:18" s="1839" customFormat="1" ht="13.5" thickBot="1">
      <c r="A71" s="1188" t="s">
        <v>1030</v>
      </c>
      <c r="B71" s="1189" t="s">
        <v>1482</v>
      </c>
      <c r="C71" s="382">
        <f ca="1">ROUND(C68*10000/F71,0)</f>
        <v>-12526</v>
      </c>
      <c r="D71" s="1190" t="s">
        <v>1483</v>
      </c>
      <c r="E71" s="1191" t="s">
        <v>1484</v>
      </c>
      <c r="F71" s="385">
        <f ca="1">F43</f>
        <v>380</v>
      </c>
      <c r="O71" s="1891" t="s">
        <v>1047</v>
      </c>
      <c r="P71" s="1930" t="s">
        <v>1581</v>
      </c>
      <c r="Q71" s="1894">
        <f ca="1">C76</f>
        <v>8.5000000000000006E-2</v>
      </c>
      <c r="R71" s="1883"/>
    </row>
    <row r="72" spans="1:18" s="1839" customFormat="1" ht="13.5" thickBot="1">
      <c r="B72" s="794"/>
      <c r="C72" s="794"/>
      <c r="O72" s="1891" t="s">
        <v>1041</v>
      </c>
      <c r="P72" s="1882" t="s">
        <v>1559</v>
      </c>
      <c r="Q72" s="1894">
        <f>L52</f>
        <v>0</v>
      </c>
      <c r="R72" s="1883"/>
    </row>
    <row r="73" spans="1:18" ht="16.5" thickBot="1">
      <c r="A73" s="1839"/>
      <c r="B73" s="794"/>
      <c r="C73" s="794"/>
      <c r="D73" s="1839"/>
      <c r="E73" s="1839"/>
      <c r="F73" s="1839"/>
      <c r="O73" s="1891" t="s">
        <v>1042</v>
      </c>
      <c r="P73" s="1882" t="s">
        <v>1562</v>
      </c>
      <c r="Q73" s="1883" t="e">
        <f ca="1">L58</f>
        <v>#DIV/0!</v>
      </c>
      <c r="R73" s="1883" t="s">
        <v>1563</v>
      </c>
    </row>
    <row r="74" spans="1:18" ht="13.5" thickBot="1">
      <c r="A74" s="1839"/>
      <c r="B74" s="317" t="s">
        <v>1582</v>
      </c>
      <c r="C74" s="1932"/>
      <c r="D74" s="1839"/>
      <c r="E74" s="1839"/>
      <c r="F74" s="1839"/>
      <c r="O74" s="1891" t="s">
        <v>1049</v>
      </c>
      <c r="P74" s="1882" t="str">
        <f>K59</f>
        <v>建筑物剩余耐用年限下的土地年期修正系数Kn</v>
      </c>
      <c r="Q74" s="1883" t="e">
        <f ca="1">L59</f>
        <v>#DIV/0!</v>
      </c>
      <c r="R74" s="1883" t="s">
        <v>1564</v>
      </c>
    </row>
    <row r="75" spans="1:18" ht="13.5" thickBot="1">
      <c r="A75" s="1839"/>
      <c r="B75" s="386" t="s">
        <v>1501</v>
      </c>
      <c r="C75" s="387">
        <f ca="1">ROUND(C13*C76,0)</f>
        <v>22</v>
      </c>
      <c r="D75" s="1839"/>
      <c r="E75" s="1839"/>
      <c r="F75" s="1839"/>
      <c r="K75" s="1865"/>
      <c r="L75" s="1839"/>
      <c r="O75" s="1881" t="s">
        <v>1043</v>
      </c>
      <c r="P75" s="1882" t="s">
        <v>1544</v>
      </c>
      <c r="Q75" s="1883">
        <f ca="1">Q65+Q66</f>
        <v>2187</v>
      </c>
      <c r="R75" s="1883" t="s">
        <v>1044</v>
      </c>
    </row>
    <row r="76" spans="1:18">
      <c r="B76" s="388" t="s">
        <v>1502</v>
      </c>
      <c r="C76" s="389">
        <f ca="1">INDIRECT("'数据-取费表'!j"&amp;$G$1)</f>
        <v>8.5000000000000006E-2</v>
      </c>
      <c r="I76" s="1839"/>
      <c r="J76" s="1839"/>
      <c r="K76" s="1865"/>
      <c r="L76" s="1839"/>
    </row>
    <row r="77" spans="1:18">
      <c r="B77" s="390" t="s">
        <v>1503</v>
      </c>
      <c r="C77" s="391"/>
      <c r="I77" s="1839"/>
      <c r="J77" s="1839"/>
      <c r="K77" s="1865"/>
      <c r="L77" s="1839"/>
    </row>
    <row r="78" spans="1:18">
      <c r="B78" s="314" t="s">
        <v>1504</v>
      </c>
      <c r="C78" s="392"/>
    </row>
    <row r="79" spans="1:18">
      <c r="B79" s="386" t="s">
        <v>1505</v>
      </c>
      <c r="C79" s="318">
        <f ca="1">1-C80</f>
        <v>0.71399999999999997</v>
      </c>
    </row>
    <row r="80" spans="1:18">
      <c r="B80" s="386" t="s">
        <v>1506</v>
      </c>
      <c r="C80" s="318">
        <f ca="1">ROUND(C75/C39,3)</f>
        <v>0.28599999999999998</v>
      </c>
    </row>
    <row r="81" spans="2:3">
      <c r="B81" s="314" t="s">
        <v>1507</v>
      </c>
      <c r="C81" s="282"/>
    </row>
    <row r="82" spans="2:3">
      <c r="B82" s="317" t="s">
        <v>1508</v>
      </c>
      <c r="C82" s="319">
        <f ca="1">1-C83</f>
        <v>0.88100000000000001</v>
      </c>
    </row>
    <row r="83" spans="2:3">
      <c r="B83" s="317" t="s">
        <v>1509</v>
      </c>
      <c r="C83" s="318">
        <f ca="1">ROUND(C13/C40,3)</f>
        <v>0.11899999999999999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0"/>
      <c r="C1" s="1834"/>
      <c r="D1" s="1817"/>
      <c r="E1" s="1818" t="s">
        <v>1382</v>
      </c>
      <c r="F1" s="1281">
        <f ca="1">J53</f>
        <v>0</v>
      </c>
      <c r="G1" s="1833">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1585</v>
      </c>
      <c r="B2" s="1841" t="e">
        <f ca="1">ROUND(D2/10000,0)</f>
        <v>#DIV/0!</v>
      </c>
      <c r="C2" s="1842" t="s">
        <v>1586</v>
      </c>
      <c r="D2" s="1934" t="e">
        <f ca="1">C40+J29+L46</f>
        <v>#DIV/0!</v>
      </c>
      <c r="E2" s="1843" t="s">
        <v>1587</v>
      </c>
      <c r="F2" s="1844"/>
      <c r="G2" s="1845"/>
      <c r="H2" s="1837"/>
      <c r="I2" s="1837"/>
      <c r="J2" s="1837"/>
      <c r="K2" s="1838"/>
      <c r="L2" s="1837"/>
      <c r="M2" s="1837"/>
    </row>
    <row r="3" spans="1:37" ht="18" customHeight="1" thickBot="1">
      <c r="A3" s="1846" t="s">
        <v>1588</v>
      </c>
      <c r="B3" s="1847">
        <f ca="1">IF(ISERROR(D2/F43),0,ROUND(D2/F43,0))</f>
        <v>0</v>
      </c>
      <c r="C3" s="1842" t="s">
        <v>1589</v>
      </c>
      <c r="D3" s="1842"/>
      <c r="E3" s="1843"/>
      <c r="F3" s="1844"/>
      <c r="G3" s="1845"/>
      <c r="H3" s="742" t="s">
        <v>1583</v>
      </c>
      <c r="I3" s="1837"/>
      <c r="J3" s="1837"/>
      <c r="K3" s="1838"/>
      <c r="L3" s="1837"/>
      <c r="M3" s="1837"/>
    </row>
    <row r="4" spans="1:37" ht="18" customHeight="1">
      <c r="A4" s="340" t="s">
        <v>1590</v>
      </c>
      <c r="B4" s="341" t="s">
        <v>1591</v>
      </c>
      <c r="C4" s="341" t="s">
        <v>1592</v>
      </c>
      <c r="D4" s="341" t="s">
        <v>1593</v>
      </c>
      <c r="E4" s="342" t="s">
        <v>1594</v>
      </c>
      <c r="F4" s="343"/>
      <c r="G4" s="1848"/>
      <c r="H4" s="340" t="s">
        <v>1590</v>
      </c>
      <c r="I4" s="341" t="s">
        <v>1591</v>
      </c>
      <c r="J4" s="341" t="s">
        <v>1592</v>
      </c>
      <c r="K4" s="341" t="s">
        <v>1593</v>
      </c>
      <c r="L4" s="342" t="s">
        <v>1594</v>
      </c>
      <c r="M4" s="343"/>
    </row>
    <row r="5" spans="1:37" ht="18" customHeight="1">
      <c r="A5" s="344">
        <v>1</v>
      </c>
      <c r="B5" s="345" t="s">
        <v>1595</v>
      </c>
      <c r="C5" s="1290">
        <f ca="1">C6+C10+C12</f>
        <v>0</v>
      </c>
      <c r="D5" s="1819" t="s">
        <v>1596</v>
      </c>
      <c r="E5" s="1291"/>
      <c r="F5" s="1292"/>
      <c r="G5" s="1848"/>
      <c r="H5" s="344">
        <v>1</v>
      </c>
      <c r="I5" s="345" t="s">
        <v>1595</v>
      </c>
      <c r="J5" s="1290">
        <f ca="1">J6+J10+J12</f>
        <v>0</v>
      </c>
      <c r="K5" s="1819" t="s">
        <v>1596</v>
      </c>
      <c r="L5" s="1291"/>
      <c r="M5" s="1292"/>
    </row>
    <row r="6" spans="1:37" ht="18" customHeight="1">
      <c r="A6" s="1289" t="s">
        <v>1032</v>
      </c>
      <c r="B6" s="3154" t="s">
        <v>1398</v>
      </c>
      <c r="C6" s="1294">
        <f ca="1">ROUND(F6*F8*F7*(1-F9),0)</f>
        <v>0</v>
      </c>
      <c r="D6" s="164" t="s">
        <v>3023</v>
      </c>
      <c r="E6" s="347" t="s">
        <v>1400</v>
      </c>
      <c r="F6" s="348">
        <f ca="1">INDIRECT("'数据-取费表'!u"&amp;$G$1)</f>
        <v>0</v>
      </c>
      <c r="G6" s="1848"/>
      <c r="H6" s="1289" t="s">
        <v>1032</v>
      </c>
      <c r="I6" s="3154" t="s">
        <v>1398</v>
      </c>
      <c r="J6" s="346">
        <f ca="1">ROUND(M6*M8*M7*(1-M9),0)</f>
        <v>0</v>
      </c>
      <c r="K6" s="1831" t="s">
        <v>3024</v>
      </c>
      <c r="L6" s="347" t="s">
        <v>1400</v>
      </c>
      <c r="M6" s="348">
        <f ca="1">INDIRECT("'数据-取费表'!z"&amp;$G$1)</f>
        <v>0</v>
      </c>
    </row>
    <row r="7" spans="1:37" ht="18" customHeight="1">
      <c r="A7" s="1293"/>
      <c r="B7" s="3155"/>
      <c r="C7" s="1295"/>
      <c r="D7" s="352"/>
      <c r="E7" s="1296" t="s">
        <v>1401</v>
      </c>
      <c r="F7" s="348">
        <f ca="1">IF(INDIRECT("'数据-取费表'!ah"&amp;$G$1)="",INDIRECT("'数据-取费表'!k"&amp;$G$1),INDIRECT("'数据-取费表'!ah"&amp;$G$1))</f>
        <v>0</v>
      </c>
      <c r="G7" s="1848"/>
      <c r="H7" s="349"/>
      <c r="I7" s="3155"/>
      <c r="J7" s="351"/>
      <c r="K7" s="352"/>
      <c r="L7" s="347" t="s">
        <v>1401</v>
      </c>
      <c r="M7" s="348">
        <f ca="1">F7</f>
        <v>0</v>
      </c>
    </row>
    <row r="8" spans="1:37" ht="18" customHeight="1">
      <c r="A8" s="349"/>
      <c r="B8" s="3155"/>
      <c r="C8" s="351"/>
      <c r="D8" s="352"/>
      <c r="E8" s="347" t="s">
        <v>1402</v>
      </c>
      <c r="F8" s="348">
        <f ca="1">INDIRECT("'数据-取费表'!ai"&amp;$G$1)</f>
        <v>0</v>
      </c>
      <c r="G8" s="1848"/>
      <c r="H8" s="349"/>
      <c r="I8" s="3155"/>
      <c r="J8" s="351"/>
      <c r="K8" s="352"/>
      <c r="L8" s="347" t="s">
        <v>1402</v>
      </c>
      <c r="M8" s="348">
        <f ca="1">INDIRECT("'数据-取费表'!ai"&amp;$G$1)</f>
        <v>0</v>
      </c>
    </row>
    <row r="9" spans="1:37" ht="18" customHeight="1">
      <c r="A9" s="349"/>
      <c r="B9" s="3156"/>
      <c r="C9" s="351"/>
      <c r="D9" s="352"/>
      <c r="E9" s="347" t="s">
        <v>1403</v>
      </c>
      <c r="F9" s="357">
        <f ca="1">INDIRECT("'数据-取费表'!w"&amp;$G$1)</f>
        <v>0</v>
      </c>
      <c r="G9" s="1848"/>
      <c r="H9" s="349"/>
      <c r="I9" s="3156"/>
      <c r="J9" s="351"/>
      <c r="K9" s="352"/>
      <c r="L9" s="358" t="s">
        <v>1403</v>
      </c>
      <c r="M9" s="359">
        <f ca="1">INDIRECT("'数据-取费表'!ab"&amp;$G$1)</f>
        <v>0</v>
      </c>
    </row>
    <row r="10" spans="1:37" ht="18" customHeight="1">
      <c r="A10" s="1289" t="s">
        <v>1036</v>
      </c>
      <c r="B10" s="1820" t="s">
        <v>1404</v>
      </c>
      <c r="C10" s="361">
        <f ca="1">ROUND(IF(F10="押一",C6/12*F11,IF(F10="押二",C6/12*2*F11,IF(F10="押三",C6/12*3*F11,C11*F11))),0)</f>
        <v>0</v>
      </c>
      <c r="D10" s="1821" t="s">
        <v>3034</v>
      </c>
      <c r="E10" s="358" t="s">
        <v>1405</v>
      </c>
      <c r="F10" s="1364"/>
      <c r="G10" s="1848"/>
      <c r="H10" s="1289" t="s">
        <v>1036</v>
      </c>
      <c r="I10" s="1820" t="s">
        <v>1404</v>
      </c>
      <c r="J10" s="346">
        <f ca="1">ROUND(IF(M10="押一",J6/12*M11,IF(M10="押二",J6/12*2*M11,IF(M10="押三",J6/12*3*M11,J11*M11))),0)</f>
        <v>0</v>
      </c>
      <c r="K10" s="1832" t="s">
        <v>3036</v>
      </c>
      <c r="L10" s="358" t="s">
        <v>1405</v>
      </c>
      <c r="M10" s="1364"/>
    </row>
    <row r="11" spans="1:37" ht="18" customHeight="1">
      <c r="A11" s="353"/>
      <c r="B11" s="1822" t="s">
        <v>1597</v>
      </c>
      <c r="C11" s="1176"/>
      <c r="D11" s="352"/>
      <c r="E11" s="358" t="s">
        <v>1407</v>
      </c>
      <c r="F11" s="359">
        <f ca="1">'数据-取费表'!B39</f>
        <v>1.4999999999999999E-2</v>
      </c>
      <c r="G11" s="1848"/>
      <c r="H11" s="1297"/>
      <c r="I11" s="1822" t="s">
        <v>1598</v>
      </c>
      <c r="J11" s="1176"/>
      <c r="K11" s="746"/>
      <c r="L11" s="358" t="s">
        <v>1407</v>
      </c>
      <c r="M11" s="1054">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8"/>
      <c r="H13" s="1327">
        <v>2</v>
      </c>
      <c r="I13" s="1328" t="s">
        <v>1409</v>
      </c>
      <c r="J13" s="1288">
        <f ca="1">ROUND(J14*J15,0)</f>
        <v>0</v>
      </c>
      <c r="K13" s="1335" t="s">
        <v>1410</v>
      </c>
      <c r="L13" s="1849"/>
      <c r="M13" s="1850"/>
    </row>
    <row r="14" spans="1:37" ht="18" customHeight="1">
      <c r="A14" s="1199" t="s">
        <v>1031</v>
      </c>
      <c r="B14" s="347" t="s">
        <v>1412</v>
      </c>
      <c r="C14" s="363">
        <f ca="1">ROUND(INDIRECT("'数据-取费表'!l"&amp;$G$1)*F43+'数据-取费表'!L14*INDIRECT("'数据-取费表'!S"&amp;$G$1),0)</f>
        <v>0</v>
      </c>
      <c r="D14" s="1797" t="s">
        <v>1413</v>
      </c>
      <c r="E14" s="1791"/>
      <c r="F14" s="364"/>
      <c r="G14" s="1848"/>
      <c r="H14" s="1199" t="s">
        <v>1032</v>
      </c>
      <c r="I14" s="347" t="s">
        <v>1414</v>
      </c>
      <c r="J14" s="24">
        <f ca="1">C29</f>
        <v>0</v>
      </c>
      <c r="K14" s="15"/>
      <c r="L14" s="977"/>
      <c r="M14" s="978"/>
    </row>
    <row r="15" spans="1:37" s="1855" customFormat="1" ht="18" customHeight="1" thickBot="1">
      <c r="A15" s="1199" t="s">
        <v>1033</v>
      </c>
      <c r="B15" s="347" t="s">
        <v>1415</v>
      </c>
      <c r="C15" s="24">
        <f ca="1">ROUND(C14*F15,0)</f>
        <v>0</v>
      </c>
      <c r="D15" s="365" t="s">
        <v>1416</v>
      </c>
      <c r="E15" s="365" t="s">
        <v>1417</v>
      </c>
      <c r="F15" s="366">
        <f>'数据-取费表'!B33</f>
        <v>0.03</v>
      </c>
      <c r="G15" s="1851"/>
      <c r="H15" s="1337" t="s">
        <v>1036</v>
      </c>
      <c r="I15" s="1338" t="s">
        <v>1411</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7" t="s">
        <v>1418</v>
      </c>
      <c r="C16" s="24">
        <f ca="1">ROUND(INDIRECT("'数据-取费表'!l"&amp;$G$1)*F43*F16,0)</f>
        <v>0</v>
      </c>
      <c r="D16" s="347" t="s">
        <v>1416</v>
      </c>
      <c r="E16" s="347" t="s">
        <v>1417</v>
      </c>
      <c r="F16" s="367">
        <f ca="1">IF(INDIRECT("'数据-取费表'!c"&amp;$G$1)="住宅",'数据-取费表'!B34,0)</f>
        <v>0</v>
      </c>
      <c r="G16" s="1848"/>
      <c r="H16" s="1327" t="s">
        <v>1027</v>
      </c>
      <c r="I16" s="1328" t="s">
        <v>1419</v>
      </c>
      <c r="J16" s="355">
        <f ca="1">ROUND(J17+J22+J23+J24,0)</f>
        <v>0</v>
      </c>
      <c r="K16" s="1335" t="s">
        <v>1420</v>
      </c>
      <c r="L16" s="1336"/>
      <c r="M16" s="1292"/>
    </row>
    <row r="17" spans="1:37" s="1855" customFormat="1" ht="18" customHeight="1">
      <c r="A17" s="1199" t="s">
        <v>1385</v>
      </c>
      <c r="B17" s="347" t="s">
        <v>1421</v>
      </c>
      <c r="C17" s="24">
        <f ca="1">ROUND(F17*(F43+INDIRECT("'数据-取费表'!S"&amp;$G$1)),0)</f>
        <v>0</v>
      </c>
      <c r="D17" s="347" t="s">
        <v>1422</v>
      </c>
      <c r="E17" s="347" t="s">
        <v>1423</v>
      </c>
      <c r="F17" s="26">
        <f>'数据-取费表'!B35</f>
        <v>200</v>
      </c>
      <c r="G17" s="1851"/>
      <c r="H17" s="1199" t="s">
        <v>1032</v>
      </c>
      <c r="I17" s="347" t="s">
        <v>1424</v>
      </c>
      <c r="J17" s="24">
        <f ca="1">ROUND(IF(项目基本情况!B11="自然人",J6*M17/(1+'数据-取费表'!C42),J18+J19+J20),0)</f>
        <v>0</v>
      </c>
      <c r="K17" s="1797" t="s">
        <v>1425</v>
      </c>
      <c r="L17" s="1795" t="s">
        <v>1426</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7" t="s">
        <v>1427</v>
      </c>
      <c r="C18" s="24">
        <f ca="1">ROUND(C14*F18,0)</f>
        <v>0</v>
      </c>
      <c r="D18" s="347" t="s">
        <v>1416</v>
      </c>
      <c r="E18" s="347" t="s">
        <v>1417</v>
      </c>
      <c r="F18" s="367">
        <f>'数据-取费表'!B36</f>
        <v>1.4999999999999999E-2</v>
      </c>
      <c r="G18" s="1851"/>
      <c r="H18" s="1199" t="s">
        <v>1031</v>
      </c>
      <c r="I18" s="347" t="s">
        <v>1428</v>
      </c>
      <c r="J18" s="24">
        <f ca="1">ROUND(J6*M18/(1+'数据-取费表'!C42),0)</f>
        <v>0</v>
      </c>
      <c r="K18" s="1795" t="s">
        <v>1429</v>
      </c>
      <c r="L18" s="347" t="s">
        <v>1417</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1430</v>
      </c>
      <c r="C19" s="24">
        <f ca="1">SUM(C14:C18)</f>
        <v>0</v>
      </c>
      <c r="D19" s="140" t="s">
        <v>1431</v>
      </c>
      <c r="E19" s="1815"/>
      <c r="F19" s="26"/>
      <c r="G19" s="1848"/>
      <c r="H19" s="1199" t="s">
        <v>1033</v>
      </c>
      <c r="I19" s="347" t="s">
        <v>1432</v>
      </c>
      <c r="J19" s="24">
        <f ca="1">IF(K19="按租金收入计税",ROUND(J6*M19/(1+'数据-取费表'!C42),0),ROUND(C29*M19*0.7,0))</f>
        <v>0</v>
      </c>
      <c r="K19" s="1825" t="s">
        <v>1433</v>
      </c>
      <c r="L19" s="347" t="s">
        <v>1417</v>
      </c>
      <c r="M19" s="367">
        <f>IF(K19="按租金收入计税",'数据-取费表'!B51,'数据-取费表'!B50)</f>
        <v>1.2E-2</v>
      </c>
    </row>
    <row r="20" spans="1:37" s="1855" customFormat="1" ht="18" customHeight="1">
      <c r="A20" s="1199" t="s">
        <v>1036</v>
      </c>
      <c r="B20" s="347" t="s">
        <v>1434</v>
      </c>
      <c r="C20" s="24">
        <f ca="1">ROUND(C19*F20,0)</f>
        <v>0</v>
      </c>
      <c r="D20" s="369" t="s">
        <v>1435</v>
      </c>
      <c r="E20" s="347" t="s">
        <v>1417</v>
      </c>
      <c r="F20" s="367">
        <f>'数据-取费表'!B37</f>
        <v>0.02</v>
      </c>
      <c r="G20" s="1851"/>
      <c r="H20" s="1199" t="s">
        <v>1384</v>
      </c>
      <c r="I20" s="164" t="s">
        <v>1436</v>
      </c>
      <c r="J20" s="25">
        <f ca="1">ROUND(M20*M21,0)</f>
        <v>0</v>
      </c>
      <c r="K20" s="370" t="s">
        <v>1437</v>
      </c>
      <c r="L20" s="347" t="s">
        <v>1438</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1439</v>
      </c>
      <c r="C21" s="24" t="s">
        <v>1</v>
      </c>
      <c r="D21" s="369" t="s">
        <v>1440</v>
      </c>
      <c r="E21" s="347" t="s">
        <v>1441</v>
      </c>
      <c r="F21" s="367">
        <f>'数据-取费表'!B38</f>
        <v>0.02</v>
      </c>
      <c r="G21" s="1851"/>
      <c r="H21" s="372"/>
      <c r="I21" s="356"/>
      <c r="J21" s="29"/>
      <c r="K21" s="373"/>
      <c r="L21" s="347" t="s">
        <v>1442</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5"/>
      <c r="F22" s="26"/>
      <c r="G22" s="1848"/>
      <c r="H22" s="1199" t="s">
        <v>1036</v>
      </c>
      <c r="I22" s="347" t="s">
        <v>1444</v>
      </c>
      <c r="J22" s="24">
        <f ca="1">ROUND(J14*M22,0)</f>
        <v>0</v>
      </c>
      <c r="K22" s="1795" t="s">
        <v>1445</v>
      </c>
      <c r="L22" s="347" t="s">
        <v>1417</v>
      </c>
      <c r="M22" s="374">
        <f ca="1">INDIRECT("'数据-取费表'!Ak"&amp;$G$1)</f>
        <v>0</v>
      </c>
    </row>
    <row r="23" spans="1:37" s="1855" customFormat="1" ht="18" customHeight="1">
      <c r="A23" s="1199"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1"/>
      <c r="H23" s="1199" t="s">
        <v>1072</v>
      </c>
      <c r="I23" s="347" t="s">
        <v>1448</v>
      </c>
      <c r="J23" s="24">
        <f ca="1">ROUND(J13*M23,0)</f>
        <v>0</v>
      </c>
      <c r="K23" s="1795" t="s">
        <v>1449</v>
      </c>
      <c r="L23" s="347" t="s">
        <v>1450</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1"/>
      <c r="H24" s="1337" t="s">
        <v>1388</v>
      </c>
      <c r="I24" s="1338" t="s">
        <v>1434</v>
      </c>
      <c r="J24" s="1339">
        <f ca="1">ROUND(J5*M24,0)</f>
        <v>0</v>
      </c>
      <c r="K24" s="1340" t="s">
        <v>1454</v>
      </c>
      <c r="L24" s="1338" t="s">
        <v>1450</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1455</v>
      </c>
      <c r="B25" s="347" t="s">
        <v>1456</v>
      </c>
      <c r="C25" s="24"/>
      <c r="D25" s="140" t="s">
        <v>1457</v>
      </c>
      <c r="E25" s="1815"/>
      <c r="F25" s="26"/>
      <c r="G25" s="1848"/>
      <c r="H25" s="1327" t="s">
        <v>1028</v>
      </c>
      <c r="I25" s="1342" t="s">
        <v>1458</v>
      </c>
      <c r="J25" s="355">
        <f ca="1">J5-J16</f>
        <v>0</v>
      </c>
      <c r="K25" s="1343" t="s">
        <v>1459</v>
      </c>
      <c r="L25" s="1344"/>
      <c r="M25" s="1345"/>
    </row>
    <row r="26" spans="1:37" ht="18" customHeight="1">
      <c r="A26" s="1199" t="s">
        <v>1031</v>
      </c>
      <c r="B26" s="347" t="s">
        <v>1460</v>
      </c>
      <c r="C26" s="24">
        <f ca="1">ROUND((C19+C20)*F26,0)</f>
        <v>0</v>
      </c>
      <c r="D26" s="369" t="s">
        <v>1461</v>
      </c>
      <c r="E26" s="358" t="s">
        <v>1462</v>
      </c>
      <c r="F26" s="357">
        <f ca="1">INDIRECT("'数据-取费表'!q"&amp;$G$1)</f>
        <v>0</v>
      </c>
      <c r="G26" s="1848"/>
      <c r="H26" s="344" t="s">
        <v>1029</v>
      </c>
      <c r="I26" s="345" t="s">
        <v>1463</v>
      </c>
      <c r="J26" s="346">
        <f ca="1">IF(J5&lt;&gt;0,ROUND(J25*(1-((1+M28)/(1+M26))^M27)/(M26-M28),0),0)</f>
        <v>0</v>
      </c>
      <c r="K26" s="370" t="s">
        <v>1464</v>
      </c>
      <c r="L26" s="347" t="s">
        <v>1465</v>
      </c>
      <c r="M26" s="357">
        <f ca="1">INDIRECT("'数据-取费表'!I"&amp;$G$1)</f>
        <v>0</v>
      </c>
    </row>
    <row r="27" spans="1:37" ht="18" customHeight="1">
      <c r="A27" s="1199" t="s">
        <v>1033</v>
      </c>
      <c r="B27" s="347" t="s">
        <v>1466</v>
      </c>
      <c r="C27" s="24">
        <f ca="1">ROUND(F21*F26,4)</f>
        <v>0</v>
      </c>
      <c r="D27" s="369" t="s">
        <v>1467</v>
      </c>
      <c r="E27" s="365"/>
      <c r="F27" s="366"/>
      <c r="G27" s="1848"/>
      <c r="H27" s="349"/>
      <c r="I27" s="350"/>
      <c r="J27" s="351"/>
      <c r="K27" s="378" t="s">
        <v>1468</v>
      </c>
      <c r="L27" s="347" t="s">
        <v>1469</v>
      </c>
      <c r="M27" s="379">
        <f ca="1">INDIRECT("'数据-取费表'!ag"&amp;$G$1)</f>
        <v>0</v>
      </c>
    </row>
    <row r="28" spans="1:37" s="1855" customFormat="1" ht="18" customHeight="1">
      <c r="A28" s="1199" t="s">
        <v>1034</v>
      </c>
      <c r="B28" s="347" t="s">
        <v>1470</v>
      </c>
      <c r="C28" s="24">
        <f>ROUND(F28/(1+'数据-取费表'!C42),4)</f>
        <v>5.33E-2</v>
      </c>
      <c r="D28" s="369" t="s">
        <v>1471</v>
      </c>
      <c r="E28" s="347" t="s">
        <v>1417</v>
      </c>
      <c r="F28" s="367">
        <f>'数据-取费表'!B41</f>
        <v>5.6000000000000001E-2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f ca="1">ROUND((C19+C20+C23+C26)/(1-F21-C24-C27-C28),0)</f>
        <v>0</v>
      </c>
      <c r="D29" s="1340"/>
      <c r="E29" s="1338"/>
      <c r="F29" s="1341"/>
      <c r="G29" s="1851"/>
      <c r="H29" s="380" t="s">
        <v>1030</v>
      </c>
      <c r="I29" s="381" t="s">
        <v>1474</v>
      </c>
      <c r="J29" s="382">
        <f ca="1">ROUND(J26/(1+F40)^F41,0)</f>
        <v>0</v>
      </c>
      <c r="K29" s="383" t="s">
        <v>1475</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5">
        <f ca="1">ROUND(C31+C36+C37+C38,0)</f>
        <v>0</v>
      </c>
      <c r="D30" s="1335" t="s">
        <v>1420</v>
      </c>
      <c r="E30" s="1336"/>
      <c r="F30" s="1292"/>
      <c r="G30" s="1848"/>
      <c r="H30" s="743"/>
      <c r="I30" s="744"/>
      <c r="J30" s="745"/>
      <c r="K30" s="746"/>
      <c r="L30" s="747"/>
      <c r="M30" s="748"/>
    </row>
    <row r="31" spans="1:37" ht="18" customHeight="1">
      <c r="A31" s="1199" t="s">
        <v>1032</v>
      </c>
      <c r="B31" s="347" t="s">
        <v>1424</v>
      </c>
      <c r="C31" s="24">
        <f ca="1">ROUND(IF(项目基本情况!B11="自然人",C6*F31/(1+'数据-取费表'!C42),C32+C33+C34),0)</f>
        <v>0</v>
      </c>
      <c r="D31" s="1797" t="s">
        <v>1425</v>
      </c>
      <c r="E31" s="1795" t="s">
        <v>1476</v>
      </c>
      <c r="F31" s="368" t="str">
        <f ca="1">IF(项目基本情况!B11="企业","",IF(INDIRECT("'数据-取费表'!c"&amp;$G$1)="住宅",5%,IF(F6*F7*F8/12/(1+'数据-取费表'!C42)&gt;20000,12%,7%)))</f>
        <v/>
      </c>
      <c r="G31" s="1848"/>
      <c r="H31" s="743"/>
      <c r="I31" s="744"/>
      <c r="J31" s="745"/>
      <c r="K31" s="746"/>
      <c r="L31" s="747"/>
      <c r="M31" s="748"/>
    </row>
    <row r="32" spans="1:37" ht="18" customHeight="1">
      <c r="A32" s="1199" t="s">
        <v>1031</v>
      </c>
      <c r="B32" s="347" t="s">
        <v>1428</v>
      </c>
      <c r="C32" s="24">
        <f ca="1">IF(项目基本情况!B11="自然人","——",ROUND(C6*F32/(1+'数据-取费表'!C42),0))</f>
        <v>0</v>
      </c>
      <c r="D32" s="1795" t="s">
        <v>1429</v>
      </c>
      <c r="E32" s="347" t="s">
        <v>1417</v>
      </c>
      <c r="F32" s="377">
        <f>'数据-取费表'!B41</f>
        <v>5.6000000000000001E-2</v>
      </c>
      <c r="G32" s="1848"/>
      <c r="H32" s="743"/>
      <c r="I32" s="744"/>
      <c r="J32" s="745"/>
      <c r="K32" s="746"/>
      <c r="L32" s="747"/>
      <c r="M32" s="748"/>
    </row>
    <row r="33" spans="1:18" ht="18" customHeight="1">
      <c r="A33" s="1199" t="s">
        <v>1033</v>
      </c>
      <c r="B33" s="347" t="s">
        <v>1432</v>
      </c>
      <c r="C33" s="24">
        <f ca="1">IF(项目基本情况!B11="自然人","——",IF(D33="按租金收入计税",ROUND(C6*F33/(1+'数据-取费表'!C42),0),IF(D33="按房产原值计税",ROUND(C29*F33*0.7,0),INDIRECT("'数据-取费表'!Aj"&amp;$G$1))))</f>
        <v>0</v>
      </c>
      <c r="D33" s="1825" t="s">
        <v>1433</v>
      </c>
      <c r="E33" s="347" t="s">
        <v>1417</v>
      </c>
      <c r="F33" s="367">
        <f>IF(D33="按票据","——",IF(D33="按租金收入计税",'数据-取费表'!B51,'数据-取费表'!B50))</f>
        <v>1.2E-2</v>
      </c>
      <c r="G33" s="1848"/>
      <c r="H33" s="1856"/>
      <c r="I33" s="1857"/>
      <c r="J33" s="1858"/>
      <c r="K33" s="1859"/>
      <c r="L33" s="1856"/>
      <c r="M33" s="1856"/>
    </row>
    <row r="34" spans="1:18" ht="18" customHeight="1">
      <c r="A34" s="1289" t="s">
        <v>1384</v>
      </c>
      <c r="B34" s="164" t="s">
        <v>1436</v>
      </c>
      <c r="C34" s="25">
        <f ca="1">IF(项目基本情况!B11="自然人","——",ROUND(F34*F35,))</f>
        <v>0</v>
      </c>
      <c r="D34" s="370" t="s">
        <v>1437</v>
      </c>
      <c r="E34" s="347" t="s">
        <v>1438</v>
      </c>
      <c r="F34" s="371">
        <f>'数据-取费表'!B52</f>
        <v>12</v>
      </c>
      <c r="G34" s="1848"/>
      <c r="H34" s="743"/>
      <c r="I34" s="1857"/>
      <c r="J34" s="1858"/>
      <c r="K34" s="1860"/>
      <c r="L34" s="1861"/>
      <c r="M34" s="1861"/>
    </row>
    <row r="35" spans="1:18" ht="18" customHeight="1">
      <c r="A35" s="1351"/>
      <c r="B35" s="1349"/>
      <c r="C35" s="29"/>
      <c r="D35" s="373"/>
      <c r="E35" s="347" t="s">
        <v>1442</v>
      </c>
      <c r="F35" s="348">
        <f ca="1">INDIRECT("'数据-取费表'!r"&amp;$G$1)</f>
        <v>0</v>
      </c>
      <c r="G35" s="1848"/>
      <c r="H35" s="743"/>
      <c r="I35" s="1857"/>
      <c r="J35" s="1858"/>
      <c r="K35" s="1859"/>
      <c r="L35" s="1856"/>
      <c r="M35" s="1856"/>
    </row>
    <row r="36" spans="1:18" ht="18" customHeight="1">
      <c r="A36" s="1350" t="s">
        <v>1036</v>
      </c>
      <c r="B36" s="347" t="s">
        <v>1444</v>
      </c>
      <c r="C36" s="24">
        <f ca="1">ROUND(C29*F36,0)</f>
        <v>0</v>
      </c>
      <c r="D36" s="1795" t="s">
        <v>1477</v>
      </c>
      <c r="E36" s="347" t="s">
        <v>1417</v>
      </c>
      <c r="F36" s="374">
        <f ca="1">INDIRECT("'数据-取费表'!Ak"&amp;$G$1)</f>
        <v>0</v>
      </c>
      <c r="G36" s="1848"/>
      <c r="H36" s="1856"/>
      <c r="I36" s="1857"/>
      <c r="J36" s="1858"/>
      <c r="K36" s="749"/>
      <c r="L36" s="1856"/>
      <c r="M36" s="1856"/>
    </row>
    <row r="37" spans="1:18" ht="18" customHeight="1">
      <c r="A37" s="1199" t="s">
        <v>1072</v>
      </c>
      <c r="B37" s="347" t="s">
        <v>1448</v>
      </c>
      <c r="C37" s="24">
        <f ca="1">ROUND(C13*F37,0)</f>
        <v>0</v>
      </c>
      <c r="D37" s="1795" t="s">
        <v>1449</v>
      </c>
      <c r="E37" s="347" t="s">
        <v>1450</v>
      </c>
      <c r="F37" s="376">
        <f ca="1">INDIRECT("'数据-取费表'!Al"&amp;$G$1)</f>
        <v>0</v>
      </c>
      <c r="G37" s="1848"/>
      <c r="H37" s="1856"/>
      <c r="I37" s="1857"/>
      <c r="J37" s="1858"/>
      <c r="K37" s="749"/>
      <c r="L37" s="1856"/>
      <c r="M37" s="1856"/>
    </row>
    <row r="38" spans="1:18" ht="18" customHeight="1" thickBot="1">
      <c r="A38" s="1337" t="s">
        <v>1388</v>
      </c>
      <c r="B38" s="1338" t="s">
        <v>1434</v>
      </c>
      <c r="C38" s="1339">
        <f ca="1">ROUND(C5*F38,1)</f>
        <v>0</v>
      </c>
      <c r="D38" s="1340" t="s">
        <v>1454</v>
      </c>
      <c r="E38" s="1338" t="s">
        <v>1450</v>
      </c>
      <c r="F38" s="1334">
        <f ca="1">INDIRECT("'数据-取费表'!Am"&amp;$G$1)</f>
        <v>0</v>
      </c>
      <c r="G38" s="1848"/>
      <c r="H38" s="1856"/>
      <c r="I38" s="1857"/>
      <c r="J38" s="1858"/>
      <c r="K38" s="1862"/>
      <c r="L38" s="1856"/>
      <c r="M38" s="1856"/>
    </row>
    <row r="39" spans="1:18" ht="24.6" customHeight="1" thickTop="1">
      <c r="A39" s="1327" t="s">
        <v>1028</v>
      </c>
      <c r="B39" s="1342" t="s">
        <v>1478</v>
      </c>
      <c r="C39" s="355">
        <f ca="1">C5-C30</f>
        <v>0</v>
      </c>
      <c r="D39" s="1343" t="s">
        <v>1479</v>
      </c>
      <c r="E39" s="1344"/>
      <c r="F39" s="1345"/>
      <c r="G39" s="1848"/>
      <c r="H39" s="1856"/>
      <c r="I39" s="1857"/>
      <c r="J39" s="1858"/>
      <c r="K39" s="1862"/>
      <c r="L39" s="1856"/>
      <c r="M39" s="1856"/>
    </row>
    <row r="40" spans="1:18" ht="18" customHeight="1">
      <c r="A40" s="344" t="s">
        <v>1029</v>
      </c>
      <c r="B40" s="345" t="s">
        <v>1480</v>
      </c>
      <c r="C40" s="346" t="e">
        <f ca="1">ROUND(C39*(1-((1+F42)/(1+F40))^F41)/(F40-F42),0)</f>
        <v>#DIV/0!</v>
      </c>
      <c r="D40" s="370" t="s">
        <v>1464</v>
      </c>
      <c r="E40" s="347" t="s">
        <v>1465</v>
      </c>
      <c r="F40" s="357">
        <f ca="1">INDIRECT("'数据-取费表'!I"&amp;$G$1)</f>
        <v>0</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0</v>
      </c>
      <c r="G41" s="1848"/>
      <c r="H41" s="730"/>
      <c r="I41" s="1857"/>
      <c r="J41" s="1858"/>
      <c r="K41" s="749"/>
      <c r="L41" s="730"/>
      <c r="M41" s="730"/>
    </row>
    <row r="42" spans="1:18" ht="18" customHeight="1">
      <c r="A42" s="353"/>
      <c r="B42" s="354"/>
      <c r="C42" s="355"/>
      <c r="D42" s="373"/>
      <c r="E42" s="347" t="s">
        <v>1472</v>
      </c>
      <c r="F42" s="357">
        <f ca="1">INDIRECT("'数据-取费表'!v"&amp;$G$1)</f>
        <v>0</v>
      </c>
      <c r="G42" s="1848"/>
      <c r="H42" s="730"/>
      <c r="I42" s="1857"/>
      <c r="J42" s="1858"/>
      <c r="K42" s="749"/>
      <c r="L42" s="730"/>
      <c r="M42" s="730"/>
    </row>
    <row r="43" spans="1:18" ht="18" customHeight="1" thickBot="1">
      <c r="A43" s="380" t="s">
        <v>1030</v>
      </c>
      <c r="B43" s="381" t="s">
        <v>1482</v>
      </c>
      <c r="C43" s="382" t="e">
        <f ca="1">ROUND(C40/F43,0)</f>
        <v>#DIV/0!</v>
      </c>
      <c r="D43" s="383" t="s">
        <v>1483</v>
      </c>
      <c r="E43" s="384" t="s">
        <v>1484</v>
      </c>
      <c r="F43" s="385">
        <f ca="1">INDIRECT("'数据-取费表'!k"&amp;$G$1)</f>
        <v>0</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935" t="e">
        <f ca="1">C68-C40</f>
        <v>#DIV/0!</v>
      </c>
      <c r="D45" s="1936" t="s">
        <v>1599</v>
      </c>
      <c r="E45" s="1863"/>
      <c r="F45" s="1863"/>
      <c r="O45" s="1866" t="s">
        <v>1514</v>
      </c>
      <c r="P45" s="1836"/>
      <c r="Q45" s="1836"/>
      <c r="R45" s="1836"/>
    </row>
    <row r="46" spans="1:18" s="1839" customFormat="1" ht="13.5" thickBot="1">
      <c r="A46" s="1867" t="s">
        <v>1515</v>
      </c>
      <c r="C46" s="1868" t="e">
        <f ca="1">ROUND(C45/10000,0)</f>
        <v>#DIV/0!</v>
      </c>
      <c r="D46" s="1869" t="str">
        <f>C2</f>
        <v>万元</v>
      </c>
      <c r="I46" s="1870" t="s">
        <v>1516</v>
      </c>
      <c r="J46" s="1871"/>
      <c r="K46" s="1872"/>
      <c r="L46" s="1873" t="e">
        <f ca="1">IF(M47="住宅",0,IF(L48&gt;J51,L60,J60))</f>
        <v>#DIV/0!</v>
      </c>
      <c r="O46" s="1874" t="s">
        <v>1517</v>
      </c>
      <c r="P46" s="1875" t="s">
        <v>1518</v>
      </c>
      <c r="Q46" s="1876" t="s">
        <v>1519</v>
      </c>
      <c r="R46" s="1876" t="s">
        <v>1520</v>
      </c>
    </row>
    <row r="47" spans="1:18" s="1839" customFormat="1" ht="13.5" thickBot="1">
      <c r="A47" s="1163" t="s">
        <v>1391</v>
      </c>
      <c r="B47" s="1195" t="s">
        <v>1392</v>
      </c>
      <c r="C47" s="1195" t="s">
        <v>1393</v>
      </c>
      <c r="D47" s="1195" t="s">
        <v>1394</v>
      </c>
      <c r="E47" s="1277" t="s">
        <v>1395</v>
      </c>
      <c r="F47" s="1278"/>
      <c r="G47" s="790"/>
      <c r="I47" s="1877" t="s">
        <v>1521</v>
      </c>
      <c r="J47" s="1878"/>
      <c r="K47" s="1879" t="s">
        <v>1522</v>
      </c>
      <c r="L47" s="1880">
        <f ca="1">INDIRECT("'数据-取费表'!d"&amp;$G$1)</f>
        <v>0</v>
      </c>
      <c r="M47" s="1835" t="str">
        <f>IF(ISNUMBER(FIND("住宅",C1)),"住宅","非住宅")</f>
        <v>非住宅</v>
      </c>
      <c r="O47" s="1881" t="s">
        <v>1037</v>
      </c>
      <c r="P47" s="1882" t="s">
        <v>1523</v>
      </c>
      <c r="Q47" s="1883" t="e">
        <f ca="1">C40+J29</f>
        <v>#DIV/0!</v>
      </c>
      <c r="R47" s="1883" t="s">
        <v>1524</v>
      </c>
    </row>
    <row r="48" spans="1:18" s="1839" customFormat="1" ht="28.5" thickBot="1">
      <c r="A48" s="1358" t="s">
        <v>1132</v>
      </c>
      <c r="B48" s="345" t="s">
        <v>1396</v>
      </c>
      <c r="C48" s="1814">
        <f ca="1">C49+C53+C55</f>
        <v>0</v>
      </c>
      <c r="D48" s="1360"/>
      <c r="E48" s="1361"/>
      <c r="F48" s="1179"/>
      <c r="G48" s="790"/>
      <c r="H48" s="791"/>
      <c r="I48" s="1884" t="s">
        <v>1525</v>
      </c>
      <c r="J48" s="1885"/>
      <c r="K48" s="1886" t="s">
        <v>1526</v>
      </c>
      <c r="L48" s="1887">
        <f ca="1">INDIRECT("'数据-取费表'!f"&amp;$G$1)</f>
        <v>0</v>
      </c>
      <c r="O48" s="1881" t="s">
        <v>1038</v>
      </c>
      <c r="P48" s="1882" t="s">
        <v>1527</v>
      </c>
      <c r="Q48" s="1883" t="e">
        <f ca="1">J60</f>
        <v>#DIV/0!</v>
      </c>
      <c r="R48" s="1883" t="s">
        <v>1528</v>
      </c>
    </row>
    <row r="49" spans="1:18" s="1839" customFormat="1" ht="13.5" thickBot="1">
      <c r="A49" s="1192" t="s">
        <v>1133</v>
      </c>
      <c r="B49" s="1826" t="s">
        <v>1485</v>
      </c>
      <c r="C49" s="1362">
        <f ca="1">ROUND(F49*F51*F50*(1-F52),0)</f>
        <v>0</v>
      </c>
      <c r="D49" s="1274" t="s">
        <v>1399</v>
      </c>
      <c r="E49" s="1827" t="s">
        <v>1486</v>
      </c>
      <c r="F49" s="1279"/>
      <c r="G49" s="1888"/>
      <c r="H49" s="791"/>
      <c r="I49" s="1884" t="s">
        <v>1529</v>
      </c>
      <c r="J49" s="1889"/>
      <c r="K49" s="1886" t="s">
        <v>1530</v>
      </c>
      <c r="L49" s="1890"/>
      <c r="O49" s="1891" t="s">
        <v>1039</v>
      </c>
      <c r="P49" s="1882" t="s">
        <v>1531</v>
      </c>
      <c r="Q49" s="1883">
        <f ca="1">C29</f>
        <v>0</v>
      </c>
      <c r="R49" s="1883" t="s">
        <v>1524</v>
      </c>
    </row>
    <row r="50" spans="1:18" s="1839" customFormat="1" ht="13.5" thickBot="1">
      <c r="A50" s="1193"/>
      <c r="B50" s="1196"/>
      <c r="C50" s="1197"/>
      <c r="D50" s="1170"/>
      <c r="E50" s="1275" t="s">
        <v>1401</v>
      </c>
      <c r="F50" s="1276">
        <f ca="1">F7</f>
        <v>0</v>
      </c>
      <c r="H50" s="791"/>
      <c r="I50" s="1884" t="s">
        <v>1532</v>
      </c>
      <c r="J50" s="1892">
        <f>SUMPRODUCT((I63:I65=J47)*(J62:L62=J48)*(J63:L65))</f>
        <v>0</v>
      </c>
      <c r="K50" s="1886" t="s">
        <v>1533</v>
      </c>
      <c r="L50" s="1890"/>
      <c r="M50" s="1893"/>
      <c r="O50" s="1891" t="s">
        <v>1040</v>
      </c>
      <c r="P50" s="1882" t="s">
        <v>1534</v>
      </c>
      <c r="Q50" s="1894" t="e">
        <f ca="1">J58</f>
        <v>#DIV/0!</v>
      </c>
      <c r="R50" s="1883"/>
    </row>
    <row r="51" spans="1:18" s="1839" customFormat="1" ht="13.5" thickBot="1">
      <c r="A51" s="1194"/>
      <c r="B51" s="1196"/>
      <c r="C51" s="1197"/>
      <c r="D51" s="1170"/>
      <c r="E51" s="1198" t="s">
        <v>1402</v>
      </c>
      <c r="F51" s="348">
        <f ca="1">F8</f>
        <v>0</v>
      </c>
      <c r="I51" s="1895" t="s">
        <v>1535</v>
      </c>
      <c r="J51" s="1896">
        <f>IF(J49="",J50,J49+J50-YEAR('数据-取费表'!B2))</f>
        <v>0</v>
      </c>
      <c r="K51" s="1897" t="s">
        <v>1536</v>
      </c>
      <c r="L51" s="1898">
        <f ca="1">ROUND(-PV(INDIRECT("'数据-取费表'!h"&amp;$G$1),L48,(C39-C13*C76),0),0)</f>
        <v>0</v>
      </c>
      <c r="M51" s="1899"/>
      <c r="O51" s="1891" t="s">
        <v>1041</v>
      </c>
      <c r="P51" s="1882" t="s">
        <v>1537</v>
      </c>
      <c r="Q51" s="1894">
        <f>J52</f>
        <v>0</v>
      </c>
      <c r="R51" s="1883"/>
    </row>
    <row r="52" spans="1:18" s="1839" customFormat="1" ht="13.5" thickBot="1">
      <c r="A52" s="1194"/>
      <c r="B52" s="1196"/>
      <c r="C52" s="1197"/>
      <c r="D52" s="1170"/>
      <c r="E52" s="1198" t="s">
        <v>1403</v>
      </c>
      <c r="F52" s="1273"/>
      <c r="I52" s="1900" t="s">
        <v>1538</v>
      </c>
      <c r="J52" s="1901"/>
      <c r="K52" s="1900" t="s">
        <v>1539</v>
      </c>
      <c r="L52" s="1901"/>
      <c r="O52" s="1891" t="s">
        <v>1042</v>
      </c>
      <c r="P52" s="1882" t="s">
        <v>1540</v>
      </c>
      <c r="Q52" s="1883">
        <f ca="1">J53</f>
        <v>0</v>
      </c>
      <c r="R52" s="1883" t="s">
        <v>1541</v>
      </c>
    </row>
    <row r="53" spans="1:18" s="1839" customFormat="1" ht="30.75" customHeight="1" thickBot="1">
      <c r="A53" s="1359" t="s">
        <v>1134</v>
      </c>
      <c r="B53" s="369" t="s">
        <v>1404</v>
      </c>
      <c r="C53" s="361">
        <f ca="1">ROUND(IF(F53="押一",C49/12*F11,IF(F53="押二",C49/12*2*F11,IF(F53="押三",C49/12*3*F11,C54*F11))),0)</f>
        <v>0</v>
      </c>
      <c r="D53" s="1821" t="s">
        <v>3037</v>
      </c>
      <c r="E53" s="358" t="s">
        <v>1405</v>
      </c>
      <c r="F53" s="1364"/>
      <c r="I53" s="1902" t="s">
        <v>1542</v>
      </c>
      <c r="J53" s="2947">
        <f ca="1">IF(M47="住宅",IF(D1="——",MAX(J51,L48),MAX(J51,L48-'数据-取费表'!B24)),IF(D1="——",MIN(J51,L48),MIN(J51,L48-'数据-取费表'!B24)))</f>
        <v>0</v>
      </c>
      <c r="K53" s="3152" t="s">
        <v>1543</v>
      </c>
      <c r="L53" s="3153"/>
      <c r="O53" s="1881" t="s">
        <v>1043</v>
      </c>
      <c r="P53" s="1882" t="s">
        <v>1544</v>
      </c>
      <c r="Q53" s="1883" t="e">
        <f ca="1">Q47+Q48</f>
        <v>#DIV/0!</v>
      </c>
      <c r="R53" s="1883" t="s">
        <v>1044</v>
      </c>
    </row>
    <row r="54" spans="1:18" s="1839" customFormat="1" ht="13.5" thickBot="1">
      <c r="A54" s="1192"/>
      <c r="B54" s="1937" t="s">
        <v>1598</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1545</v>
      </c>
      <c r="P54" s="1836"/>
      <c r="Q54" s="1836"/>
      <c r="R54" s="1836"/>
    </row>
    <row r="55" spans="1:18" s="1839" customFormat="1" ht="13.5" thickBot="1">
      <c r="A55" s="1331" t="s">
        <v>1072</v>
      </c>
      <c r="B55" s="1824" t="s">
        <v>1408</v>
      </c>
      <c r="C55" s="1332"/>
      <c r="D55" s="1821"/>
      <c r="E55" s="1829"/>
      <c r="F55" s="1903"/>
      <c r="I55" s="1906" t="s">
        <v>1546</v>
      </c>
      <c r="J55" s="1907" t="e">
        <f ca="1">ROUND(IF(J47="钢混",J57/J50,1-(1-2%)*(J50-J57)/J50),3)</f>
        <v>#DIV/0!</v>
      </c>
      <c r="K55" s="1908" t="s">
        <v>1547</v>
      </c>
      <c r="L55" s="1909"/>
      <c r="O55" s="1874" t="s">
        <v>1517</v>
      </c>
      <c r="P55" s="1875" t="s">
        <v>1518</v>
      </c>
      <c r="Q55" s="1876" t="s">
        <v>1519</v>
      </c>
      <c r="R55" s="1876" t="s">
        <v>1520</v>
      </c>
    </row>
    <row r="56" spans="1:18" s="1839" customFormat="1" ht="36" customHeight="1" thickTop="1" thickBot="1">
      <c r="A56" s="1174">
        <v>2</v>
      </c>
      <c r="B56" s="1175" t="s">
        <v>1409</v>
      </c>
      <c r="C56" s="276">
        <f ca="1">C13</f>
        <v>0</v>
      </c>
      <c r="D56" s="1910"/>
      <c r="E56" s="1911"/>
      <c r="F56" s="1903"/>
      <c r="I56" s="1912" t="s">
        <v>1549</v>
      </c>
      <c r="J56" s="1913"/>
      <c r="K56" s="1884" t="s">
        <v>1550</v>
      </c>
      <c r="L56" s="1887">
        <f ca="1">IF(L48&lt;J51,"——",L48-J51)</f>
        <v>0</v>
      </c>
      <c r="O56" s="1881" t="s">
        <v>1037</v>
      </c>
      <c r="P56" s="1882" t="s">
        <v>1523</v>
      </c>
      <c r="Q56" s="1883" t="e">
        <f ca="1">C40+J29</f>
        <v>#DIV/0!</v>
      </c>
      <c r="R56" s="1883" t="s">
        <v>1524</v>
      </c>
    </row>
    <row r="57" spans="1:18" s="1839" customFormat="1" ht="24.75" thickBot="1">
      <c r="A57" s="1914"/>
      <c r="B57" s="1167" t="s">
        <v>1473</v>
      </c>
      <c r="C57" s="282">
        <f ca="1">C29</f>
        <v>0</v>
      </c>
      <c r="D57" s="1915"/>
      <c r="E57" s="1916"/>
      <c r="F57" s="1917"/>
      <c r="I57" s="1918" t="s">
        <v>1551</v>
      </c>
      <c r="J57" s="1919">
        <f ca="1">IF(OR(M47="住宅",J51&lt;L48,J56="是"),"——",J51-L48)</f>
        <v>0</v>
      </c>
      <c r="K57" s="1884" t="s">
        <v>1600</v>
      </c>
      <c r="L57" s="1887">
        <f ca="1">IF(L48&lt;J51,"——",IF(L55="比较法",L49,IF(L55="基准地价",L50,L51)))</f>
        <v>0</v>
      </c>
      <c r="O57" s="1881" t="s">
        <v>1038</v>
      </c>
      <c r="P57" s="1882" t="s">
        <v>1601</v>
      </c>
      <c r="Q57" s="1883" t="e">
        <f ca="1">L60</f>
        <v>#DIV/0!</v>
      </c>
      <c r="R57" s="1883" t="s">
        <v>1602</v>
      </c>
    </row>
    <row r="58" spans="1:18" s="1839" customFormat="1" ht="24.75" thickBot="1">
      <c r="A58" s="360" t="s">
        <v>1027</v>
      </c>
      <c r="B58" s="1175" t="s">
        <v>1419</v>
      </c>
      <c r="C58" s="361">
        <f ca="1">ROUND(C59+C64+C65+C66,0)</f>
        <v>0</v>
      </c>
      <c r="D58" s="1177" t="s">
        <v>1420</v>
      </c>
      <c r="E58" s="1178"/>
      <c r="F58" s="1179"/>
      <c r="I58" s="1918" t="s">
        <v>1555</v>
      </c>
      <c r="J58" s="1920" t="e">
        <f ca="1">IF(J55&lt;0.4,0.4,J55)</f>
        <v>#DIV/0!</v>
      </c>
      <c r="K58" s="1897" t="s">
        <v>1603</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9" t="s">
        <v>1032</v>
      </c>
      <c r="B59" s="1167" t="s">
        <v>1424</v>
      </c>
      <c r="C59" s="24">
        <f ca="1">ROUND(IF(项目基本情况!B11="自然人",C48*F59,C60+C61+C62),0)</f>
        <v>0</v>
      </c>
      <c r="D59" s="1180" t="s">
        <v>1425</v>
      </c>
      <c r="E59" s="1181" t="s">
        <v>1426</v>
      </c>
      <c r="F59" s="368" t="str">
        <f ca="1">IF(项目基本情况!B11="企业","",IF(INDIRECT("'数据-取费表'!c"&amp;$G$1)="住宅",5%,IF(F49*F50*F51/12/(1+'数据-取费表'!C42)&gt;20000,12%,7%)))</f>
        <v/>
      </c>
      <c r="I59" s="1918" t="s">
        <v>1558</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1559</v>
      </c>
      <c r="Q59" s="1894">
        <f>L52</f>
        <v>0</v>
      </c>
      <c r="R59" s="1883"/>
    </row>
    <row r="60" spans="1:18" s="1839" customFormat="1" ht="16.5" thickBot="1">
      <c r="A60" s="1199" t="s">
        <v>1031</v>
      </c>
      <c r="B60" s="1167" t="s">
        <v>1428</v>
      </c>
      <c r="C60" s="24">
        <f ca="1">IF(项目基本情况!B11="自然人","——",ROUND(C48*F60/(1+'数据-取费表'!C42),0))</f>
        <v>0</v>
      </c>
      <c r="D60" s="1181" t="s">
        <v>1429</v>
      </c>
      <c r="E60" s="1167" t="s">
        <v>1417</v>
      </c>
      <c r="F60" s="377">
        <f t="shared" ref="F60:F66" si="0">F32</f>
        <v>5.6000000000000001E-2</v>
      </c>
      <c r="I60" s="1921" t="s">
        <v>1560</v>
      </c>
      <c r="J60" s="1922" t="e">
        <f ca="1">IF(OR(M47="住宅",J51&lt;L48,J56="是"),"0",ROUND(J59/(1+J52)^J53,0))</f>
        <v>#DIV/0!</v>
      </c>
      <c r="K60" s="1923" t="s">
        <v>1561</v>
      </c>
      <c r="L60" s="1922" t="e">
        <f ca="1">IF(OR(M47="住宅",L48&lt;J51),0,ROUND(L57*(L58/L59-1),0))</f>
        <v>#DIV/0!</v>
      </c>
      <c r="O60" s="1891" t="s">
        <v>1041</v>
      </c>
      <c r="P60" s="1882" t="s">
        <v>1562</v>
      </c>
      <c r="Q60" s="1883" t="e">
        <f ca="1">L58</f>
        <v>#DIV/0!</v>
      </c>
      <c r="R60" s="1883" t="s">
        <v>1563</v>
      </c>
    </row>
    <row r="61" spans="1:18" s="1839" customFormat="1" ht="13.5" thickBot="1">
      <c r="A61" s="1199" t="s">
        <v>1487</v>
      </c>
      <c r="B61" s="1167" t="s">
        <v>1488</v>
      </c>
      <c r="C61" s="24">
        <f ca="1">IF(项目基本情况!B11="自然人","——",IF(D61="按租金收入计税",ROUND(C48*F61,0),IF(D61="按房产原值计税",ROUND(C57*F61*0.7,0),INDIRECT("'数据-取费表'!Aj"&amp;$G$1))))</f>
        <v>0</v>
      </c>
      <c r="D61" s="1825" t="s">
        <v>1433</v>
      </c>
      <c r="E61" s="1167" t="s">
        <v>1489</v>
      </c>
      <c r="F61" s="367">
        <f t="shared" si="0"/>
        <v>1.2E-2</v>
      </c>
      <c r="I61" s="1924"/>
      <c r="J61" s="1924"/>
      <c r="K61" s="1924"/>
      <c r="L61" s="1924"/>
      <c r="O61" s="1891" t="s">
        <v>1042</v>
      </c>
      <c r="P61" s="1882" t="str">
        <f>K59</f>
        <v>建设期及建筑物耐用年限下的土地年期修正系数Kn</v>
      </c>
      <c r="Q61" s="1883" t="e">
        <f ca="1">L59</f>
        <v>#DIV/0!</v>
      </c>
      <c r="R61" s="1883" t="s">
        <v>1564</v>
      </c>
    </row>
    <row r="62" spans="1:18" s="1839" customFormat="1" ht="13.5" thickBot="1">
      <c r="A62" s="1199" t="s">
        <v>1490</v>
      </c>
      <c r="B62" s="1166" t="s">
        <v>1491</v>
      </c>
      <c r="C62" s="25">
        <f ca="1">IF(项目基本情况!B11="自然人","——",ROUND(F62*F63,0))</f>
        <v>0</v>
      </c>
      <c r="D62" s="1182" t="s">
        <v>1492</v>
      </c>
      <c r="E62" s="1167" t="s">
        <v>1493</v>
      </c>
      <c r="F62" s="371">
        <f t="shared" si="0"/>
        <v>12</v>
      </c>
      <c r="I62" s="1925" t="s">
        <v>1565</v>
      </c>
      <c r="J62" s="1926" t="s">
        <v>1566</v>
      </c>
      <c r="K62" s="1926" t="s">
        <v>1567</v>
      </c>
      <c r="L62" s="1926" t="s">
        <v>1568</v>
      </c>
      <c r="M62" s="1927" t="s">
        <v>1569</v>
      </c>
      <c r="O62" s="1881" t="s">
        <v>1043</v>
      </c>
      <c r="P62" s="1882" t="s">
        <v>1570</v>
      </c>
      <c r="Q62" s="1883" t="e">
        <f ca="1">Q56+Q57</f>
        <v>#DIV/0!</v>
      </c>
      <c r="R62" s="1883" t="s">
        <v>1044</v>
      </c>
    </row>
    <row r="63" spans="1:18" s="1839" customFormat="1" ht="13.5" thickBot="1">
      <c r="A63" s="372"/>
      <c r="B63" s="1173"/>
      <c r="C63" s="29"/>
      <c r="D63" s="1183"/>
      <c r="E63" s="1167" t="s">
        <v>1494</v>
      </c>
      <c r="F63" s="348">
        <f t="shared" ca="1" si="0"/>
        <v>0</v>
      </c>
      <c r="I63" s="1925" t="s">
        <v>1571</v>
      </c>
      <c r="J63" s="1926">
        <v>70</v>
      </c>
      <c r="K63" s="1926">
        <v>50</v>
      </c>
      <c r="L63" s="1926">
        <v>80</v>
      </c>
      <c r="M63" s="1928">
        <v>0.02</v>
      </c>
      <c r="O63" s="1866" t="s">
        <v>1572</v>
      </c>
      <c r="P63" s="1836"/>
      <c r="Q63" s="1836"/>
      <c r="R63" s="1836"/>
    </row>
    <row r="64" spans="1:18" s="1839" customFormat="1" ht="13.5" thickBot="1">
      <c r="A64" s="1199" t="s">
        <v>1495</v>
      </c>
      <c r="B64" s="1167" t="s">
        <v>1496</v>
      </c>
      <c r="C64" s="24">
        <f ca="1">ROUND(C57*F64,0)</f>
        <v>0</v>
      </c>
      <c r="D64" s="1181" t="s">
        <v>1497</v>
      </c>
      <c r="E64" s="1167" t="s">
        <v>1489</v>
      </c>
      <c r="F64" s="374">
        <f t="shared" ca="1" si="0"/>
        <v>0</v>
      </c>
      <c r="I64" s="1925" t="s">
        <v>1573</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f ca="1">ROUND(C56*F65,0)</f>
        <v>0</v>
      </c>
      <c r="D65" s="1181" t="s">
        <v>1449</v>
      </c>
      <c r="E65" s="1167" t="s">
        <v>1450</v>
      </c>
      <c r="F65" s="376">
        <f t="shared" ca="1" si="0"/>
        <v>0</v>
      </c>
      <c r="I65" s="1925" t="s">
        <v>1574</v>
      </c>
      <c r="J65" s="1926">
        <v>40</v>
      </c>
      <c r="K65" s="1926">
        <v>30</v>
      </c>
      <c r="L65" s="1926">
        <v>50</v>
      </c>
      <c r="M65" s="1928">
        <v>0.02</v>
      </c>
      <c r="O65" s="1881" t="s">
        <v>1037</v>
      </c>
      <c r="P65" s="1882" t="s">
        <v>1575</v>
      </c>
      <c r="Q65" s="1883" t="e">
        <f ca="1">C40+J29</f>
        <v>#DIV/0!</v>
      </c>
      <c r="R65" s="1883" t="s">
        <v>1524</v>
      </c>
    </row>
    <row r="66" spans="1:18" s="1839" customFormat="1" ht="16.5" thickBot="1">
      <c r="A66" s="1199" t="s">
        <v>1499</v>
      </c>
      <c r="B66" s="1167" t="s">
        <v>1434</v>
      </c>
      <c r="C66" s="24">
        <f ca="1">ROUND(C48*F66,0)</f>
        <v>0</v>
      </c>
      <c r="D66" s="1181" t="s">
        <v>1500</v>
      </c>
      <c r="E66" s="1167" t="s">
        <v>1417</v>
      </c>
      <c r="F66" s="357">
        <f t="shared" ca="1" si="0"/>
        <v>0</v>
      </c>
      <c r="O66" s="1881" t="s">
        <v>1038</v>
      </c>
      <c r="P66" s="1882" t="s">
        <v>1553</v>
      </c>
      <c r="Q66" s="1883" t="e">
        <f ca="1">L60</f>
        <v>#DIV/0!</v>
      </c>
      <c r="R66" s="1883" t="s">
        <v>1576</v>
      </c>
    </row>
    <row r="67" spans="1:18" s="1839" customFormat="1" ht="16.5" thickBot="1">
      <c r="A67" s="1174" t="s">
        <v>1028</v>
      </c>
      <c r="B67" s="1184" t="s">
        <v>1458</v>
      </c>
      <c r="C67" s="361">
        <f ca="1">C48-C58</f>
        <v>0</v>
      </c>
      <c r="D67" s="1180" t="s">
        <v>1459</v>
      </c>
      <c r="E67" s="1185"/>
      <c r="F67" s="1186"/>
      <c r="O67" s="1891" t="s">
        <v>1039</v>
      </c>
      <c r="P67" s="1882" t="s">
        <v>1557</v>
      </c>
      <c r="Q67" s="1929">
        <f ca="1">L51</f>
        <v>0</v>
      </c>
      <c r="R67" s="1883" t="s">
        <v>1577</v>
      </c>
    </row>
    <row r="68" spans="1:18" s="1839" customFormat="1" ht="16.5" thickBot="1">
      <c r="A68" s="1164" t="s">
        <v>1029</v>
      </c>
      <c r="B68" s="1165" t="s">
        <v>1480</v>
      </c>
      <c r="C68" s="346" t="e">
        <f ca="1">ROUND(C67*(1-((1+F70)/(1+F68))^F69)/(F68-F70),0)</f>
        <v>#DIV/0!</v>
      </c>
      <c r="D68" s="1182" t="s">
        <v>1464</v>
      </c>
      <c r="E68" s="1167" t="s">
        <v>1465</v>
      </c>
      <c r="F68" s="357">
        <f ca="1">F40</f>
        <v>0</v>
      </c>
      <c r="O68" s="1891" t="s">
        <v>1040</v>
      </c>
      <c r="P68" s="1930" t="s">
        <v>1578</v>
      </c>
      <c r="Q68" s="1883">
        <f ca="1">ROUND(Q69-Q70*Q71,0)</f>
        <v>0</v>
      </c>
      <c r="R68" s="1883" t="s">
        <v>1048</v>
      </c>
    </row>
    <row r="69" spans="1:18" s="1839" customFormat="1" ht="13.5" thickBot="1">
      <c r="A69" s="1168"/>
      <c r="B69" s="1169"/>
      <c r="C69" s="351"/>
      <c r="D69" s="1187" t="s">
        <v>1468</v>
      </c>
      <c r="E69" s="1167" t="s">
        <v>1469</v>
      </c>
      <c r="F69" s="379">
        <f ca="1">F41</f>
        <v>0</v>
      </c>
      <c r="O69" s="1891" t="s">
        <v>1045</v>
      </c>
      <c r="P69" s="1930" t="s">
        <v>1579</v>
      </c>
      <c r="Q69" s="1883">
        <f ca="1">C39</f>
        <v>0</v>
      </c>
      <c r="R69" s="1883" t="s">
        <v>1524</v>
      </c>
    </row>
    <row r="70" spans="1:18" s="1839" customFormat="1" ht="13.5" thickBot="1">
      <c r="A70" s="1171"/>
      <c r="B70" s="1172"/>
      <c r="C70" s="355"/>
      <c r="D70" s="1183"/>
      <c r="E70" s="1167" t="s">
        <v>1472</v>
      </c>
      <c r="F70" s="1273">
        <f ca="1">F42</f>
        <v>0</v>
      </c>
      <c r="O70" s="1891" t="s">
        <v>1046</v>
      </c>
      <c r="P70" s="1930" t="s">
        <v>1580</v>
      </c>
      <c r="Q70" s="1883">
        <f ca="1">C13</f>
        <v>0</v>
      </c>
      <c r="R70" s="1883" t="s">
        <v>1524</v>
      </c>
    </row>
    <row r="71" spans="1:18" s="1839" customFormat="1" ht="13.5" thickBot="1">
      <c r="A71" s="1188" t="s">
        <v>1030</v>
      </c>
      <c r="B71" s="1189" t="s">
        <v>1482</v>
      </c>
      <c r="C71" s="382" t="e">
        <f ca="1">ROUND(C68/F71,0)</f>
        <v>#DIV/0!</v>
      </c>
      <c r="D71" s="1190" t="s">
        <v>1483</v>
      </c>
      <c r="E71" s="1191" t="s">
        <v>1484</v>
      </c>
      <c r="F71" s="385">
        <f ca="1">F43</f>
        <v>0</v>
      </c>
      <c r="O71" s="1891" t="s">
        <v>1047</v>
      </c>
      <c r="P71" s="1930" t="s">
        <v>1581</v>
      </c>
      <c r="Q71" s="1894">
        <f ca="1">C76</f>
        <v>0</v>
      </c>
      <c r="R71" s="1883"/>
    </row>
    <row r="72" spans="1:18" s="1839" customFormat="1" ht="13.5" thickBot="1">
      <c r="B72" s="794"/>
      <c r="C72" s="794"/>
      <c r="O72" s="1891" t="s">
        <v>1041</v>
      </c>
      <c r="P72" s="1882" t="s">
        <v>1559</v>
      </c>
      <c r="Q72" s="1894">
        <f>L52</f>
        <v>0</v>
      </c>
      <c r="R72" s="1883"/>
    </row>
    <row r="73" spans="1:18" ht="16.5" thickBot="1">
      <c r="A73" s="1839"/>
      <c r="B73" s="794"/>
      <c r="C73" s="794"/>
      <c r="D73" s="1839"/>
      <c r="E73" s="1839"/>
      <c r="F73" s="1839"/>
      <c r="O73" s="1891" t="s">
        <v>1042</v>
      </c>
      <c r="P73" s="1882" t="s">
        <v>1562</v>
      </c>
      <c r="Q73" s="1883" t="e">
        <f ca="1">L58</f>
        <v>#DIV/0!</v>
      </c>
      <c r="R73" s="1883" t="s">
        <v>1563</v>
      </c>
    </row>
    <row r="74" spans="1:18" ht="13.5" thickBot="1">
      <c r="A74" s="1839"/>
      <c r="B74" s="317" t="s">
        <v>1582</v>
      </c>
      <c r="C74" s="1932"/>
      <c r="D74" s="1839"/>
      <c r="E74" s="1839"/>
      <c r="F74" s="1839"/>
      <c r="O74" s="1891" t="s">
        <v>1049</v>
      </c>
      <c r="P74" s="1882" t="str">
        <f>K59</f>
        <v>建设期及建筑物耐用年限下的土地年期修正系数Kn</v>
      </c>
      <c r="Q74" s="1883" t="e">
        <f ca="1">L59</f>
        <v>#DIV/0!</v>
      </c>
      <c r="R74" s="1883" t="s">
        <v>1564</v>
      </c>
    </row>
    <row r="75" spans="1:18" ht="13.5" thickBot="1">
      <c r="A75" s="1839"/>
      <c r="B75" s="386" t="s">
        <v>1501</v>
      </c>
      <c r="C75" s="387">
        <f ca="1">ROUND(C13*C76,0)</f>
        <v>0</v>
      </c>
      <c r="D75" s="1839"/>
      <c r="E75" s="1839"/>
      <c r="F75" s="1839"/>
      <c r="K75" s="1865"/>
      <c r="L75" s="1839"/>
      <c r="O75" s="1881" t="s">
        <v>1043</v>
      </c>
      <c r="P75" s="1882" t="s">
        <v>1544</v>
      </c>
      <c r="Q75" s="1883" t="e">
        <f ca="1">Q65+Q66</f>
        <v>#DIV/0!</v>
      </c>
      <c r="R75" s="1883" t="s">
        <v>1044</v>
      </c>
    </row>
    <row r="76" spans="1:18">
      <c r="B76" s="388" t="s">
        <v>1502</v>
      </c>
      <c r="C76" s="389">
        <f ca="1">INDIRECT("'数据-取费表'!j"&amp;$G$1)</f>
        <v>0</v>
      </c>
      <c r="I76" s="1839"/>
      <c r="J76" s="1839"/>
      <c r="K76" s="1865"/>
      <c r="L76" s="1839"/>
    </row>
    <row r="77" spans="1:18">
      <c r="B77" s="390" t="s">
        <v>1503</v>
      </c>
      <c r="C77" s="391"/>
      <c r="I77" s="1839"/>
      <c r="J77" s="1839"/>
      <c r="K77" s="1865"/>
      <c r="L77" s="1839"/>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2524</v>
      </c>
      <c r="B1" s="2559"/>
      <c r="C1" s="2559"/>
      <c r="D1" s="2559"/>
      <c r="E1" s="2560"/>
    </row>
    <row r="2" spans="1:6" ht="15.75">
      <c r="A2" s="2561" t="s">
        <v>2325</v>
      </c>
      <c r="B2" s="2562">
        <f ca="1">SUMIF(B6:B13,"&lt;&gt;#ref!",B6:B13)</f>
        <v>2187</v>
      </c>
      <c r="C2" s="2563" t="s">
        <v>2517</v>
      </c>
      <c r="D2" s="2564" t="s">
        <v>2518</v>
      </c>
      <c r="E2" s="2565">
        <f>SUM(E6:E13)</f>
        <v>380</v>
      </c>
    </row>
    <row r="3" spans="1:6" ht="15.75">
      <c r="A3" s="2561" t="s">
        <v>1390</v>
      </c>
      <c r="B3" s="2562">
        <f ca="1">ROUND(B2*10000/E2,0)</f>
        <v>57553</v>
      </c>
      <c r="C3" s="2563" t="s">
        <v>2525</v>
      </c>
      <c r="D3" s="2566"/>
      <c r="E3" s="2567"/>
    </row>
    <row r="4" spans="1:6" ht="15.75">
      <c r="A4" s="2568"/>
      <c r="B4" s="2566"/>
      <c r="C4" s="2566"/>
      <c r="D4" s="2566"/>
      <c r="E4" s="2567"/>
    </row>
    <row r="5" spans="1:6" ht="15">
      <c r="A5" s="2569" t="s">
        <v>2519</v>
      </c>
      <c r="B5" s="3157" t="s">
        <v>2520</v>
      </c>
      <c r="C5" s="3157"/>
      <c r="D5" s="2570"/>
      <c r="E5" s="2571" t="s">
        <v>2521</v>
      </c>
      <c r="F5" s="2572" t="s">
        <v>2522</v>
      </c>
    </row>
    <row r="6" spans="1:6">
      <c r="A6" s="2573" t="str">
        <f>'数据-取费表'!AN6</f>
        <v>收益法</v>
      </c>
      <c r="B6" s="2572">
        <f ca="1">IF(F6="是",'数据-取费表'!AO6,0)</f>
        <v>2187</v>
      </c>
      <c r="C6" s="2563" t="s">
        <v>2517</v>
      </c>
      <c r="D6" s="2566"/>
      <c r="E6" s="2574">
        <f>IF(OR(A6=0,F6="否"),0,'数据-取费表'!K6+'数据-取费表'!S6)</f>
        <v>380</v>
      </c>
      <c r="F6" s="2575" t="s">
        <v>2523</v>
      </c>
    </row>
    <row r="7" spans="1:6">
      <c r="A7" s="2573">
        <f>'数据-取费表'!AN7</f>
        <v>0</v>
      </c>
      <c r="B7" s="2572" t="e">
        <f ca="1">IF(F7="是",'数据-取费表'!AO7,0)</f>
        <v>#REF!</v>
      </c>
      <c r="C7" s="2563" t="s">
        <v>2517</v>
      </c>
      <c r="D7" s="2566"/>
      <c r="E7" s="2574">
        <f>IF(OR(A7=0,F7="否"),0,'数据-取费表'!K7+'数据-取费表'!S7)</f>
        <v>0</v>
      </c>
      <c r="F7" s="2575" t="s">
        <v>2523</v>
      </c>
    </row>
    <row r="8" spans="1:6">
      <c r="A8" s="2573">
        <f>'数据-取费表'!AN8</f>
        <v>0</v>
      </c>
      <c r="B8" s="2572" t="e">
        <f ca="1">IF(F8="是",'数据-取费表'!AO8,0)</f>
        <v>#REF!</v>
      </c>
      <c r="C8" s="2563" t="s">
        <v>2517</v>
      </c>
      <c r="D8" s="2566"/>
      <c r="E8" s="2574">
        <f>IF(OR(A8=0,F8="否"),0,'数据-取费表'!K8+'数据-取费表'!S8)</f>
        <v>0</v>
      </c>
      <c r="F8" s="2575" t="s">
        <v>2523</v>
      </c>
    </row>
    <row r="9" spans="1:6">
      <c r="A9" s="2573">
        <f>'数据-取费表'!AN9</f>
        <v>0</v>
      </c>
      <c r="B9" s="2572" t="e">
        <f ca="1">IF(F9="是",'数据-取费表'!AO9,0)</f>
        <v>#REF!</v>
      </c>
      <c r="C9" s="2563" t="s">
        <v>2517</v>
      </c>
      <c r="D9" s="2566"/>
      <c r="E9" s="2574">
        <f>IF(OR(A9=0,F9="否"),0,'数据-取费表'!K9+'数据-取费表'!S9)</f>
        <v>0</v>
      </c>
      <c r="F9" s="2575" t="s">
        <v>2523</v>
      </c>
    </row>
    <row r="10" spans="1:6">
      <c r="A10" s="2573">
        <f>'数据-取费表'!AN10</f>
        <v>0</v>
      </c>
      <c r="B10" s="2572" t="e">
        <f ca="1">IF(F10="是",'数据-取费表'!AO10,0)</f>
        <v>#REF!</v>
      </c>
      <c r="C10" s="2563" t="s">
        <v>2517</v>
      </c>
      <c r="D10" s="2566"/>
      <c r="E10" s="2574">
        <f>IF(OR(A10=0,F10="否"),0,'数据-取费表'!K10+'数据-取费表'!S10)</f>
        <v>0</v>
      </c>
      <c r="F10" s="2575" t="s">
        <v>2523</v>
      </c>
    </row>
    <row r="11" spans="1:6">
      <c r="A11" s="2573">
        <f>'数据-取费表'!AN11</f>
        <v>0</v>
      </c>
      <c r="B11" s="2572" t="e">
        <f ca="1">IF(F11="是",'数据-取费表'!AO11,0)</f>
        <v>#REF!</v>
      </c>
      <c r="C11" s="2563" t="s">
        <v>2517</v>
      </c>
      <c r="D11" s="2566"/>
      <c r="E11" s="2574">
        <f>IF(OR(A11=0,F11="否"),0,'数据-取费表'!K11+'数据-取费表'!S11)</f>
        <v>0</v>
      </c>
      <c r="F11" s="2575" t="s">
        <v>2523</v>
      </c>
    </row>
    <row r="12" spans="1:6">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4" t="s">
        <v>1073</v>
      </c>
      <c r="B1" s="3175"/>
      <c r="C1" s="3176"/>
      <c r="D1" s="3177">
        <f>SUM(I10,I15,I20,I21,I23)</f>
        <v>0</v>
      </c>
      <c r="E1" s="3177"/>
      <c r="F1" s="3177"/>
      <c r="G1" s="3177"/>
      <c r="H1" s="3177"/>
      <c r="I1" s="3178"/>
    </row>
    <row r="2" spans="1:9">
      <c r="A2" s="3164" t="s">
        <v>1074</v>
      </c>
      <c r="B2" s="3165" t="s">
        <v>1075</v>
      </c>
      <c r="C2" s="3165"/>
      <c r="D2" s="1299" t="s">
        <v>1076</v>
      </c>
      <c r="E2" s="1299" t="s">
        <v>1077</v>
      </c>
      <c r="F2" s="1299" t="s">
        <v>1078</v>
      </c>
      <c r="G2" s="1299" t="s">
        <v>1079</v>
      </c>
      <c r="H2" s="1299" t="s">
        <v>1080</v>
      </c>
      <c r="I2" s="1300" t="s">
        <v>1081</v>
      </c>
    </row>
    <row r="3" spans="1:9">
      <c r="A3" s="3164"/>
      <c r="B3" s="3165" t="s">
        <v>1082</v>
      </c>
      <c r="C3" s="3165"/>
      <c r="D3" s="1301"/>
      <c r="E3" s="1299"/>
      <c r="F3" s="1302"/>
      <c r="G3" s="1302"/>
      <c r="H3" s="1303"/>
      <c r="I3" s="1304">
        <f>ROUND(D3*E3*F3*G3*H3/10000,0)</f>
        <v>0</v>
      </c>
    </row>
    <row r="4" spans="1:9">
      <c r="A4" s="3164"/>
      <c r="B4" s="3165" t="s">
        <v>1083</v>
      </c>
      <c r="C4" s="3165"/>
      <c r="D4" s="1301"/>
      <c r="E4" s="1299"/>
      <c r="F4" s="1302"/>
      <c r="G4" s="1302"/>
      <c r="H4" s="1303"/>
      <c r="I4" s="1304">
        <f t="shared" ref="I4:I9" si="0">ROUND(D4*E4*F4*G4*H4/10000,0)</f>
        <v>0</v>
      </c>
    </row>
    <row r="5" spans="1:9">
      <c r="A5" s="3164"/>
      <c r="B5" s="3165" t="s">
        <v>1084</v>
      </c>
      <c r="C5" s="3165"/>
      <c r="D5" s="1301"/>
      <c r="E5" s="1299"/>
      <c r="F5" s="1302"/>
      <c r="G5" s="1302"/>
      <c r="H5" s="1303"/>
      <c r="I5" s="1304">
        <f t="shared" si="0"/>
        <v>0</v>
      </c>
    </row>
    <row r="6" spans="1:9">
      <c r="A6" s="3164"/>
      <c r="B6" s="3165" t="s">
        <v>1085</v>
      </c>
      <c r="C6" s="3165"/>
      <c r="D6" s="1301"/>
      <c r="E6" s="1299"/>
      <c r="F6" s="1302"/>
      <c r="G6" s="1302"/>
      <c r="H6" s="1303"/>
      <c r="I6" s="1304">
        <f t="shared" si="0"/>
        <v>0</v>
      </c>
    </row>
    <row r="7" spans="1:9">
      <c r="A7" s="3164"/>
      <c r="B7" s="3165" t="s">
        <v>1086</v>
      </c>
      <c r="C7" s="3165"/>
      <c r="D7" s="1301"/>
      <c r="E7" s="1299"/>
      <c r="F7" s="1302"/>
      <c r="G7" s="1302"/>
      <c r="H7" s="1303"/>
      <c r="I7" s="1304">
        <f t="shared" si="0"/>
        <v>0</v>
      </c>
    </row>
    <row r="8" spans="1:9">
      <c r="A8" s="3164"/>
      <c r="B8" s="3165" t="s">
        <v>1087</v>
      </c>
      <c r="C8" s="3165"/>
      <c r="D8" s="1301"/>
      <c r="E8" s="1299"/>
      <c r="F8" s="1302"/>
      <c r="G8" s="1302"/>
      <c r="H8" s="1303"/>
      <c r="I8" s="1304">
        <f t="shared" si="0"/>
        <v>0</v>
      </c>
    </row>
    <row r="9" spans="1:9">
      <c r="A9" s="3164"/>
      <c r="B9" s="3165" t="s">
        <v>1088</v>
      </c>
      <c r="C9" s="3165"/>
      <c r="D9" s="1301"/>
      <c r="E9" s="1299"/>
      <c r="F9" s="1302"/>
      <c r="G9" s="1302"/>
      <c r="H9" s="1303"/>
      <c r="I9" s="1304">
        <f t="shared" si="0"/>
        <v>0</v>
      </c>
    </row>
    <row r="10" spans="1:9">
      <c r="A10" s="3164"/>
      <c r="B10" s="3166" t="s">
        <v>1089</v>
      </c>
      <c r="C10" s="3166"/>
      <c r="D10" s="1305"/>
      <c r="E10" s="1305" t="e">
        <f>ROUND(D1*10000/D10/H9,0)</f>
        <v>#DIV/0!</v>
      </c>
      <c r="F10" s="1306"/>
      <c r="G10" s="1306"/>
      <c r="H10" s="1307"/>
      <c r="I10" s="1308">
        <f>SUM(I3:I9)</f>
        <v>0</v>
      </c>
    </row>
    <row r="11" spans="1:9" ht="14.25">
      <c r="A11" s="3164" t="s">
        <v>1090</v>
      </c>
      <c r="B11" s="3165" t="s">
        <v>1091</v>
      </c>
      <c r="C11" s="3165"/>
      <c r="D11" s="1301" t="s">
        <v>1092</v>
      </c>
      <c r="E11" s="1301" t="s">
        <v>1093</v>
      </c>
      <c r="F11" s="1302" t="s">
        <v>1094</v>
      </c>
      <c r="G11" s="1302" t="s">
        <v>1080</v>
      </c>
      <c r="H11" s="1309" t="s">
        <v>1095</v>
      </c>
      <c r="I11" s="1300" t="s">
        <v>1081</v>
      </c>
    </row>
    <row r="12" spans="1:9">
      <c r="A12" s="3164"/>
      <c r="B12" s="3165" t="s">
        <v>1096</v>
      </c>
      <c r="C12" s="3165"/>
      <c r="D12" s="1301"/>
      <c r="E12" s="1301"/>
      <c r="F12" s="1302"/>
      <c r="G12" s="1303"/>
      <c r="H12" s="1310"/>
      <c r="I12" s="1300">
        <f>ROUND(D12*E12*F12*G12/10000,0)</f>
        <v>0</v>
      </c>
    </row>
    <row r="13" spans="1:9">
      <c r="A13" s="3164"/>
      <c r="B13" s="3165" t="s">
        <v>1097</v>
      </c>
      <c r="C13" s="3165"/>
      <c r="D13" s="1301"/>
      <c r="E13" s="1301"/>
      <c r="F13" s="1302"/>
      <c r="G13" s="1303"/>
      <c r="H13" s="1310"/>
      <c r="I13" s="1300">
        <f>ROUND(D13*E13*F13*G13/10000,0)</f>
        <v>0</v>
      </c>
    </row>
    <row r="14" spans="1:9">
      <c r="A14" s="3164"/>
      <c r="B14" s="3165" t="s">
        <v>1098</v>
      </c>
      <c r="C14" s="3165"/>
      <c r="D14" s="1301"/>
      <c r="E14" s="1301"/>
      <c r="F14" s="1302"/>
      <c r="G14" s="1303"/>
      <c r="H14" s="1310"/>
      <c r="I14" s="1300">
        <f>ROUND(D14*E14*F14*G14/10000,0)</f>
        <v>0</v>
      </c>
    </row>
    <row r="15" spans="1:9">
      <c r="A15" s="3164"/>
      <c r="B15" s="3166" t="s">
        <v>1089</v>
      </c>
      <c r="C15" s="3166"/>
      <c r="D15" s="1305"/>
      <c r="E15" s="1305">
        <f>SUM(E12:E14)</f>
        <v>0</v>
      </c>
      <c r="F15" s="1306"/>
      <c r="G15" s="1303"/>
      <c r="H15" s="1310"/>
      <c r="I15" s="1311">
        <f>SUM(I12:I14)</f>
        <v>0</v>
      </c>
    </row>
    <row r="16" spans="1:9" ht="24">
      <c r="A16" s="3164" t="s">
        <v>1099</v>
      </c>
      <c r="B16" s="3165" t="s">
        <v>1100</v>
      </c>
      <c r="C16" s="3165"/>
      <c r="D16" s="1301" t="s">
        <v>1076</v>
      </c>
      <c r="E16" s="1312" t="s">
        <v>1101</v>
      </c>
      <c r="F16" s="1302" t="s">
        <v>1102</v>
      </c>
      <c r="G16" s="1303" t="s">
        <v>1080</v>
      </c>
      <c r="H16" s="1309" t="s">
        <v>1095</v>
      </c>
      <c r="I16" s="1300" t="s">
        <v>1081</v>
      </c>
    </row>
    <row r="17" spans="1:9" ht="14.25">
      <c r="A17" s="3164"/>
      <c r="B17" s="3165" t="s">
        <v>1103</v>
      </c>
      <c r="C17" s="3165"/>
      <c r="D17" s="1301"/>
      <c r="E17" s="1301"/>
      <c r="F17" s="1302"/>
      <c r="G17" s="1303"/>
      <c r="H17" s="1313"/>
      <c r="I17" s="1314">
        <f>ROUND(D17*E17*F17*G17/10000,0)</f>
        <v>0</v>
      </c>
    </row>
    <row r="18" spans="1:9" ht="14.25">
      <c r="A18" s="3164"/>
      <c r="B18" s="3165" t="s">
        <v>1104</v>
      </c>
      <c r="C18" s="3165"/>
      <c r="D18" s="1301"/>
      <c r="E18" s="1301"/>
      <c r="F18" s="1302"/>
      <c r="G18" s="1303"/>
      <c r="H18" s="1313"/>
      <c r="I18" s="1314">
        <f>ROUND(D18*E18*F18*G18/10000,0)</f>
        <v>0</v>
      </c>
    </row>
    <row r="19" spans="1:9" ht="14.25">
      <c r="A19" s="3164"/>
      <c r="B19" s="3165" t="s">
        <v>1105</v>
      </c>
      <c r="C19" s="3165"/>
      <c r="D19" s="1301"/>
      <c r="E19" s="1301"/>
      <c r="F19" s="1302"/>
      <c r="G19" s="1303"/>
      <c r="H19" s="1313"/>
      <c r="I19" s="1314">
        <f>ROUND(D19*E19*F19*G19/10000,0)</f>
        <v>0</v>
      </c>
    </row>
    <row r="20" spans="1:9">
      <c r="A20" s="3164"/>
      <c r="B20" s="3166" t="s">
        <v>1089</v>
      </c>
      <c r="C20" s="3166"/>
      <c r="D20" s="1305">
        <f>SUM(D17:D19)</f>
        <v>0</v>
      </c>
      <c r="E20" s="1305"/>
      <c r="F20" s="1306"/>
      <c r="G20" s="1303"/>
      <c r="H20" s="1310"/>
      <c r="I20" s="1311">
        <f>SUM(I17:I19)</f>
        <v>0</v>
      </c>
    </row>
    <row r="21" spans="1:9">
      <c r="A21" s="3164" t="s">
        <v>1106</v>
      </c>
      <c r="B21" s="3167"/>
      <c r="C21" s="3167"/>
      <c r="D21" s="3167"/>
      <c r="E21" s="3167"/>
      <c r="F21" s="3167"/>
      <c r="G21" s="3167"/>
      <c r="H21" s="1762">
        <v>0.1</v>
      </c>
      <c r="I21" s="1308">
        <f>ROUND(I10*H21,0)</f>
        <v>0</v>
      </c>
    </row>
    <row r="22" spans="1:9" ht="14.25">
      <c r="A22" s="3168" t="s">
        <v>1107</v>
      </c>
      <c r="B22" s="3169"/>
      <c r="C22" s="3170"/>
      <c r="D22" s="1315" t="s">
        <v>1108</v>
      </c>
      <c r="E22" s="1315" t="s">
        <v>1109</v>
      </c>
      <c r="F22" s="1316" t="s">
        <v>1110</v>
      </c>
      <c r="G22" s="1316" t="s">
        <v>1111</v>
      </c>
      <c r="H22" s="1309" t="s">
        <v>1112</v>
      </c>
      <c r="I22" s="1300" t="s">
        <v>1113</v>
      </c>
    </row>
    <row r="23" spans="1:9" ht="14.25" thickBot="1">
      <c r="A23" s="3171"/>
      <c r="B23" s="3172"/>
      <c r="C23" s="3173"/>
      <c r="D23" s="1317"/>
      <c r="E23" s="1317"/>
      <c r="F23" s="1317"/>
      <c r="G23" s="1318"/>
      <c r="H23" s="1319"/>
      <c r="I23" s="1320">
        <f>ROUND(E23*D23*F23*(1-G23)/10000,0)</f>
        <v>0</v>
      </c>
    </row>
    <row r="26" spans="1:9">
      <c r="A26" s="1321" t="s">
        <v>1114</v>
      </c>
      <c r="B26" s="1321"/>
      <c r="C26" s="1321"/>
      <c r="D26" s="1321"/>
      <c r="E26" s="3161">
        <f>C27-C30-C31-C32</f>
        <v>0</v>
      </c>
      <c r="F26" s="3161"/>
      <c r="G26" s="3161"/>
      <c r="H26" s="1734" t="s">
        <v>1336</v>
      </c>
    </row>
    <row r="27" spans="1:9">
      <c r="A27" s="1322">
        <v>1</v>
      </c>
      <c r="B27" s="1323" t="s">
        <v>1115</v>
      </c>
      <c r="C27" s="1323">
        <f>C28+C29</f>
        <v>0</v>
      </c>
      <c r="D27" s="1323"/>
      <c r="E27" s="3162"/>
      <c r="F27" s="3162"/>
      <c r="G27" s="3162"/>
    </row>
    <row r="28" spans="1:9">
      <c r="A28" s="1324" t="s">
        <v>1116</v>
      </c>
      <c r="B28" s="1323" t="s">
        <v>1117</v>
      </c>
      <c r="C28" s="1323"/>
      <c r="D28" s="1323"/>
      <c r="E28" s="3162"/>
      <c r="F28" s="3162"/>
      <c r="G28" s="3162"/>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63"/>
      <c r="F32" s="3163"/>
      <c r="G32" s="3163"/>
    </row>
    <row r="33" spans="1:7" hidden="1">
      <c r="A33" s="3158" t="s">
        <v>1126</v>
      </c>
      <c r="B33" s="3159"/>
      <c r="C33" s="3159"/>
      <c r="D33" s="3160"/>
      <c r="E33" s="3161"/>
      <c r="F33" s="3161"/>
      <c r="G33" s="3161"/>
    </row>
    <row r="34" spans="1:7" hidden="1">
      <c r="A34" s="1326">
        <v>1</v>
      </c>
      <c r="B34" s="1323" t="s">
        <v>1127</v>
      </c>
      <c r="C34" s="1323"/>
      <c r="D34" s="1323"/>
      <c r="E34" s="3162"/>
      <c r="F34" s="3162"/>
      <c r="G34" s="3162"/>
    </row>
    <row r="35" spans="1:7" hidden="1">
      <c r="A35" s="1326">
        <v>2</v>
      </c>
      <c r="B35" s="1323" t="s">
        <v>1128</v>
      </c>
      <c r="C35" s="1323"/>
      <c r="D35" s="1323"/>
      <c r="E35" s="3162"/>
      <c r="F35" s="3162"/>
      <c r="G35" s="3162"/>
    </row>
    <row r="36" spans="1:7" hidden="1">
      <c r="A36" s="1326">
        <v>3</v>
      </c>
      <c r="B36" s="1323" t="s">
        <v>1129</v>
      </c>
      <c r="C36" s="1323"/>
      <c r="D36" s="1323"/>
      <c r="E36" s="3162"/>
      <c r="F36" s="3162"/>
      <c r="G36" s="3162"/>
    </row>
    <row r="37" spans="1:7" hidden="1">
      <c r="A37" s="1326">
        <v>4</v>
      </c>
      <c r="B37" s="1323" t="s">
        <v>1130</v>
      </c>
      <c r="C37" s="1323"/>
      <c r="D37" s="1323"/>
      <c r="E37" s="3162"/>
      <c r="F37" s="3162"/>
      <c r="G37" s="3162"/>
    </row>
    <row r="38" spans="1:7" hidden="1">
      <c r="A38" s="3158" t="s">
        <v>1131</v>
      </c>
      <c r="B38" s="3159"/>
      <c r="C38" s="3159"/>
      <c r="D38" s="3160"/>
      <c r="E38" s="3161"/>
      <c r="F38" s="3161"/>
      <c r="G38" s="31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79" t="s">
        <v>2527</v>
      </c>
      <c r="C1" s="1632" t="s">
        <v>2528</v>
      </c>
      <c r="D1" s="1619"/>
      <c r="E1" s="2580"/>
      <c r="F1" s="2581" t="s">
        <v>2529</v>
      </c>
      <c r="G1" s="1629" t="s">
        <v>2530</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3"/>
      <c r="D2" s="1363" t="e">
        <f ca="1">SUMIF(INDIRECT("'"&amp;F2&amp;"'"&amp;"!A:A"),"承租人权益价值",INDIRECT("'"&amp;F2&amp;"'"&amp;"!c:c"))</f>
        <v>#REF!</v>
      </c>
      <c r="E2" s="2584" t="s">
        <v>2531</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1390</v>
      </c>
      <c r="B3" s="399" t="e">
        <f ca="1">IF(C2="——",C49,ROUND(B2*10000/D3,0))</f>
        <v>#DIV/0!</v>
      </c>
      <c r="C3" s="400" t="s">
        <v>2532</v>
      </c>
      <c r="D3" s="399">
        <f>IF(D1="",'数据-汇总表'!E3,SUMIF('数据-汇总表'!$C19:$C33,D1,'数据-汇总表'!$E19:$E33))</f>
        <v>380</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401" t="s">
        <v>2533</v>
      </c>
      <c r="B4" s="402"/>
      <c r="C4" s="3197" t="s">
        <v>2534</v>
      </c>
      <c r="D4" s="3198"/>
      <c r="E4" s="3199" t="s">
        <v>2535</v>
      </c>
      <c r="F4" s="3200"/>
      <c r="G4" s="3197" t="s">
        <v>2536</v>
      </c>
      <c r="H4" s="3198"/>
      <c r="I4" s="3197" t="s">
        <v>2537</v>
      </c>
      <c r="J4" s="3198"/>
      <c r="K4" s="2593" t="s">
        <v>2538</v>
      </c>
      <c r="L4" s="1128"/>
      <c r="M4" s="1129"/>
      <c r="N4" s="1129"/>
      <c r="O4" s="1129"/>
      <c r="P4" s="3201" t="s">
        <v>2539</v>
      </c>
      <c r="Q4" s="3202"/>
      <c r="R4" s="3207" t="s">
        <v>2535</v>
      </c>
      <c r="S4" s="3208"/>
      <c r="T4" s="3207" t="s">
        <v>2536</v>
      </c>
      <c r="U4" s="3208"/>
      <c r="V4" s="3213" t="s">
        <v>2537</v>
      </c>
      <c r="W4" s="3213"/>
      <c r="X4" s="1810"/>
      <c r="Y4" s="3207" t="s">
        <v>2539</v>
      </c>
      <c r="Z4" s="3208"/>
      <c r="AA4" s="3194" t="s">
        <v>2535</v>
      </c>
      <c r="AB4" s="3194" t="s">
        <v>2536</v>
      </c>
      <c r="AC4" s="3194" t="s">
        <v>2537</v>
      </c>
    </row>
    <row r="5" spans="1:29" ht="15">
      <c r="A5" s="404"/>
      <c r="B5" s="405"/>
      <c r="C5" s="3216" t="s">
        <v>2540</v>
      </c>
      <c r="D5" s="3217"/>
      <c r="E5" s="3223" t="s">
        <v>2541</v>
      </c>
      <c r="F5" s="3224"/>
      <c r="G5" s="3216" t="s">
        <v>2542</v>
      </c>
      <c r="H5" s="3217"/>
      <c r="I5" s="3216" t="s">
        <v>2543</v>
      </c>
      <c r="J5" s="3217"/>
      <c r="K5" s="2594"/>
      <c r="L5" s="1128"/>
      <c r="M5" s="1129"/>
      <c r="N5" s="1129"/>
      <c r="O5" s="1129"/>
      <c r="P5" s="3203"/>
      <c r="Q5" s="3204"/>
      <c r="R5" s="3209"/>
      <c r="S5" s="3210"/>
      <c r="T5" s="3209"/>
      <c r="U5" s="3210"/>
      <c r="V5" s="3213"/>
      <c r="W5" s="3213"/>
      <c r="X5" s="1810"/>
      <c r="Y5" s="3209"/>
      <c r="Z5" s="3210"/>
      <c r="AA5" s="3195"/>
      <c r="AB5" s="3195"/>
      <c r="AC5" s="3195"/>
    </row>
    <row r="6" spans="1:29" ht="15.75" thickBot="1">
      <c r="A6" s="406"/>
      <c r="B6" s="407"/>
      <c r="C6" s="3214" t="s">
        <v>2544</v>
      </c>
      <c r="D6" s="3215"/>
      <c r="E6" s="3221" t="s">
        <v>2544</v>
      </c>
      <c r="F6" s="3222"/>
      <c r="G6" s="3214" t="s">
        <v>2544</v>
      </c>
      <c r="H6" s="3215"/>
      <c r="I6" s="3214" t="s">
        <v>2544</v>
      </c>
      <c r="J6" s="3215"/>
      <c r="K6" s="2594" t="s">
        <v>2545</v>
      </c>
      <c r="L6" s="1128"/>
      <c r="M6" s="1129"/>
      <c r="N6" s="1129"/>
      <c r="O6" s="1129"/>
      <c r="P6" s="3205"/>
      <c r="Q6" s="3206"/>
      <c r="R6" s="3209"/>
      <c r="S6" s="3210"/>
      <c r="T6" s="3211"/>
      <c r="U6" s="3212"/>
      <c r="V6" s="3213"/>
      <c r="W6" s="3213"/>
      <c r="X6" s="1810"/>
      <c r="Y6" s="3211"/>
      <c r="Z6" s="3212"/>
      <c r="AA6" s="3196"/>
      <c r="AB6" s="3196"/>
      <c r="AC6" s="3196"/>
    </row>
    <row r="7" spans="1:29" s="117" customFormat="1" ht="15.75" thickBot="1">
      <c r="A7" s="408" t="s">
        <v>2546</v>
      </c>
      <c r="B7" s="409"/>
      <c r="C7" s="410">
        <f>'数据-取费表'!B2</f>
        <v>43672</v>
      </c>
      <c r="D7" s="411">
        <v>100</v>
      </c>
      <c r="E7" s="412"/>
      <c r="F7" s="413">
        <f>SUMIF(58:58,YEAR(E7)&amp;"-"&amp;MONTH(E7),59:59)</f>
        <v>0</v>
      </c>
      <c r="G7" s="412"/>
      <c r="H7" s="411">
        <f>SUMIF(58:58,YEAR(G7)&amp;"-"&amp;MONTH(G7),59:59)</f>
        <v>0</v>
      </c>
      <c r="I7" s="412"/>
      <c r="J7" s="411">
        <f>SUMIF(58:58,YEAR(I7)&amp;"-"&amp;MONTH(I7),59:59)</f>
        <v>0</v>
      </c>
      <c r="K7" s="2595"/>
      <c r="L7" s="1130"/>
      <c r="M7" s="1131"/>
      <c r="N7" s="1131"/>
      <c r="O7" s="1131"/>
      <c r="P7" s="3218" t="s">
        <v>2547</v>
      </c>
      <c r="Q7" s="3220"/>
      <c r="R7" s="768" t="s">
        <v>23</v>
      </c>
      <c r="S7" s="769">
        <f t="shared" ref="S7:S15" si="0">F7</f>
        <v>0</v>
      </c>
      <c r="T7" s="768" t="s">
        <v>23</v>
      </c>
      <c r="U7" s="769">
        <f t="shared" ref="U7:U15" si="1">H7</f>
        <v>0</v>
      </c>
      <c r="V7" s="768" t="s">
        <v>23</v>
      </c>
      <c r="W7" s="769">
        <f t="shared" ref="W7:W15" si="2">J7</f>
        <v>0</v>
      </c>
      <c r="X7" s="770"/>
      <c r="Y7" s="3218" t="s">
        <v>2547</v>
      </c>
      <c r="Z7" s="3219"/>
      <c r="AA7" s="771" t="e">
        <f>D7/F7</f>
        <v>#DIV/0!</v>
      </c>
      <c r="AB7" s="771" t="e">
        <f>D7/H7</f>
        <v>#DIV/0!</v>
      </c>
      <c r="AC7" s="771" t="e">
        <f>D7/J7</f>
        <v>#DIV/0!</v>
      </c>
    </row>
    <row r="8" spans="1:29" s="117" customFormat="1" ht="15.75" thickBot="1">
      <c r="A8" s="408" t="s">
        <v>2548</v>
      </c>
      <c r="B8" s="409"/>
      <c r="C8" s="414" t="s">
        <v>2549</v>
      </c>
      <c r="D8" s="411">
        <v>100</v>
      </c>
      <c r="E8" s="2596"/>
      <c r="F8" s="413">
        <f>SUMIF(61:61,E8,62:62)-SUMIF(61:61,C8,62:62)+100</f>
        <v>0</v>
      </c>
      <c r="G8" s="414"/>
      <c r="H8" s="411">
        <f>SUMIF(61:61,G8,62:62)-SUMIF(61:61,C8,62:62)+100</f>
        <v>0</v>
      </c>
      <c r="I8" s="2596"/>
      <c r="J8" s="411">
        <f>SUMIF(61:61,I8,62:62)-SUMIF(61:61,C8,62:62)+100</f>
        <v>0</v>
      </c>
      <c r="K8" s="2595"/>
      <c r="L8" s="1130"/>
      <c r="M8" s="1131"/>
      <c r="N8" s="1131"/>
      <c r="O8" s="1131"/>
      <c r="P8" s="3218" t="s">
        <v>2550</v>
      </c>
      <c r="Q8" s="3219"/>
      <c r="R8" s="768" t="s">
        <v>23</v>
      </c>
      <c r="S8" s="769">
        <f t="shared" si="0"/>
        <v>0</v>
      </c>
      <c r="T8" s="768" t="s">
        <v>23</v>
      </c>
      <c r="U8" s="769">
        <f t="shared" si="1"/>
        <v>0</v>
      </c>
      <c r="V8" s="768" t="s">
        <v>23</v>
      </c>
      <c r="W8" s="769">
        <f t="shared" si="2"/>
        <v>0</v>
      </c>
      <c r="X8" s="770"/>
      <c r="Y8" s="3218" t="s">
        <v>2550</v>
      </c>
      <c r="Z8" s="3219"/>
      <c r="AA8" s="771" t="e">
        <f t="shared" ref="AA8:AA19" si="3">D8/F8</f>
        <v>#DIV/0!</v>
      </c>
      <c r="AB8" s="771" t="e">
        <f t="shared" ref="AB8:AB19" si="4">D8/H8</f>
        <v>#DIV/0!</v>
      </c>
      <c r="AC8" s="771"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5"/>
      <c r="L9" s="1130"/>
      <c r="M9" s="1131"/>
      <c r="N9" s="1131"/>
      <c r="O9" s="1131"/>
      <c r="P9" s="3193" t="s">
        <v>2553</v>
      </c>
      <c r="Q9" s="1792" t="str">
        <f t="shared" ref="Q9:Q15" si="6">B9</f>
        <v>用途</v>
      </c>
      <c r="R9" s="768" t="s">
        <v>17</v>
      </c>
      <c r="S9" s="769">
        <f t="shared" si="0"/>
        <v>100</v>
      </c>
      <c r="T9" s="768" t="s">
        <v>17</v>
      </c>
      <c r="U9" s="769">
        <f t="shared" si="1"/>
        <v>100</v>
      </c>
      <c r="V9" s="768" t="s">
        <v>17</v>
      </c>
      <c r="W9" s="769">
        <f t="shared" si="2"/>
        <v>100</v>
      </c>
      <c r="X9" s="770"/>
      <c r="Y9" s="3006"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93"/>
      <c r="Q10" s="1792" t="str">
        <f t="shared" si="6"/>
        <v>土地使用年限（年）</v>
      </c>
      <c r="R10" s="768" t="s">
        <v>17</v>
      </c>
      <c r="S10" s="769">
        <f t="shared" si="0"/>
        <v>100</v>
      </c>
      <c r="T10" s="768" t="s">
        <v>17</v>
      </c>
      <c r="U10" s="769">
        <f t="shared" si="1"/>
        <v>100</v>
      </c>
      <c r="V10" s="768" t="s">
        <v>17</v>
      </c>
      <c r="W10" s="769">
        <f t="shared" si="2"/>
        <v>100</v>
      </c>
      <c r="X10" s="770"/>
      <c r="Y10" s="3006"/>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93"/>
      <c r="Q11" s="1792" t="str">
        <f t="shared" si="6"/>
        <v>容积率</v>
      </c>
      <c r="R11" s="768" t="s">
        <v>21</v>
      </c>
      <c r="S11" s="769" t="e">
        <f t="shared" si="0"/>
        <v>#N/A</v>
      </c>
      <c r="T11" s="768" t="s">
        <v>21</v>
      </c>
      <c r="U11" s="769" t="e">
        <f t="shared" si="1"/>
        <v>#N/A</v>
      </c>
      <c r="V11" s="768" t="s">
        <v>21</v>
      </c>
      <c r="W11" s="769" t="e">
        <f t="shared" si="2"/>
        <v>#N/A</v>
      </c>
      <c r="X11" s="770"/>
      <c r="Y11" s="3006"/>
      <c r="Z11" s="55" t="str">
        <f t="shared" si="7"/>
        <v>容积率</v>
      </c>
      <c r="AA11" s="771" t="e">
        <f t="shared" si="3"/>
        <v>#N/A</v>
      </c>
      <c r="AB11" s="771" t="e">
        <f t="shared" si="4"/>
        <v>#N/A</v>
      </c>
      <c r="AC11" s="771"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0"/>
      <c r="M12" s="1131"/>
      <c r="N12" s="1131"/>
      <c r="O12" s="1131"/>
      <c r="P12" s="3193"/>
      <c r="Q12" s="1792">
        <f t="shared" si="6"/>
        <v>111</v>
      </c>
      <c r="R12" s="768" t="s">
        <v>21</v>
      </c>
      <c r="S12" s="769">
        <f t="shared" si="0"/>
        <v>100</v>
      </c>
      <c r="T12" s="768" t="s">
        <v>21</v>
      </c>
      <c r="U12" s="769">
        <f t="shared" si="1"/>
        <v>100</v>
      </c>
      <c r="V12" s="768" t="s">
        <v>21</v>
      </c>
      <c r="W12" s="769">
        <f t="shared" si="2"/>
        <v>100</v>
      </c>
      <c r="X12" s="770"/>
      <c r="Y12" s="3006"/>
      <c r="Z12" s="55">
        <f t="shared" si="7"/>
        <v>111</v>
      </c>
      <c r="AA12" s="771">
        <f>D12/F12</f>
        <v>1</v>
      </c>
      <c r="AB12" s="771">
        <f>D12/H12</f>
        <v>1</v>
      </c>
      <c r="AC12" s="771">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8"/>
      <c r="M13" s="1129"/>
      <c r="N13" s="1129"/>
      <c r="O13" s="1129"/>
      <c r="P13" s="3193"/>
      <c r="Q13" s="1792">
        <f t="shared" si="6"/>
        <v>111</v>
      </c>
      <c r="R13" s="768" t="s">
        <v>21</v>
      </c>
      <c r="S13" s="769">
        <f t="shared" si="0"/>
        <v>100</v>
      </c>
      <c r="T13" s="768" t="s">
        <v>21</v>
      </c>
      <c r="U13" s="769">
        <f t="shared" si="1"/>
        <v>100</v>
      </c>
      <c r="V13" s="768" t="s">
        <v>21</v>
      </c>
      <c r="W13" s="769">
        <f t="shared" si="2"/>
        <v>100</v>
      </c>
      <c r="X13" s="770"/>
      <c r="Y13" s="3006"/>
      <c r="Z13" s="55">
        <f t="shared" si="7"/>
        <v>111</v>
      </c>
      <c r="AA13" s="771">
        <f t="shared" si="3"/>
        <v>1</v>
      </c>
      <c r="AB13" s="771">
        <f t="shared" si="4"/>
        <v>1</v>
      </c>
      <c r="AC13" s="771">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8"/>
      <c r="M14" s="1129"/>
      <c r="N14" s="1129"/>
      <c r="O14" s="1129"/>
      <c r="P14" s="3193"/>
      <c r="Q14" s="1792">
        <f t="shared" si="6"/>
        <v>111</v>
      </c>
      <c r="R14" s="768" t="s">
        <v>21</v>
      </c>
      <c r="S14" s="769">
        <f t="shared" si="0"/>
        <v>100</v>
      </c>
      <c r="T14" s="768" t="s">
        <v>21</v>
      </c>
      <c r="U14" s="769">
        <f t="shared" si="1"/>
        <v>100</v>
      </c>
      <c r="V14" s="768" t="s">
        <v>21</v>
      </c>
      <c r="W14" s="769">
        <f t="shared" si="2"/>
        <v>100</v>
      </c>
      <c r="X14" s="770"/>
      <c r="Y14" s="3006"/>
      <c r="Z14" s="55">
        <f t="shared" si="7"/>
        <v>111</v>
      </c>
      <c r="AA14" s="771">
        <f t="shared" si="3"/>
        <v>1</v>
      </c>
      <c r="AB14" s="771">
        <f t="shared" si="4"/>
        <v>1</v>
      </c>
      <c r="AC14" s="771">
        <f t="shared" si="5"/>
        <v>1</v>
      </c>
    </row>
    <row r="15" spans="1:29" ht="99.75">
      <c r="A15" s="440" t="s">
        <v>2557</v>
      </c>
      <c r="B15" s="69" t="s">
        <v>2081</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91" t="s">
        <v>2558</v>
      </c>
      <c r="Q15" s="1807" t="str">
        <f t="shared" si="6"/>
        <v>居住社区成熟度</v>
      </c>
      <c r="R15" s="772" t="s">
        <v>21</v>
      </c>
      <c r="S15" s="773">
        <f t="shared" si="0"/>
        <v>100</v>
      </c>
      <c r="T15" s="772" t="s">
        <v>21</v>
      </c>
      <c r="U15" s="773">
        <f t="shared" si="1"/>
        <v>100</v>
      </c>
      <c r="V15" s="772" t="s">
        <v>21</v>
      </c>
      <c r="W15" s="773">
        <f t="shared" si="2"/>
        <v>100</v>
      </c>
      <c r="X15" s="1810"/>
      <c r="Y15" s="3184" t="s">
        <v>2558</v>
      </c>
      <c r="Z15" s="1811" t="str">
        <f t="shared" si="7"/>
        <v>居住社区成熟度</v>
      </c>
      <c r="AA15" s="1808">
        <f t="shared" si="3"/>
        <v>1</v>
      </c>
      <c r="AB15" s="1808">
        <f t="shared" si="4"/>
        <v>1</v>
      </c>
      <c r="AC15" s="1808">
        <f t="shared" si="5"/>
        <v>1</v>
      </c>
    </row>
    <row r="16" spans="1:29" ht="15">
      <c r="A16" s="428"/>
      <c r="B16" s="446"/>
      <c r="C16" s="447"/>
      <c r="D16" s="448"/>
      <c r="E16" s="2601"/>
      <c r="F16" s="448"/>
      <c r="G16" s="2602"/>
      <c r="H16" s="450"/>
      <c r="I16" s="2602"/>
      <c r="J16" s="448"/>
      <c r="K16" s="2603"/>
      <c r="L16" s="1138"/>
      <c r="M16" s="1129"/>
      <c r="N16" s="1129"/>
      <c r="O16" s="1129"/>
      <c r="P16" s="3192"/>
      <c r="Q16" s="1807"/>
      <c r="R16" s="772"/>
      <c r="S16" s="773"/>
      <c r="T16" s="772"/>
      <c r="U16" s="773"/>
      <c r="V16" s="772"/>
      <c r="W16" s="773"/>
      <c r="X16" s="1810"/>
      <c r="Y16" s="3185"/>
      <c r="Z16" s="1811"/>
      <c r="AA16" s="1808">
        <v>1</v>
      </c>
      <c r="AB16" s="1808">
        <v>1</v>
      </c>
      <c r="AC16" s="1808">
        <v>1</v>
      </c>
    </row>
    <row r="17" spans="1:29" ht="85.5">
      <c r="A17" s="428"/>
      <c r="B17" s="451" t="s">
        <v>2093</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92"/>
      <c r="Q17" s="1807" t="str">
        <f>B17</f>
        <v>交通便捷度</v>
      </c>
      <c r="R17" s="772" t="s">
        <v>21</v>
      </c>
      <c r="S17" s="773">
        <f>F17</f>
        <v>100</v>
      </c>
      <c r="T17" s="772" t="s">
        <v>21</v>
      </c>
      <c r="U17" s="773">
        <f>H17</f>
        <v>100</v>
      </c>
      <c r="V17" s="772" t="s">
        <v>21</v>
      </c>
      <c r="W17" s="773">
        <f>J17</f>
        <v>100</v>
      </c>
      <c r="X17" s="1810"/>
      <c r="Y17" s="3185"/>
      <c r="Z17" s="1811" t="str">
        <f>Q17</f>
        <v>交通便捷度</v>
      </c>
      <c r="AA17" s="1808">
        <f t="shared" si="3"/>
        <v>1</v>
      </c>
      <c r="AB17" s="1808">
        <f t="shared" si="4"/>
        <v>1</v>
      </c>
      <c r="AC17" s="1808">
        <f t="shared" si="5"/>
        <v>1</v>
      </c>
    </row>
    <row r="18" spans="1:29" ht="15">
      <c r="A18" s="428"/>
      <c r="B18" s="456"/>
      <c r="C18" s="2605"/>
      <c r="D18" s="450"/>
      <c r="E18" s="2606"/>
      <c r="F18" s="450"/>
      <c r="G18" s="2607"/>
      <c r="H18" s="448"/>
      <c r="I18" s="2607"/>
      <c r="J18" s="448"/>
      <c r="K18" s="2603"/>
      <c r="L18" s="1138"/>
      <c r="M18" s="1129"/>
      <c r="N18" s="1129"/>
      <c r="O18" s="1129"/>
      <c r="P18" s="3192"/>
      <c r="Q18" s="1807"/>
      <c r="R18" s="772"/>
      <c r="S18" s="773"/>
      <c r="T18" s="772"/>
      <c r="U18" s="773"/>
      <c r="V18" s="772"/>
      <c r="W18" s="773"/>
      <c r="X18" s="1810"/>
      <c r="Y18" s="3185"/>
      <c r="Z18" s="1811"/>
      <c r="AA18" s="1808">
        <v>1</v>
      </c>
      <c r="AB18" s="1808">
        <v>1</v>
      </c>
      <c r="AC18" s="1808">
        <v>1</v>
      </c>
    </row>
    <row r="19" spans="1:29" ht="42.75">
      <c r="A19" s="428"/>
      <c r="B19" s="451" t="s">
        <v>2091</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92"/>
      <c r="Q19" s="1807" t="str">
        <f>B19</f>
        <v>公共配套设施</v>
      </c>
      <c r="R19" s="772" t="s">
        <v>21</v>
      </c>
      <c r="S19" s="773">
        <f>F19</f>
        <v>100</v>
      </c>
      <c r="T19" s="772" t="s">
        <v>21</v>
      </c>
      <c r="U19" s="773">
        <f>H19</f>
        <v>100</v>
      </c>
      <c r="V19" s="772" t="s">
        <v>21</v>
      </c>
      <c r="W19" s="773">
        <f>J19</f>
        <v>100</v>
      </c>
      <c r="X19" s="1810"/>
      <c r="Y19" s="3185"/>
      <c r="Z19" s="1811" t="str">
        <f>Q19</f>
        <v>公共配套设施</v>
      </c>
      <c r="AA19" s="1808">
        <f t="shared" si="3"/>
        <v>1</v>
      </c>
      <c r="AB19" s="1808">
        <f t="shared" si="4"/>
        <v>1</v>
      </c>
      <c r="AC19" s="1808">
        <f t="shared" si="5"/>
        <v>1</v>
      </c>
    </row>
    <row r="20" spans="1:29" ht="15">
      <c r="A20" s="428"/>
      <c r="B20" s="456"/>
      <c r="C20" s="447"/>
      <c r="D20" s="448"/>
      <c r="E20" s="2601"/>
      <c r="F20" s="448"/>
      <c r="G20" s="2602"/>
      <c r="H20" s="448"/>
      <c r="I20" s="2602"/>
      <c r="J20" s="448"/>
      <c r="K20" s="2603"/>
      <c r="L20" s="1138"/>
      <c r="M20" s="1129"/>
      <c r="N20" s="1129"/>
      <c r="O20" s="1129"/>
      <c r="P20" s="3192"/>
      <c r="Q20" s="1807"/>
      <c r="R20" s="772"/>
      <c r="S20" s="773"/>
      <c r="T20" s="772"/>
      <c r="U20" s="773"/>
      <c r="V20" s="772"/>
      <c r="W20" s="773"/>
      <c r="X20" s="1810"/>
      <c r="Y20" s="3185"/>
      <c r="Z20" s="1811"/>
      <c r="AA20" s="1808">
        <v>1</v>
      </c>
      <c r="AB20" s="1808">
        <v>1</v>
      </c>
      <c r="AC20" s="1808">
        <v>1</v>
      </c>
    </row>
    <row r="21" spans="1:29" ht="28.5">
      <c r="A21" s="428"/>
      <c r="B21" s="1382" t="s">
        <v>2094</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92"/>
      <c r="Q21" s="1807" t="str">
        <f>B21</f>
        <v>基础设施水平</v>
      </c>
      <c r="R21" s="772" t="s">
        <v>17</v>
      </c>
      <c r="S21" s="773">
        <f>F21</f>
        <v>100</v>
      </c>
      <c r="T21" s="772" t="s">
        <v>17</v>
      </c>
      <c r="U21" s="773">
        <f>H21</f>
        <v>100</v>
      </c>
      <c r="V21" s="772" t="s">
        <v>17</v>
      </c>
      <c r="W21" s="773">
        <f>J21</f>
        <v>100</v>
      </c>
      <c r="X21" s="1810"/>
      <c r="Y21" s="3185"/>
      <c r="Z21" s="1811" t="str">
        <f>Q21</f>
        <v>基础设施水平</v>
      </c>
      <c r="AA21" s="1808">
        <f t="shared" ref="AA21" si="8">D21/F21</f>
        <v>1</v>
      </c>
      <c r="AB21" s="1808">
        <f t="shared" ref="AB21" si="9">D21/H21</f>
        <v>1</v>
      </c>
      <c r="AC21" s="1808">
        <f t="shared" ref="AC21" si="10">D21/J21</f>
        <v>1</v>
      </c>
    </row>
    <row r="22" spans="1:29" ht="15">
      <c r="A22" s="428"/>
      <c r="B22" s="1382"/>
      <c r="C22" s="2605"/>
      <c r="D22" s="448"/>
      <c r="E22" s="447"/>
      <c r="F22" s="448"/>
      <c r="G22" s="2608"/>
      <c r="H22" s="448"/>
      <c r="I22" s="447"/>
      <c r="J22" s="448"/>
      <c r="K22" s="2609"/>
      <c r="L22" s="1138"/>
      <c r="M22" s="1129"/>
      <c r="N22" s="1129"/>
      <c r="O22" s="1129"/>
      <c r="P22" s="3192"/>
      <c r="Q22" s="1807"/>
      <c r="R22" s="772"/>
      <c r="S22" s="773"/>
      <c r="T22" s="772"/>
      <c r="U22" s="773"/>
      <c r="V22" s="772"/>
      <c r="W22" s="773"/>
      <c r="X22" s="1810"/>
      <c r="Y22" s="3185"/>
      <c r="Z22" s="1811"/>
      <c r="AA22" s="1808">
        <v>1</v>
      </c>
      <c r="AB22" s="1808">
        <v>1</v>
      </c>
      <c r="AC22" s="1808">
        <v>1</v>
      </c>
    </row>
    <row r="23" spans="1:29" ht="57">
      <c r="A23" s="428"/>
      <c r="B23" s="451" t="s">
        <v>2098</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92"/>
      <c r="Q23" s="1807" t="str">
        <f>B23</f>
        <v>自然及人文环境</v>
      </c>
      <c r="R23" s="772" t="s">
        <v>21</v>
      </c>
      <c r="S23" s="773">
        <f>F23</f>
        <v>100</v>
      </c>
      <c r="T23" s="772" t="s">
        <v>21</v>
      </c>
      <c r="U23" s="773">
        <f>H23</f>
        <v>100</v>
      </c>
      <c r="V23" s="772" t="s">
        <v>21</v>
      </c>
      <c r="W23" s="773">
        <f>J23</f>
        <v>100</v>
      </c>
      <c r="X23" s="1810"/>
      <c r="Y23" s="3185"/>
      <c r="Z23" s="1811" t="str">
        <f>Q23</f>
        <v>自然及人文环境</v>
      </c>
      <c r="AA23" s="1808">
        <f>D23/F23</f>
        <v>1</v>
      </c>
      <c r="AB23" s="1808">
        <f>D23/H23</f>
        <v>1</v>
      </c>
      <c r="AC23" s="1808">
        <f>D23/J23</f>
        <v>1</v>
      </c>
    </row>
    <row r="24" spans="1:29" ht="15">
      <c r="A24" s="428"/>
      <c r="B24" s="456"/>
      <c r="C24" s="447"/>
      <c r="D24" s="448"/>
      <c r="E24" s="2601"/>
      <c r="F24" s="448"/>
      <c r="G24" s="2602"/>
      <c r="H24" s="448"/>
      <c r="I24" s="2602"/>
      <c r="J24" s="448"/>
      <c r="K24" s="2603"/>
      <c r="L24" s="1138"/>
      <c r="M24" s="1129"/>
      <c r="N24" s="1129"/>
      <c r="O24" s="1129"/>
      <c r="P24" s="3192"/>
      <c r="Q24" s="1807"/>
      <c r="R24" s="772"/>
      <c r="S24" s="773"/>
      <c r="T24" s="772"/>
      <c r="U24" s="773"/>
      <c r="V24" s="772"/>
      <c r="W24" s="773"/>
      <c r="X24" s="1810"/>
      <c r="Y24" s="3185"/>
      <c r="Z24" s="1811"/>
      <c r="AA24" s="1808">
        <v>1</v>
      </c>
      <c r="AB24" s="1808">
        <v>1</v>
      </c>
      <c r="AC24" s="1808">
        <v>1</v>
      </c>
    </row>
    <row r="25" spans="1:29" ht="15">
      <c r="A25" s="428"/>
      <c r="B25" s="422" t="s">
        <v>2559</v>
      </c>
      <c r="C25" s="460"/>
      <c r="D25" s="435">
        <v>100</v>
      </c>
      <c r="E25" s="2610"/>
      <c r="F25" s="435">
        <f>SUMIF(86:86,E25,87:87)-SUMIF(86:86,C25,87:87)+100</f>
        <v>100</v>
      </c>
      <c r="G25" s="2611"/>
      <c r="H25" s="435">
        <f>SUMIF(86:86,G25,87:87)-SUMIF(86:86,C25,87:87)+100</f>
        <v>100</v>
      </c>
      <c r="I25" s="2611"/>
      <c r="J25" s="435">
        <f>SUMIF(86:86,I25,87:87)-SUMIF(86:86,C25,87:87)+100</f>
        <v>100</v>
      </c>
      <c r="K25" s="426"/>
      <c r="L25" s="1138"/>
      <c r="M25" s="1129"/>
      <c r="N25" s="1129"/>
      <c r="O25" s="1129"/>
      <c r="P25" s="3192"/>
      <c r="Q25" s="1807" t="str">
        <f t="shared" ref="Q25:Q46" si="11">B25</f>
        <v>楼层-1</v>
      </c>
      <c r="R25" s="772" t="s">
        <v>21</v>
      </c>
      <c r="S25" s="773">
        <f t="shared" ref="S25:S46" si="12">F25</f>
        <v>100</v>
      </c>
      <c r="T25" s="772" t="s">
        <v>21</v>
      </c>
      <c r="U25" s="773">
        <f t="shared" ref="U25:U46" si="13">H25</f>
        <v>100</v>
      </c>
      <c r="V25" s="772" t="s">
        <v>21</v>
      </c>
      <c r="W25" s="773">
        <f t="shared" ref="W25:W46" si="14">J25</f>
        <v>100</v>
      </c>
      <c r="X25" s="1810"/>
      <c r="Y25" s="3185"/>
      <c r="Z25" s="1811" t="str">
        <f>Q25</f>
        <v>楼层-1</v>
      </c>
      <c r="AA25" s="1808">
        <f t="shared" ref="AA25:AA46" si="15">D25/F25</f>
        <v>1</v>
      </c>
      <c r="AB25" s="1808">
        <f t="shared" ref="AB25:AB46" si="16">D25/H25</f>
        <v>1</v>
      </c>
      <c r="AC25" s="1808">
        <f t="shared" ref="AC25:AC46" si="17">D25/J25</f>
        <v>1</v>
      </c>
    </row>
    <row r="26" spans="1:29" ht="15">
      <c r="A26" s="428"/>
      <c r="B26" s="422" t="s">
        <v>2560</v>
      </c>
      <c r="C26" s="460"/>
      <c r="D26" s="435">
        <v>100</v>
      </c>
      <c r="E26" s="2610"/>
      <c r="F26" s="435">
        <f>SUMIF(88:88,E26,89:89)-SUMIF(88:88,C26,89:89)+100</f>
        <v>100</v>
      </c>
      <c r="G26" s="2611"/>
      <c r="H26" s="435">
        <f>SUMIF(88:88,G26,89:89)-SUMIF(88:88,C26,89:89)+100</f>
        <v>100</v>
      </c>
      <c r="I26" s="2611"/>
      <c r="J26" s="435">
        <f>SUMIF(88:88,I26,89:89)-SUMIF(88:88,C26,89:89)+100</f>
        <v>100</v>
      </c>
      <c r="K26" s="426"/>
      <c r="L26" s="1138"/>
      <c r="M26" s="1129"/>
      <c r="N26" s="1129"/>
      <c r="O26" s="1129"/>
      <c r="P26" s="3192"/>
      <c r="Q26" s="1807" t="str">
        <f t="shared" si="11"/>
        <v>朝向</v>
      </c>
      <c r="R26" s="772" t="s">
        <v>21</v>
      </c>
      <c r="S26" s="773">
        <f t="shared" si="12"/>
        <v>100</v>
      </c>
      <c r="T26" s="772" t="s">
        <v>21</v>
      </c>
      <c r="U26" s="773">
        <f t="shared" si="13"/>
        <v>100</v>
      </c>
      <c r="V26" s="772" t="s">
        <v>21</v>
      </c>
      <c r="W26" s="773">
        <f t="shared" si="14"/>
        <v>100</v>
      </c>
      <c r="X26" s="1810"/>
      <c r="Y26" s="3185"/>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8"/>
      <c r="L27" s="1130"/>
      <c r="M27" s="1131"/>
      <c r="N27" s="1131"/>
      <c r="O27" s="1131"/>
      <c r="P27" s="3192"/>
      <c r="Q27" s="1792">
        <f t="shared" si="11"/>
        <v>111</v>
      </c>
      <c r="R27" s="768" t="s">
        <v>21</v>
      </c>
      <c r="S27" s="769">
        <f t="shared" si="12"/>
        <v>100</v>
      </c>
      <c r="T27" s="768" t="s">
        <v>21</v>
      </c>
      <c r="U27" s="769">
        <f t="shared" si="13"/>
        <v>100</v>
      </c>
      <c r="V27" s="768" t="s">
        <v>21</v>
      </c>
      <c r="W27" s="769">
        <f t="shared" si="14"/>
        <v>100</v>
      </c>
      <c r="X27" s="770"/>
      <c r="Y27" s="3185"/>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2"/>
      <c r="H28" s="435">
        <f>SUMIF(92:92,G28,93:93)-SUMIF(92:92,C28,93:93)+100</f>
        <v>100</v>
      </c>
      <c r="I28" s="434"/>
      <c r="J28" s="435">
        <f>SUMIF(92:92,I28,93:93)-SUMIF(92:92,C28,93:93)+100</f>
        <v>100</v>
      </c>
      <c r="K28" s="2598"/>
      <c r="L28" s="1138"/>
      <c r="M28" s="1129"/>
      <c r="N28" s="1129"/>
      <c r="O28" s="1129"/>
      <c r="P28" s="3192"/>
      <c r="Q28" s="1807">
        <f t="shared" si="11"/>
        <v>111</v>
      </c>
      <c r="R28" s="772" t="s">
        <v>21</v>
      </c>
      <c r="S28" s="773">
        <f t="shared" si="12"/>
        <v>100</v>
      </c>
      <c r="T28" s="772" t="s">
        <v>21</v>
      </c>
      <c r="U28" s="773">
        <f t="shared" si="13"/>
        <v>100</v>
      </c>
      <c r="V28" s="772" t="s">
        <v>21</v>
      </c>
      <c r="W28" s="773">
        <f t="shared" si="14"/>
        <v>100</v>
      </c>
      <c r="X28" s="1810"/>
      <c r="Y28" s="3185"/>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2"/>
      <c r="H29" s="435">
        <f>SUMIF(94:94,G29,95:95)-SUMIF(94:94,C29,95:95)+100</f>
        <v>100</v>
      </c>
      <c r="I29" s="434"/>
      <c r="J29" s="435">
        <f>SUMIF(94:94,I29,95:95)-SUMIF(94:94,C29,95:95)+100</f>
        <v>100</v>
      </c>
      <c r="K29" s="2598"/>
      <c r="L29" s="1138"/>
      <c r="M29" s="1129"/>
      <c r="N29" s="1129"/>
      <c r="O29" s="1129"/>
      <c r="P29" s="3192"/>
      <c r="Q29" s="1807">
        <f t="shared" si="11"/>
        <v>111</v>
      </c>
      <c r="R29" s="772" t="s">
        <v>21</v>
      </c>
      <c r="S29" s="773">
        <f t="shared" si="12"/>
        <v>100</v>
      </c>
      <c r="T29" s="772" t="s">
        <v>21</v>
      </c>
      <c r="U29" s="773">
        <f t="shared" si="13"/>
        <v>100</v>
      </c>
      <c r="V29" s="772" t="s">
        <v>21</v>
      </c>
      <c r="W29" s="773">
        <f t="shared" si="14"/>
        <v>100</v>
      </c>
      <c r="X29" s="1810"/>
      <c r="Y29" s="3185"/>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2"/>
      <c r="H30" s="435">
        <f>SUMIF(96:96,G30,97:97)-SUMIF(96:96,C30,97:97)+100</f>
        <v>100</v>
      </c>
      <c r="I30" s="434"/>
      <c r="J30" s="435">
        <f>SUMIF(96:96,I30,97:97)-SUMIF(96:96,C30,97:97)+100</f>
        <v>100</v>
      </c>
      <c r="K30" s="2598"/>
      <c r="L30" s="1138"/>
      <c r="M30" s="1129"/>
      <c r="N30" s="1129"/>
      <c r="O30" s="1129"/>
      <c r="P30" s="3192"/>
      <c r="Q30" s="1807">
        <f t="shared" si="11"/>
        <v>111</v>
      </c>
      <c r="R30" s="772" t="s">
        <v>21</v>
      </c>
      <c r="S30" s="773">
        <f t="shared" si="12"/>
        <v>100</v>
      </c>
      <c r="T30" s="772" t="s">
        <v>21</v>
      </c>
      <c r="U30" s="773">
        <f t="shared" si="13"/>
        <v>100</v>
      </c>
      <c r="V30" s="772" t="s">
        <v>21</v>
      </c>
      <c r="W30" s="773">
        <f t="shared" si="14"/>
        <v>100</v>
      </c>
      <c r="X30" s="1810"/>
      <c r="Y30" s="3185"/>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3"/>
      <c r="H31" s="438">
        <f>SUMIF(98:98,G31,99:99)-SUMIF(98:98,C31,99:99)+100</f>
        <v>100</v>
      </c>
      <c r="I31" s="437"/>
      <c r="J31" s="438">
        <f>SUMIF(98:98,I31,99:99)-SUMIF(98:98,C31,99:99)+100</f>
        <v>100</v>
      </c>
      <c r="K31" s="2598"/>
      <c r="L31" s="1138"/>
      <c r="M31" s="1129"/>
      <c r="N31" s="1129"/>
      <c r="O31" s="1129"/>
      <c r="P31" s="3192"/>
      <c r="Q31" s="1807">
        <f t="shared" si="11"/>
        <v>111</v>
      </c>
      <c r="R31" s="772" t="s">
        <v>21</v>
      </c>
      <c r="S31" s="773">
        <f t="shared" si="12"/>
        <v>100</v>
      </c>
      <c r="T31" s="772" t="s">
        <v>21</v>
      </c>
      <c r="U31" s="773">
        <f t="shared" si="13"/>
        <v>100</v>
      </c>
      <c r="V31" s="772" t="s">
        <v>21</v>
      </c>
      <c r="W31" s="773">
        <f t="shared" si="14"/>
        <v>100</v>
      </c>
      <c r="X31" s="1810"/>
      <c r="Y31" s="3185"/>
      <c r="Z31" s="1811">
        <f t="shared" si="18"/>
        <v>111</v>
      </c>
      <c r="AA31" s="1808">
        <f t="shared" si="15"/>
        <v>1</v>
      </c>
      <c r="AB31" s="1808">
        <f t="shared" si="16"/>
        <v>1</v>
      </c>
      <c r="AC31" s="1808">
        <f t="shared" si="17"/>
        <v>1</v>
      </c>
    </row>
    <row r="32" spans="1:29" ht="15">
      <c r="A32" s="440" t="s">
        <v>2561</v>
      </c>
      <c r="B32" s="71" t="s">
        <v>2562</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8"/>
      <c r="M32" s="1129"/>
      <c r="N32" s="1129"/>
      <c r="O32" s="1129"/>
      <c r="P32" s="3186" t="s">
        <v>2563</v>
      </c>
      <c r="Q32" s="1807" t="str">
        <f t="shared" si="11"/>
        <v>建筑类型</v>
      </c>
      <c r="R32" s="772" t="s">
        <v>21</v>
      </c>
      <c r="S32" s="773">
        <f t="shared" si="12"/>
        <v>100</v>
      </c>
      <c r="T32" s="772" t="s">
        <v>21</v>
      </c>
      <c r="U32" s="773">
        <f t="shared" si="13"/>
        <v>100</v>
      </c>
      <c r="V32" s="772" t="s">
        <v>21</v>
      </c>
      <c r="W32" s="773">
        <f t="shared" si="14"/>
        <v>100</v>
      </c>
      <c r="X32" s="1810"/>
      <c r="Y32" s="3189" t="s">
        <v>2563</v>
      </c>
      <c r="Z32" s="1811" t="str">
        <f t="shared" si="18"/>
        <v>建筑类型</v>
      </c>
      <c r="AA32" s="1808">
        <f t="shared" si="15"/>
        <v>1</v>
      </c>
      <c r="AB32" s="1808">
        <f t="shared" si="16"/>
        <v>1</v>
      </c>
      <c r="AC32" s="1808">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6"/>
      <c r="M33" s="1139"/>
      <c r="N33" s="1139"/>
      <c r="O33" s="1139"/>
      <c r="P33" s="3187"/>
      <c r="Q33" s="774" t="str">
        <f t="shared" si="11"/>
        <v>项目建筑规模</v>
      </c>
      <c r="R33" s="775" t="s">
        <v>21</v>
      </c>
      <c r="S33" s="776" t="e">
        <f t="shared" si="12"/>
        <v>#N/A</v>
      </c>
      <c r="T33" s="775" t="s">
        <v>21</v>
      </c>
      <c r="U33" s="776" t="e">
        <f t="shared" si="13"/>
        <v>#N/A</v>
      </c>
      <c r="V33" s="775" t="s">
        <v>21</v>
      </c>
      <c r="W33" s="776" t="e">
        <f t="shared" si="14"/>
        <v>#N/A</v>
      </c>
      <c r="X33" s="777"/>
      <c r="Y33" s="3189"/>
      <c r="Z33" s="778" t="str">
        <f t="shared" si="18"/>
        <v>项目建筑规模</v>
      </c>
      <c r="AA33" s="1808" t="e">
        <f t="shared" si="15"/>
        <v>#N/A</v>
      </c>
      <c r="AB33" s="1808" t="e">
        <f t="shared" si="16"/>
        <v>#N/A</v>
      </c>
      <c r="AC33" s="1808" t="e">
        <f t="shared" si="17"/>
        <v>#N/A</v>
      </c>
    </row>
    <row r="34" spans="1:29" ht="15">
      <c r="A34" s="472"/>
      <c r="B34" s="422" t="s">
        <v>2565</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8"/>
      <c r="M34" s="1129"/>
      <c r="N34" s="1129"/>
      <c r="O34" s="1129"/>
      <c r="P34" s="3187"/>
      <c r="Q34" s="1807" t="str">
        <f t="shared" si="11"/>
        <v>建筑结构</v>
      </c>
      <c r="R34" s="772" t="s">
        <v>21</v>
      </c>
      <c r="S34" s="773">
        <f t="shared" si="12"/>
        <v>100</v>
      </c>
      <c r="T34" s="772" t="s">
        <v>21</v>
      </c>
      <c r="U34" s="773">
        <f t="shared" si="13"/>
        <v>100</v>
      </c>
      <c r="V34" s="772" t="s">
        <v>21</v>
      </c>
      <c r="W34" s="773">
        <f t="shared" si="14"/>
        <v>100</v>
      </c>
      <c r="X34" s="1810"/>
      <c r="Y34" s="3189"/>
      <c r="Z34" s="1811" t="str">
        <f t="shared" si="18"/>
        <v>建筑结构</v>
      </c>
      <c r="AA34" s="1808">
        <f t="shared" si="15"/>
        <v>1</v>
      </c>
      <c r="AB34" s="1808">
        <f t="shared" si="16"/>
        <v>1</v>
      </c>
      <c r="AC34" s="1808">
        <f t="shared" si="17"/>
        <v>1</v>
      </c>
    </row>
    <row r="35" spans="1:29" ht="15">
      <c r="A35" s="472"/>
      <c r="B35" s="422" t="s">
        <v>2566</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8"/>
      <c r="M35" s="1129"/>
      <c r="N35" s="1129"/>
      <c r="O35" s="1129"/>
      <c r="P35" s="3187"/>
      <c r="Q35" s="1807" t="str">
        <f t="shared" si="11"/>
        <v>建筑品质</v>
      </c>
      <c r="R35" s="772" t="s">
        <v>21</v>
      </c>
      <c r="S35" s="773">
        <f t="shared" si="12"/>
        <v>100</v>
      </c>
      <c r="T35" s="772" t="s">
        <v>21</v>
      </c>
      <c r="U35" s="773">
        <f t="shared" si="13"/>
        <v>100</v>
      </c>
      <c r="V35" s="772" t="s">
        <v>21</v>
      </c>
      <c r="W35" s="773">
        <f t="shared" si="14"/>
        <v>100</v>
      </c>
      <c r="X35" s="1810"/>
      <c r="Y35" s="3189"/>
      <c r="Z35" s="1811" t="str">
        <f t="shared" si="18"/>
        <v>建筑品质</v>
      </c>
      <c r="AA35" s="1808">
        <f t="shared" si="15"/>
        <v>1</v>
      </c>
      <c r="AB35" s="1808">
        <f t="shared" si="16"/>
        <v>1</v>
      </c>
      <c r="AC35" s="1808">
        <f t="shared" si="17"/>
        <v>1</v>
      </c>
    </row>
    <row r="36" spans="1:29" ht="15">
      <c r="A36" s="472"/>
      <c r="B36" s="422" t="s">
        <v>2567</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8"/>
      <c r="M36" s="1129"/>
      <c r="N36" s="1129"/>
      <c r="O36" s="1129"/>
      <c r="P36" s="3187"/>
      <c r="Q36" s="1807" t="str">
        <f t="shared" si="11"/>
        <v>公共部分装修</v>
      </c>
      <c r="R36" s="772" t="s">
        <v>21</v>
      </c>
      <c r="S36" s="773">
        <f t="shared" si="12"/>
        <v>100</v>
      </c>
      <c r="T36" s="772" t="s">
        <v>21</v>
      </c>
      <c r="U36" s="773">
        <f t="shared" si="13"/>
        <v>100</v>
      </c>
      <c r="V36" s="772" t="s">
        <v>21</v>
      </c>
      <c r="W36" s="773">
        <f t="shared" si="14"/>
        <v>100</v>
      </c>
      <c r="X36" s="1810"/>
      <c r="Y36" s="3189"/>
      <c r="Z36" s="1811" t="str">
        <f t="shared" si="18"/>
        <v>公共部分装修</v>
      </c>
      <c r="AA36" s="1808">
        <f t="shared" si="15"/>
        <v>1</v>
      </c>
      <c r="AB36" s="1808">
        <f t="shared" si="16"/>
        <v>1</v>
      </c>
      <c r="AC36" s="1808">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87"/>
      <c r="Q37" s="1792" t="str">
        <f t="shared" si="11"/>
        <v>成新度</v>
      </c>
      <c r="R37" s="768" t="s">
        <v>21</v>
      </c>
      <c r="S37" s="769" t="e">
        <f t="shared" si="12"/>
        <v>#N/A</v>
      </c>
      <c r="T37" s="768" t="s">
        <v>21</v>
      </c>
      <c r="U37" s="769" t="e">
        <f t="shared" si="13"/>
        <v>#N/A</v>
      </c>
      <c r="V37" s="768" t="s">
        <v>21</v>
      </c>
      <c r="W37" s="769" t="e">
        <f t="shared" si="14"/>
        <v>#N/A</v>
      </c>
      <c r="X37" s="770"/>
      <c r="Y37" s="3189"/>
      <c r="Z37" s="55" t="str">
        <f t="shared" si="18"/>
        <v>成新度</v>
      </c>
      <c r="AA37" s="771" t="e">
        <f t="shared" si="15"/>
        <v>#N/A</v>
      </c>
      <c r="AB37" s="771" t="e">
        <f t="shared" si="16"/>
        <v>#N/A</v>
      </c>
      <c r="AC37" s="771" t="e">
        <f t="shared" si="17"/>
        <v>#N/A</v>
      </c>
    </row>
    <row r="38" spans="1:29" ht="15">
      <c r="A38" s="472"/>
      <c r="B38" s="422" t="s">
        <v>2569</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8"/>
      <c r="M38" s="1129"/>
      <c r="N38" s="1129"/>
      <c r="O38" s="1129"/>
      <c r="P38" s="3187" t="s">
        <v>2563</v>
      </c>
      <c r="Q38" s="1807" t="str">
        <f t="shared" si="11"/>
        <v>物业管理</v>
      </c>
      <c r="R38" s="772" t="s">
        <v>21</v>
      </c>
      <c r="S38" s="773">
        <f t="shared" si="12"/>
        <v>100</v>
      </c>
      <c r="T38" s="772" t="s">
        <v>21</v>
      </c>
      <c r="U38" s="773">
        <f t="shared" si="13"/>
        <v>100</v>
      </c>
      <c r="V38" s="772" t="s">
        <v>21</v>
      </c>
      <c r="W38" s="773">
        <f t="shared" si="14"/>
        <v>100</v>
      </c>
      <c r="X38" s="1810"/>
      <c r="Y38" s="3189" t="s">
        <v>2563</v>
      </c>
      <c r="Z38" s="1811" t="str">
        <f t="shared" si="18"/>
        <v>物业管理</v>
      </c>
      <c r="AA38" s="1808">
        <f t="shared" si="15"/>
        <v>1</v>
      </c>
      <c r="AB38" s="1808">
        <f t="shared" si="16"/>
        <v>1</v>
      </c>
      <c r="AC38" s="1808">
        <f t="shared" si="17"/>
        <v>1</v>
      </c>
    </row>
    <row r="39" spans="1:29" ht="15">
      <c r="A39" s="472"/>
      <c r="B39" s="422" t="s">
        <v>2570</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8"/>
      <c r="M39" s="1129"/>
      <c r="N39" s="1129"/>
      <c r="O39" s="1129"/>
      <c r="P39" s="3187"/>
      <c r="Q39" s="1807" t="str">
        <f t="shared" si="11"/>
        <v>市政基础设施</v>
      </c>
      <c r="R39" s="772" t="s">
        <v>21</v>
      </c>
      <c r="S39" s="773">
        <f t="shared" si="12"/>
        <v>100</v>
      </c>
      <c r="T39" s="772" t="s">
        <v>21</v>
      </c>
      <c r="U39" s="773">
        <f t="shared" si="13"/>
        <v>100</v>
      </c>
      <c r="V39" s="772" t="s">
        <v>21</v>
      </c>
      <c r="W39" s="773">
        <f t="shared" si="14"/>
        <v>100</v>
      </c>
      <c r="X39" s="1810"/>
      <c r="Y39" s="3189"/>
      <c r="Z39" s="1811" t="str">
        <f t="shared" si="18"/>
        <v>市政基础设施</v>
      </c>
      <c r="AA39" s="1808">
        <f t="shared" si="15"/>
        <v>1</v>
      </c>
      <c r="AB39" s="1808">
        <f t="shared" si="16"/>
        <v>1</v>
      </c>
      <c r="AC39" s="1808">
        <f t="shared" si="17"/>
        <v>1</v>
      </c>
    </row>
    <row r="40" spans="1:29" ht="15">
      <c r="A40" s="472"/>
      <c r="B40" s="422" t="s">
        <v>2571</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8"/>
      <c r="M40" s="1129"/>
      <c r="N40" s="1129"/>
      <c r="O40" s="1129"/>
      <c r="P40" s="3187"/>
      <c r="Q40" s="1807" t="str">
        <f t="shared" si="11"/>
        <v>房型</v>
      </c>
      <c r="R40" s="772" t="s">
        <v>21</v>
      </c>
      <c r="S40" s="773">
        <f t="shared" si="12"/>
        <v>100</v>
      </c>
      <c r="T40" s="772" t="s">
        <v>21</v>
      </c>
      <c r="U40" s="773">
        <f t="shared" si="13"/>
        <v>100</v>
      </c>
      <c r="V40" s="772" t="s">
        <v>21</v>
      </c>
      <c r="W40" s="773">
        <f t="shared" si="14"/>
        <v>100</v>
      </c>
      <c r="X40" s="1810"/>
      <c r="Y40" s="3189"/>
      <c r="Z40" s="1811" t="str">
        <f t="shared" si="18"/>
        <v>房型</v>
      </c>
      <c r="AA40" s="1808">
        <f t="shared" si="15"/>
        <v>1</v>
      </c>
      <c r="AB40" s="1808">
        <f t="shared" si="16"/>
        <v>1</v>
      </c>
      <c r="AC40" s="1808">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6"/>
      <c r="M41" s="1139"/>
      <c r="N41" s="1139"/>
      <c r="O41" s="1139"/>
      <c r="P41" s="3187"/>
      <c r="Q41" s="774" t="str">
        <f t="shared" si="11"/>
        <v>单套/主力户型建筑面积</v>
      </c>
      <c r="R41" s="775" t="s">
        <v>21</v>
      </c>
      <c r="S41" s="776">
        <f t="shared" si="12"/>
        <v>100</v>
      </c>
      <c r="T41" s="775" t="s">
        <v>21</v>
      </c>
      <c r="U41" s="776">
        <f t="shared" si="13"/>
        <v>100</v>
      </c>
      <c r="V41" s="775" t="s">
        <v>21</v>
      </c>
      <c r="W41" s="776">
        <f t="shared" si="14"/>
        <v>100</v>
      </c>
      <c r="X41" s="777"/>
      <c r="Y41" s="3189"/>
      <c r="Z41" s="778" t="str">
        <f t="shared" si="18"/>
        <v>单套/主力户型建筑面积</v>
      </c>
      <c r="AA41" s="1808">
        <f t="shared" si="15"/>
        <v>1</v>
      </c>
      <c r="AB41" s="1808">
        <f t="shared" si="16"/>
        <v>1</v>
      </c>
      <c r="AC41" s="1808">
        <f t="shared" si="17"/>
        <v>1</v>
      </c>
    </row>
    <row r="42" spans="1:29" ht="15">
      <c r="A42" s="472"/>
      <c r="B42" s="422" t="s">
        <v>2573</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8"/>
      <c r="M42" s="1129"/>
      <c r="N42" s="1129"/>
      <c r="O42" s="1129"/>
      <c r="P42" s="3187"/>
      <c r="Q42" s="1807" t="str">
        <f t="shared" si="11"/>
        <v>内部装修</v>
      </c>
      <c r="R42" s="772" t="s">
        <v>21</v>
      </c>
      <c r="S42" s="773">
        <f t="shared" si="12"/>
        <v>100</v>
      </c>
      <c r="T42" s="772" t="s">
        <v>21</v>
      </c>
      <c r="U42" s="773">
        <f t="shared" si="13"/>
        <v>100</v>
      </c>
      <c r="V42" s="772" t="s">
        <v>21</v>
      </c>
      <c r="W42" s="773">
        <f t="shared" si="14"/>
        <v>100</v>
      </c>
      <c r="X42" s="1810"/>
      <c r="Y42" s="3189"/>
      <c r="Z42" s="1811" t="str">
        <f t="shared" si="18"/>
        <v>内部装修</v>
      </c>
      <c r="AA42" s="1808">
        <f t="shared" si="15"/>
        <v>1</v>
      </c>
      <c r="AB42" s="1808">
        <f t="shared" si="16"/>
        <v>1</v>
      </c>
      <c r="AC42" s="1808">
        <f t="shared" si="17"/>
        <v>1</v>
      </c>
    </row>
    <row r="43" spans="1:29" ht="15">
      <c r="A43" s="472"/>
      <c r="B43" s="422" t="s">
        <v>2574</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8"/>
      <c r="M43" s="1129"/>
      <c r="N43" s="1129"/>
      <c r="O43" s="1129"/>
      <c r="P43" s="3187"/>
      <c r="Q43" s="1807" t="str">
        <f t="shared" si="11"/>
        <v>内部装修维护情况</v>
      </c>
      <c r="R43" s="772" t="s">
        <v>21</v>
      </c>
      <c r="S43" s="773">
        <f t="shared" si="12"/>
        <v>100</v>
      </c>
      <c r="T43" s="772" t="s">
        <v>21</v>
      </c>
      <c r="U43" s="773">
        <f t="shared" si="13"/>
        <v>100</v>
      </c>
      <c r="V43" s="772" t="s">
        <v>21</v>
      </c>
      <c r="W43" s="773">
        <f t="shared" si="14"/>
        <v>100</v>
      </c>
      <c r="X43" s="1810"/>
      <c r="Y43" s="3189"/>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0"/>
      <c r="M44" s="1131"/>
      <c r="N44" s="1131"/>
      <c r="O44" s="1131"/>
      <c r="P44" s="3187"/>
      <c r="Q44" s="1792">
        <f t="shared" si="11"/>
        <v>111</v>
      </c>
      <c r="R44" s="768" t="s">
        <v>21</v>
      </c>
      <c r="S44" s="769">
        <f t="shared" si="12"/>
        <v>100</v>
      </c>
      <c r="T44" s="768" t="s">
        <v>21</v>
      </c>
      <c r="U44" s="769">
        <f t="shared" si="13"/>
        <v>100</v>
      </c>
      <c r="V44" s="768" t="s">
        <v>21</v>
      </c>
      <c r="W44" s="769">
        <f t="shared" si="14"/>
        <v>100</v>
      </c>
      <c r="X44" s="770"/>
      <c r="Y44" s="3189"/>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8"/>
      <c r="M45" s="1129"/>
      <c r="N45" s="1129"/>
      <c r="O45" s="1129"/>
      <c r="P45" s="3187"/>
      <c r="Q45" s="1807">
        <f t="shared" si="11"/>
        <v>111</v>
      </c>
      <c r="R45" s="772" t="s">
        <v>21</v>
      </c>
      <c r="S45" s="773">
        <f t="shared" si="12"/>
        <v>100</v>
      </c>
      <c r="T45" s="772" t="s">
        <v>21</v>
      </c>
      <c r="U45" s="773">
        <f t="shared" si="13"/>
        <v>100</v>
      </c>
      <c r="V45" s="772" t="s">
        <v>21</v>
      </c>
      <c r="W45" s="773">
        <f t="shared" si="14"/>
        <v>100</v>
      </c>
      <c r="X45" s="1810"/>
      <c r="Y45" s="3189"/>
      <c r="Z45" s="1811">
        <f t="shared" si="18"/>
        <v>111</v>
      </c>
      <c r="AA45" s="1808">
        <f t="shared" si="15"/>
        <v>1</v>
      </c>
      <c r="AB45" s="1808">
        <f t="shared" si="16"/>
        <v>1</v>
      </c>
      <c r="AC45" s="1808">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8"/>
      <c r="M46" s="1129"/>
      <c r="N46" s="1129"/>
      <c r="O46" s="1129"/>
      <c r="P46" s="3188"/>
      <c r="Q46" s="1807">
        <f t="shared" si="11"/>
        <v>111</v>
      </c>
      <c r="R46" s="772" t="s">
        <v>20</v>
      </c>
      <c r="S46" s="773">
        <f t="shared" si="12"/>
        <v>100</v>
      </c>
      <c r="T46" s="772" t="s">
        <v>20</v>
      </c>
      <c r="U46" s="773">
        <f t="shared" si="13"/>
        <v>100</v>
      </c>
      <c r="V46" s="772" t="s">
        <v>20</v>
      </c>
      <c r="W46" s="773">
        <f t="shared" si="14"/>
        <v>100</v>
      </c>
      <c r="X46" s="1810"/>
      <c r="Y46" s="3190"/>
      <c r="Z46" s="1811">
        <f t="shared" si="18"/>
        <v>111</v>
      </c>
      <c r="AA46" s="1808">
        <f t="shared" si="15"/>
        <v>1</v>
      </c>
      <c r="AB46" s="1808">
        <f t="shared" si="16"/>
        <v>1</v>
      </c>
      <c r="AC46" s="1808">
        <f t="shared" si="17"/>
        <v>1</v>
      </c>
    </row>
    <row r="47" spans="1:29" ht="15">
      <c r="A47" s="479" t="s">
        <v>2575</v>
      </c>
      <c r="B47" s="480"/>
      <c r="C47" s="1405" t="s">
        <v>19</v>
      </c>
      <c r="D47" s="1406"/>
      <c r="E47" s="1407"/>
      <c r="F47" s="1408"/>
      <c r="G47" s="1409"/>
      <c r="H47" s="1410"/>
      <c r="I47" s="1407"/>
      <c r="J47" s="1410"/>
      <c r="K47" s="2618"/>
      <c r="L47" s="1141"/>
      <c r="M47" s="1142"/>
      <c r="N47" s="1129"/>
      <c r="O47" s="1142"/>
      <c r="P47" s="3182" t="str">
        <f>A47</f>
        <v>成交单价（元/平方米）</v>
      </c>
      <c r="Q47" s="3182"/>
      <c r="R47" s="3183">
        <f>E47</f>
        <v>0</v>
      </c>
      <c r="S47" s="3183"/>
      <c r="T47" s="3183">
        <f>G47</f>
        <v>0</v>
      </c>
      <c r="U47" s="3183"/>
      <c r="V47" s="3183">
        <f>I47</f>
        <v>0</v>
      </c>
      <c r="W47" s="3183"/>
      <c r="X47" s="757"/>
      <c r="Y47" s="779"/>
      <c r="Z47" s="757"/>
      <c r="AA47" s="757"/>
      <c r="AB47" s="757"/>
      <c r="AC47" s="757"/>
    </row>
    <row r="48" spans="1:29" ht="15.75" thickBot="1">
      <c r="A48" s="486" t="s">
        <v>2576</v>
      </c>
      <c r="B48" s="487"/>
      <c r="C48" s="1411" t="e">
        <f>R49</f>
        <v>#DIV/0!</v>
      </c>
      <c r="D48" s="1412"/>
      <c r="E48" s="1413" t="e">
        <f>R48</f>
        <v>#DIV/0!</v>
      </c>
      <c r="F48" s="1413"/>
      <c r="G48" s="1411" t="e">
        <f>T48</f>
        <v>#DIV/0!</v>
      </c>
      <c r="H48" s="1412"/>
      <c r="I48" s="1413" t="e">
        <f>V48</f>
        <v>#DIV/0!</v>
      </c>
      <c r="J48" s="1412"/>
      <c r="K48" s="2619"/>
      <c r="L48" s="1141"/>
      <c r="M48" s="1142"/>
      <c r="N48" s="1142"/>
      <c r="O48" s="1142"/>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7"/>
      <c r="Y48" s="757"/>
      <c r="Z48" s="757"/>
      <c r="AA48" s="757"/>
      <c r="AB48" s="757"/>
      <c r="AC48" s="757"/>
    </row>
    <row r="49" spans="1:29" ht="15.75" thickBot="1">
      <c r="A49" s="492" t="s">
        <v>2577</v>
      </c>
      <c r="B49" s="493"/>
      <c r="C49" s="1414" t="e">
        <f>R49</f>
        <v>#DIV/0!</v>
      </c>
      <c r="D49" s="1415"/>
      <c r="E49" s="1415"/>
      <c r="F49" s="1415"/>
      <c r="G49" s="1415"/>
      <c r="H49" s="1415"/>
      <c r="I49" s="1415"/>
      <c r="J49" s="1415"/>
      <c r="K49" s="2620"/>
      <c r="L49" s="1141"/>
      <c r="M49" s="1142"/>
      <c r="N49" s="1142"/>
      <c r="O49" s="1142"/>
      <c r="P49" s="3179" t="str">
        <f>A49</f>
        <v>估价对象XX用房的比较价值（楼面单价，元/平方米）</v>
      </c>
      <c r="Q49" s="3180"/>
      <c r="R49" s="3181" t="e">
        <f>IF(F1="售价",ROUND(AVERAGE(R48:V48),0),ROUND(AVERAGE(R48:V48),1))</f>
        <v>#DIV/0!</v>
      </c>
      <c r="S49" s="3181"/>
      <c r="T49" s="3181"/>
      <c r="U49" s="3181"/>
      <c r="V49" s="3181"/>
      <c r="W49" s="3181"/>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2"/>
    </row>
    <row r="55" spans="1:29" s="502" customFormat="1">
      <c r="A55" s="1143"/>
      <c r="B55" s="1144"/>
      <c r="C55" s="1148"/>
      <c r="D55" s="1143"/>
      <c r="E55" s="1143"/>
      <c r="F55" s="1143"/>
      <c r="G55" s="1143"/>
      <c r="H55" s="1143"/>
      <c r="I55" s="1143"/>
      <c r="J55" s="1143"/>
      <c r="K55" s="1146"/>
      <c r="L55" s="1147"/>
      <c r="M55" s="1143"/>
      <c r="N55" s="1143"/>
      <c r="O55" s="1143"/>
      <c r="P55" s="2622"/>
    </row>
    <row r="56" spans="1:29">
      <c r="A56" s="1142"/>
      <c r="B56" s="1144"/>
      <c r="C56" s="1148"/>
      <c r="D56" s="1142"/>
      <c r="E56" s="1142"/>
      <c r="F56" s="1142"/>
      <c r="G56" s="1142"/>
      <c r="H56" s="1142"/>
      <c r="I56" s="1142"/>
      <c r="J56" s="1142"/>
      <c r="K56" s="1103"/>
      <c r="L56" s="1104"/>
      <c r="M56" s="1142"/>
      <c r="N56" s="1142"/>
      <c r="O56" s="1142"/>
    </row>
    <row r="57" spans="1:29" ht="21.75" thickBot="1">
      <c r="A57" s="761" t="s">
        <v>2581</v>
      </c>
      <c r="B57" s="757"/>
      <c r="C57" s="762"/>
      <c r="D57" s="762"/>
      <c r="E57" s="762"/>
      <c r="F57" s="763"/>
      <c r="G57" s="763"/>
      <c r="H57" s="762"/>
      <c r="I57" s="762"/>
      <c r="J57" s="762"/>
      <c r="K57" s="1158"/>
      <c r="L57" s="1159"/>
      <c r="M57" s="1157"/>
      <c r="N57" s="1157"/>
      <c r="O57" s="1157"/>
      <c r="P57" s="2623"/>
      <c r="Q57" s="504"/>
    </row>
    <row r="58" spans="1:29" s="508" customFormat="1" ht="15">
      <c r="A58" s="505" t="s">
        <v>2582</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24"/>
      <c r="C59" s="1571">
        <v>100</v>
      </c>
      <c r="D59" s="511"/>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2584</v>
      </c>
      <c r="B61" s="510"/>
      <c r="C61" s="522" t="s">
        <v>2585</v>
      </c>
      <c r="D61" s="523"/>
      <c r="E61" s="523"/>
      <c r="F61" s="523"/>
      <c r="G61" s="523"/>
      <c r="H61" s="523"/>
      <c r="I61" s="523"/>
      <c r="J61" s="523"/>
      <c r="K61" s="523"/>
      <c r="L61" s="524"/>
      <c r="M61" s="525"/>
      <c r="N61" s="1149"/>
      <c r="O61" s="1149"/>
      <c r="P61" s="2626"/>
      <c r="Q61" s="504"/>
    </row>
    <row r="62" spans="1:29" s="117" customFormat="1" ht="15.75" thickBot="1">
      <c r="A62" s="521"/>
      <c r="B62" s="510"/>
      <c r="C62" s="511">
        <v>100</v>
      </c>
      <c r="D62" s="512"/>
      <c r="E62" s="512"/>
      <c r="F62" s="512"/>
      <c r="G62" s="512"/>
      <c r="H62" s="512"/>
      <c r="I62" s="512"/>
      <c r="J62" s="512"/>
      <c r="K62" s="512"/>
      <c r="L62" s="512"/>
      <c r="M62" s="514"/>
      <c r="N62" s="1149"/>
      <c r="O62" s="1149"/>
      <c r="P62" s="2625"/>
      <c r="Q62" s="504"/>
    </row>
    <row r="63" spans="1:29">
      <c r="A63" s="527" t="s">
        <v>2586</v>
      </c>
      <c r="B63" s="528" t="s">
        <v>2552</v>
      </c>
      <c r="C63" s="529">
        <f>C9</f>
        <v>0</v>
      </c>
      <c r="D63" s="530"/>
      <c r="E63" s="530"/>
      <c r="F63" s="530"/>
      <c r="G63" s="530"/>
      <c r="H63" s="530"/>
      <c r="I63" s="530"/>
      <c r="J63" s="530"/>
      <c r="K63" s="531"/>
      <c r="L63" s="532"/>
      <c r="M63" s="533"/>
      <c r="N63" s="1150"/>
      <c r="O63" s="1150"/>
      <c r="P63" s="2627"/>
      <c r="Q63" s="504"/>
    </row>
    <row r="64" spans="1:29" ht="15.75" thickBot="1">
      <c r="A64" s="534"/>
      <c r="B64" s="535"/>
      <c r="C64" s="536">
        <v>100</v>
      </c>
      <c r="D64" s="536"/>
      <c r="E64" s="536"/>
      <c r="F64" s="536"/>
      <c r="G64" s="536"/>
      <c r="H64" s="536"/>
      <c r="I64" s="536"/>
      <c r="J64" s="536"/>
      <c r="K64" s="536"/>
      <c r="L64" s="536"/>
      <c r="M64" s="537"/>
      <c r="N64" s="1151"/>
      <c r="O64" s="1151"/>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7"/>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7"/>
      <c r="Q67" s="504"/>
    </row>
    <row r="68" spans="1:17" ht="15">
      <c r="A68" s="534"/>
      <c r="B68" s="548"/>
      <c r="C68" s="549"/>
      <c r="D68" s="549"/>
      <c r="E68" s="549"/>
      <c r="F68" s="549"/>
      <c r="G68" s="549"/>
      <c r="H68" s="549"/>
      <c r="I68" s="549"/>
      <c r="J68" s="549"/>
      <c r="K68" s="550"/>
      <c r="L68" s="551"/>
      <c r="M68" s="552"/>
      <c r="N68" s="1150"/>
      <c r="O68" s="1150"/>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7"/>
      <c r="Q69" s="504"/>
    </row>
    <row r="70" spans="1:17" s="471" customFormat="1" ht="15.75" thickTop="1">
      <c r="A70" s="553"/>
      <c r="B70" s="538">
        <f>B12</f>
        <v>111</v>
      </c>
      <c r="C70" s="554"/>
      <c r="D70" s="554"/>
      <c r="E70" s="554"/>
      <c r="F70" s="554"/>
      <c r="G70" s="554"/>
      <c r="H70" s="555"/>
      <c r="I70" s="555"/>
      <c r="J70" s="555"/>
      <c r="K70" s="555"/>
      <c r="L70" s="556"/>
      <c r="M70" s="557"/>
      <c r="N70" s="1152"/>
      <c r="O70" s="1152"/>
      <c r="P70" s="2628"/>
      <c r="Q70" s="559"/>
    </row>
    <row r="71" spans="1:17" s="471" customFormat="1" ht="15.75" thickBot="1">
      <c r="A71" s="553"/>
      <c r="B71" s="543"/>
      <c r="C71" s="560"/>
      <c r="D71" s="536"/>
      <c r="E71" s="536"/>
      <c r="F71" s="536"/>
      <c r="G71" s="536"/>
      <c r="H71" s="536"/>
      <c r="I71" s="536"/>
      <c r="J71" s="536"/>
      <c r="K71" s="536"/>
      <c r="L71" s="536"/>
      <c r="M71" s="537"/>
      <c r="N71" s="1151"/>
      <c r="O71" s="1151"/>
      <c r="P71" s="2628"/>
      <c r="Q71" s="559"/>
    </row>
    <row r="72" spans="1:17" s="471" customFormat="1" ht="15.75" thickTop="1">
      <c r="A72" s="553"/>
      <c r="B72" s="538">
        <f>B13</f>
        <v>111</v>
      </c>
      <c r="C72" s="554"/>
      <c r="D72" s="554"/>
      <c r="E72" s="554"/>
      <c r="F72" s="554"/>
      <c r="G72" s="554"/>
      <c r="H72" s="555"/>
      <c r="I72" s="555"/>
      <c r="J72" s="555"/>
      <c r="K72" s="555"/>
      <c r="L72" s="556"/>
      <c r="M72" s="557"/>
      <c r="N72" s="1152"/>
      <c r="O72" s="1152"/>
      <c r="P72" s="2629"/>
      <c r="Q72" s="561"/>
    </row>
    <row r="73" spans="1:17" s="471" customFormat="1" ht="15.75" thickBot="1">
      <c r="A73" s="553"/>
      <c r="B73" s="543"/>
      <c r="C73" s="560"/>
      <c r="D73" s="560"/>
      <c r="E73" s="560"/>
      <c r="F73" s="560"/>
      <c r="G73" s="560"/>
      <c r="H73" s="562"/>
      <c r="I73" s="562"/>
      <c r="J73" s="562"/>
      <c r="K73" s="562"/>
      <c r="L73" s="562"/>
      <c r="M73" s="563"/>
      <c r="N73" s="1152"/>
      <c r="O73" s="1152"/>
      <c r="P73" s="2628"/>
      <c r="Q73" s="559"/>
    </row>
    <row r="74" spans="1:17" s="471" customFormat="1" ht="15.75" thickTop="1">
      <c r="A74" s="553"/>
      <c r="B74" s="546">
        <f>B14</f>
        <v>111</v>
      </c>
      <c r="C74" s="554"/>
      <c r="D74" s="554"/>
      <c r="E74" s="554"/>
      <c r="F74" s="554"/>
      <c r="G74" s="523"/>
      <c r="H74" s="564"/>
      <c r="I74" s="564"/>
      <c r="J74" s="564"/>
      <c r="K74" s="564"/>
      <c r="L74" s="565"/>
      <c r="M74" s="566"/>
      <c r="N74" s="1152"/>
      <c r="O74" s="1152"/>
      <c r="P74" s="2630"/>
      <c r="Q74" s="559"/>
    </row>
    <row r="75" spans="1:17" s="471" customFormat="1" ht="15.75" thickBot="1">
      <c r="A75" s="568"/>
      <c r="B75" s="569"/>
      <c r="C75" s="570"/>
      <c r="D75" s="570"/>
      <c r="E75" s="570"/>
      <c r="F75" s="570"/>
      <c r="G75" s="570"/>
      <c r="H75" s="571"/>
      <c r="I75" s="571"/>
      <c r="J75" s="571"/>
      <c r="K75" s="571"/>
      <c r="L75" s="571"/>
      <c r="M75" s="572"/>
      <c r="N75" s="1152"/>
      <c r="O75" s="1152"/>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7"/>
      <c r="Q81" s="504"/>
    </row>
    <row r="82" spans="1:17" ht="15.75" thickTop="1">
      <c r="A82" s="534"/>
      <c r="B82" s="546" t="s">
        <v>2094</v>
      </c>
      <c r="C82" s="539" t="s">
        <v>2602</v>
      </c>
      <c r="D82" s="539" t="s">
        <v>2603</v>
      </c>
      <c r="E82" s="539" t="s">
        <v>2604</v>
      </c>
      <c r="F82" s="539" t="s">
        <v>2605</v>
      </c>
      <c r="G82" s="539" t="s">
        <v>2606</v>
      </c>
      <c r="H82" s="539"/>
      <c r="I82" s="539"/>
      <c r="J82" s="539"/>
      <c r="K82" s="539"/>
      <c r="L82" s="539"/>
      <c r="M82" s="1380"/>
      <c r="N82" s="1151"/>
      <c r="O82" s="1151"/>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7"/>
      <c r="Q85" s="504"/>
    </row>
    <row r="86" spans="1:17" s="117" customFormat="1" ht="15.75" thickTop="1">
      <c r="A86" s="579"/>
      <c r="B86" s="538" t="s">
        <v>2608</v>
      </c>
      <c r="C86" s="554"/>
      <c r="D86" s="554"/>
      <c r="E86" s="554"/>
      <c r="F86" s="554"/>
      <c r="G86" s="554"/>
      <c r="H86" s="554"/>
      <c r="I86" s="554"/>
      <c r="J86" s="554"/>
      <c r="K86" s="554"/>
      <c r="L86" s="580"/>
      <c r="M86" s="581"/>
      <c r="N86" s="1149"/>
      <c r="O86" s="1149"/>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7"/>
      <c r="Q87" s="504"/>
    </row>
    <row r="88" spans="1:17" s="117" customFormat="1" ht="15.75" thickTop="1">
      <c r="A88" s="579"/>
      <c r="B88" s="538" t="s">
        <v>2609</v>
      </c>
      <c r="C88" s="554"/>
      <c r="D88" s="554"/>
      <c r="E88" s="554"/>
      <c r="F88" s="2632"/>
      <c r="G88" s="554"/>
      <c r="H88" s="554"/>
      <c r="I88" s="554"/>
      <c r="J88" s="554"/>
      <c r="K88" s="554"/>
      <c r="L88" s="554"/>
      <c r="M88" s="581"/>
      <c r="N88" s="1149"/>
      <c r="O88" s="1149"/>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7"/>
      <c r="Q89" s="504"/>
    </row>
    <row r="90" spans="1:17" s="471" customFormat="1" ht="15.75" thickTop="1">
      <c r="A90" s="553"/>
      <c r="B90" s="538">
        <f>B27</f>
        <v>111</v>
      </c>
      <c r="C90" s="554"/>
      <c r="D90" s="554"/>
      <c r="E90" s="554"/>
      <c r="F90" s="554"/>
      <c r="G90" s="554"/>
      <c r="H90" s="555"/>
      <c r="I90" s="555"/>
      <c r="J90" s="555"/>
      <c r="K90" s="555"/>
      <c r="L90" s="556"/>
      <c r="M90" s="557"/>
      <c r="N90" s="1152"/>
      <c r="O90" s="1152"/>
      <c r="P90" s="2628"/>
      <c r="Q90" s="559"/>
    </row>
    <row r="91" spans="1:17" s="471" customFormat="1" ht="15.75" thickBot="1">
      <c r="A91" s="553"/>
      <c r="B91" s="543"/>
      <c r="C91" s="560"/>
      <c r="D91" s="560"/>
      <c r="E91" s="560"/>
      <c r="F91" s="560"/>
      <c r="G91" s="560"/>
      <c r="H91" s="562"/>
      <c r="I91" s="562"/>
      <c r="J91" s="562"/>
      <c r="K91" s="562"/>
      <c r="L91" s="562"/>
      <c r="M91" s="563"/>
      <c r="N91" s="1152"/>
      <c r="O91" s="1152"/>
      <c r="P91" s="2628"/>
      <c r="Q91" s="559"/>
    </row>
    <row r="92" spans="1:17" ht="15.75" thickTop="1">
      <c r="A92" s="534"/>
      <c r="B92" s="538">
        <f>B28</f>
        <v>111</v>
      </c>
      <c r="C92" s="554"/>
      <c r="D92" s="554"/>
      <c r="E92" s="554"/>
      <c r="F92" s="554"/>
      <c r="G92" s="583"/>
      <c r="H92" s="583"/>
      <c r="I92" s="583"/>
      <c r="J92" s="583"/>
      <c r="K92" s="584"/>
      <c r="L92" s="585"/>
      <c r="M92" s="586"/>
      <c r="N92" s="1150"/>
      <c r="O92" s="1150"/>
      <c r="P92" s="2627"/>
      <c r="Q92" s="504"/>
    </row>
    <row r="93" spans="1:17" ht="15.75" thickBot="1">
      <c r="A93" s="534"/>
      <c r="B93" s="543"/>
      <c r="C93" s="560"/>
      <c r="D93" s="536"/>
      <c r="E93" s="536"/>
      <c r="F93" s="536"/>
      <c r="G93" s="536"/>
      <c r="H93" s="536"/>
      <c r="I93" s="536"/>
      <c r="J93" s="536"/>
      <c r="K93" s="536"/>
      <c r="L93" s="536"/>
      <c r="M93" s="537"/>
      <c r="N93" s="1151"/>
      <c r="O93" s="1151"/>
      <c r="P93" s="2627"/>
      <c r="Q93" s="504"/>
    </row>
    <row r="94" spans="1:17" ht="15.75" thickTop="1">
      <c r="A94" s="534"/>
      <c r="B94" s="538">
        <f>B29</f>
        <v>111</v>
      </c>
      <c r="C94" s="554"/>
      <c r="D94" s="554"/>
      <c r="E94" s="554"/>
      <c r="F94" s="554"/>
      <c r="G94" s="583"/>
      <c r="H94" s="583"/>
      <c r="I94" s="583"/>
      <c r="J94" s="583"/>
      <c r="K94" s="584"/>
      <c r="L94" s="585"/>
      <c r="M94" s="586"/>
      <c r="N94" s="1150"/>
      <c r="O94" s="1150"/>
      <c r="P94" s="2627"/>
      <c r="Q94" s="504"/>
    </row>
    <row r="95" spans="1:17" ht="15.75" thickBot="1">
      <c r="A95" s="534"/>
      <c r="B95" s="543"/>
      <c r="C95" s="560"/>
      <c r="D95" s="560"/>
      <c r="E95" s="560"/>
      <c r="F95" s="560"/>
      <c r="G95" s="536"/>
      <c r="H95" s="536"/>
      <c r="I95" s="536"/>
      <c r="J95" s="536"/>
      <c r="K95" s="536"/>
      <c r="L95" s="536"/>
      <c r="M95" s="537"/>
      <c r="N95" s="1151"/>
      <c r="O95" s="1151"/>
      <c r="P95" s="2627"/>
      <c r="Q95" s="504"/>
    </row>
    <row r="96" spans="1:17" ht="15.75" thickTop="1">
      <c r="A96" s="534"/>
      <c r="B96" s="538">
        <f>B30</f>
        <v>111</v>
      </c>
      <c r="C96" s="554"/>
      <c r="D96" s="554"/>
      <c r="E96" s="554"/>
      <c r="F96" s="554"/>
      <c r="G96" s="583"/>
      <c r="H96" s="583"/>
      <c r="I96" s="583"/>
      <c r="J96" s="583"/>
      <c r="K96" s="584"/>
      <c r="L96" s="585"/>
      <c r="M96" s="586"/>
      <c r="N96" s="1150"/>
      <c r="O96" s="1150"/>
      <c r="P96" s="2627"/>
      <c r="Q96" s="504"/>
    </row>
    <row r="97" spans="1:17" ht="15.75" thickBot="1">
      <c r="A97" s="534"/>
      <c r="B97" s="543"/>
      <c r="C97" s="570"/>
      <c r="D97" s="570"/>
      <c r="E97" s="570"/>
      <c r="F97" s="570"/>
      <c r="G97" s="536"/>
      <c r="H97" s="536"/>
      <c r="I97" s="536"/>
      <c r="J97" s="536"/>
      <c r="K97" s="536"/>
      <c r="L97" s="536"/>
      <c r="M97" s="537"/>
      <c r="N97" s="1151"/>
      <c r="O97" s="1151"/>
      <c r="P97" s="2627"/>
      <c r="Q97" s="504"/>
    </row>
    <row r="98" spans="1:17" ht="15.75" thickTop="1">
      <c r="A98" s="534"/>
      <c r="B98" s="546">
        <f>B31</f>
        <v>111</v>
      </c>
      <c r="C98" s="587"/>
      <c r="D98" s="587"/>
      <c r="E98" s="587"/>
      <c r="F98" s="587"/>
      <c r="G98" s="587"/>
      <c r="H98" s="587"/>
      <c r="I98" s="587"/>
      <c r="J98" s="587"/>
      <c r="K98" s="588"/>
      <c r="L98" s="589"/>
      <c r="M98" s="590"/>
      <c r="N98" s="1150"/>
      <c r="O98" s="1150"/>
      <c r="P98" s="2627"/>
      <c r="Q98" s="504"/>
    </row>
    <row r="99" spans="1:17" ht="15.75" thickBot="1">
      <c r="A99" s="2633"/>
      <c r="B99" s="569"/>
      <c r="C99" s="591"/>
      <c r="D99" s="591"/>
      <c r="E99" s="591"/>
      <c r="F99" s="591"/>
      <c r="G99" s="591"/>
      <c r="H99" s="591"/>
      <c r="I99" s="591"/>
      <c r="J99" s="591"/>
      <c r="K99" s="591"/>
      <c r="L99" s="591"/>
      <c r="M99" s="592"/>
      <c r="N99" s="1151"/>
      <c r="O99" s="1151"/>
      <c r="P99" s="2627"/>
      <c r="Q99" s="504"/>
    </row>
    <row r="100" spans="1:17">
      <c r="A100" s="527" t="s">
        <v>2561</v>
      </c>
      <c r="B100" s="528" t="s">
        <v>2610</v>
      </c>
      <c r="C100" s="530"/>
      <c r="D100" s="530"/>
      <c r="E100" s="530"/>
      <c r="F100" s="530"/>
      <c r="G100" s="530"/>
      <c r="H100" s="530"/>
      <c r="I100" s="530"/>
      <c r="J100" s="530"/>
      <c r="K100" s="531"/>
      <c r="L100" s="532"/>
      <c r="M100" s="533"/>
      <c r="N100" s="1150"/>
      <c r="O100" s="1150"/>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7"/>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7"/>
      <c r="Q102" s="504"/>
    </row>
    <row r="103" spans="1:17" s="471" customFormat="1">
      <c r="A103" s="593"/>
      <c r="B103" s="594"/>
      <c r="C103" s="595"/>
      <c r="D103" s="595"/>
      <c r="E103" s="595"/>
      <c r="F103" s="595"/>
      <c r="G103" s="595"/>
      <c r="H103" s="595"/>
      <c r="I103" s="595"/>
      <c r="J103" s="596"/>
      <c r="K103" s="596"/>
      <c r="L103" s="597"/>
      <c r="M103" s="598"/>
      <c r="N103" s="1152"/>
      <c r="O103" s="1152"/>
      <c r="P103" s="2628"/>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8"/>
      <c r="Q104" s="559"/>
    </row>
    <row r="105" spans="1:17" ht="15" thickTop="1">
      <c r="A105" s="599"/>
      <c r="B105" s="538" t="s">
        <v>2612</v>
      </c>
      <c r="C105" s="554"/>
      <c r="D105" s="554"/>
      <c r="E105" s="583"/>
      <c r="F105" s="583"/>
      <c r="G105" s="583"/>
      <c r="H105" s="583"/>
      <c r="I105" s="583"/>
      <c r="J105" s="583"/>
      <c r="K105" s="584"/>
      <c r="L105" s="585"/>
      <c r="M105" s="586"/>
      <c r="N105" s="1150"/>
      <c r="O105" s="1150"/>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7"/>
      <c r="Q106" s="504"/>
    </row>
    <row r="107" spans="1:17" ht="15" thickTop="1">
      <c r="A107" s="599"/>
      <c r="B107" s="538" t="s">
        <v>2613</v>
      </c>
      <c r="C107" s="583"/>
      <c r="D107" s="583"/>
      <c r="E107" s="583"/>
      <c r="F107" s="583"/>
      <c r="G107" s="583"/>
      <c r="H107" s="583"/>
      <c r="I107" s="583"/>
      <c r="J107" s="583"/>
      <c r="K107" s="584"/>
      <c r="L107" s="585"/>
      <c r="M107" s="586"/>
      <c r="N107" s="1150"/>
      <c r="O107" s="1150"/>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7"/>
      <c r="Q108" s="504"/>
    </row>
    <row r="109" spans="1:17" ht="15" thickTop="1">
      <c r="A109" s="599"/>
      <c r="B109" s="538" t="s">
        <v>2614</v>
      </c>
      <c r="C109" s="554"/>
      <c r="D109" s="554"/>
      <c r="E109" s="554"/>
      <c r="F109" s="583"/>
      <c r="G109" s="583"/>
      <c r="H109" s="583"/>
      <c r="I109" s="583"/>
      <c r="J109" s="583"/>
      <c r="K109" s="584"/>
      <c r="L109" s="585"/>
      <c r="M109" s="586"/>
      <c r="N109" s="1150"/>
      <c r="O109" s="1150"/>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7"/>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8"/>
      <c r="Q113" s="559"/>
    </row>
    <row r="114" spans="1:17" ht="15" thickTop="1">
      <c r="A114" s="599"/>
      <c r="B114" s="538" t="s">
        <v>2615</v>
      </c>
      <c r="C114" s="554"/>
      <c r="D114" s="554"/>
      <c r="E114" s="583"/>
      <c r="F114" s="583"/>
      <c r="G114" s="583"/>
      <c r="H114" s="583"/>
      <c r="I114" s="583"/>
      <c r="J114" s="583"/>
      <c r="K114" s="584"/>
      <c r="L114" s="585"/>
      <c r="M114" s="586"/>
      <c r="N114" s="1150"/>
      <c r="O114" s="1150"/>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7"/>
      <c r="Q115" s="504"/>
    </row>
    <row r="116" spans="1:17" ht="15" thickTop="1">
      <c r="A116" s="599"/>
      <c r="B116" s="538" t="s">
        <v>2616</v>
      </c>
      <c r="C116" s="554"/>
      <c r="D116" s="554"/>
      <c r="E116" s="554"/>
      <c r="F116" s="554"/>
      <c r="G116" s="554"/>
      <c r="H116" s="583"/>
      <c r="I116" s="583"/>
      <c r="J116" s="583"/>
      <c r="K116" s="584"/>
      <c r="L116" s="585"/>
      <c r="M116" s="586"/>
      <c r="N116" s="1150"/>
      <c r="O116" s="1150"/>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7"/>
      <c r="Q117" s="504"/>
    </row>
    <row r="118" spans="1:17" ht="15" thickTop="1">
      <c r="A118" s="599"/>
      <c r="B118" s="538" t="s">
        <v>2617</v>
      </c>
      <c r="C118" s="583"/>
      <c r="D118" s="583"/>
      <c r="E118" s="583"/>
      <c r="F118" s="583"/>
      <c r="G118" s="583"/>
      <c r="H118" s="583"/>
      <c r="I118" s="583"/>
      <c r="J118" s="583"/>
      <c r="K118" s="584"/>
      <c r="L118" s="585"/>
      <c r="M118" s="586"/>
      <c r="N118" s="1150"/>
      <c r="O118" s="1150"/>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7"/>
      <c r="Q119" s="504"/>
    </row>
    <row r="120" spans="1:17" s="471" customFormat="1" ht="28.5" thickTop="1">
      <c r="A120" s="593"/>
      <c r="B120" s="538" t="s">
        <v>2572</v>
      </c>
      <c r="C120" s="554"/>
      <c r="D120" s="554"/>
      <c r="E120" s="554"/>
      <c r="F120" s="554"/>
      <c r="G120" s="554"/>
      <c r="H120" s="554"/>
      <c r="I120" s="554"/>
      <c r="J120" s="554"/>
      <c r="K120" s="554"/>
      <c r="L120" s="580"/>
      <c r="M120" s="581"/>
      <c r="N120" s="1152"/>
      <c r="O120" s="1152"/>
      <c r="P120" s="2628"/>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8"/>
      <c r="Q121" s="559"/>
    </row>
    <row r="122" spans="1:17" ht="15" thickTop="1">
      <c r="A122" s="599"/>
      <c r="B122" s="538" t="s">
        <v>2618</v>
      </c>
      <c r="C122" s="554"/>
      <c r="D122" s="554"/>
      <c r="E122" s="554"/>
      <c r="F122" s="583"/>
      <c r="G122" s="583"/>
      <c r="H122" s="583"/>
      <c r="I122" s="583"/>
      <c r="J122" s="583"/>
      <c r="K122" s="584"/>
      <c r="L122" s="585"/>
      <c r="M122" s="586"/>
      <c r="N122" s="1150"/>
      <c r="O122" s="1150"/>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7"/>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8"/>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8"/>
      <c r="Q127" s="559"/>
    </row>
    <row r="128" spans="1:17" ht="15" thickTop="1">
      <c r="A128" s="599"/>
      <c r="B128" s="538">
        <f>B45</f>
        <v>111</v>
      </c>
      <c r="C128" s="554"/>
      <c r="D128" s="554"/>
      <c r="E128" s="554"/>
      <c r="F128" s="554"/>
      <c r="G128" s="583"/>
      <c r="H128" s="583"/>
      <c r="I128" s="583"/>
      <c r="J128" s="583"/>
      <c r="K128" s="584"/>
      <c r="L128" s="585"/>
      <c r="M128" s="586"/>
      <c r="N128" s="1150"/>
      <c r="O128" s="1150"/>
      <c r="P128" s="2627"/>
      <c r="Q128" s="504"/>
    </row>
    <row r="129" spans="1:17" ht="15.75" thickBot="1">
      <c r="A129" s="534"/>
      <c r="B129" s="543"/>
      <c r="C129" s="560"/>
      <c r="D129" s="560"/>
      <c r="E129" s="560"/>
      <c r="F129" s="560"/>
      <c r="G129" s="536"/>
      <c r="H129" s="536"/>
      <c r="I129" s="536"/>
      <c r="J129" s="536"/>
      <c r="K129" s="536"/>
      <c r="L129" s="536"/>
      <c r="M129" s="537"/>
      <c r="N129" s="1151"/>
      <c r="O129" s="1151"/>
      <c r="P129" s="2627"/>
      <c r="Q129" s="504"/>
    </row>
    <row r="130" spans="1:17" ht="15" thickTop="1">
      <c r="A130" s="599"/>
      <c r="B130" s="546">
        <f>B46</f>
        <v>111</v>
      </c>
      <c r="C130" s="554"/>
      <c r="D130" s="554"/>
      <c r="E130" s="554"/>
      <c r="F130" s="554"/>
      <c r="G130" s="587"/>
      <c r="H130" s="587"/>
      <c r="I130" s="587"/>
      <c r="J130" s="587"/>
      <c r="K130" s="523"/>
      <c r="L130" s="524"/>
      <c r="M130" s="590"/>
      <c r="N130" s="1150"/>
      <c r="O130" s="1150"/>
      <c r="P130" s="2627"/>
      <c r="Q130" s="504"/>
    </row>
    <row r="131" spans="1:17" ht="15.75" thickBot="1">
      <c r="A131" s="2633"/>
      <c r="B131" s="569"/>
      <c r="C131" s="570"/>
      <c r="D131" s="570"/>
      <c r="E131" s="570"/>
      <c r="F131" s="570"/>
      <c r="G131" s="591"/>
      <c r="H131" s="591"/>
      <c r="I131" s="591"/>
      <c r="J131" s="591"/>
      <c r="K131" s="591"/>
      <c r="L131" s="591"/>
      <c r="M131" s="592"/>
      <c r="N131" s="1151"/>
      <c r="O131" s="1151"/>
      <c r="P131" s="2627"/>
      <c r="Q131" s="504"/>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6" t="s">
        <v>2623</v>
      </c>
      <c r="D138" s="146" t="s">
        <v>2624</v>
      </c>
      <c r="E138" s="2642" t="s">
        <v>2625</v>
      </c>
      <c r="F138" s="2643" t="s">
        <v>2626</v>
      </c>
      <c r="G138" s="146" t="s">
        <v>2624</v>
      </c>
      <c r="H138" s="147" t="s">
        <v>2625</v>
      </c>
      <c r="I138" s="2644"/>
      <c r="J138" s="146" t="s">
        <v>2627</v>
      </c>
      <c r="K138" s="147" t="s">
        <v>2628</v>
      </c>
    </row>
    <row r="139" spans="1:17" ht="15">
      <c r="B139" s="1082">
        <v>6</v>
      </c>
      <c r="C139" s="1083">
        <v>96</v>
      </c>
      <c r="D139" s="2645" t="s">
        <v>2629</v>
      </c>
      <c r="E139" s="1084">
        <v>100</v>
      </c>
      <c r="F139" s="1085">
        <v>102.5</v>
      </c>
      <c r="G139" s="2645" t="s">
        <v>2629</v>
      </c>
      <c r="H139" s="1086">
        <v>105</v>
      </c>
      <c r="I139" s="2646" t="s">
        <v>2630</v>
      </c>
      <c r="J139" s="1083">
        <v>20</v>
      </c>
      <c r="K139" s="1087">
        <f>C145/(J139-2)</f>
        <v>4.0555555555555553E-3</v>
      </c>
    </row>
    <row r="140" spans="1:17" ht="15">
      <c r="B140" s="1088">
        <v>5</v>
      </c>
      <c r="C140" s="1089">
        <v>100</v>
      </c>
      <c r="D140" s="1089"/>
      <c r="E140" s="1090"/>
      <c r="F140" s="1091">
        <v>102</v>
      </c>
      <c r="G140" s="1089"/>
      <c r="H140" s="1092"/>
      <c r="I140" s="2647" t="s">
        <v>2631</v>
      </c>
      <c r="J140" s="315">
        <f>ROUNDUP((J139-1)/2,0)</f>
        <v>10</v>
      </c>
      <c r="K140" s="1093">
        <v>100</v>
      </c>
    </row>
    <row r="141" spans="1:17" ht="15">
      <c r="B141" s="1088">
        <v>4</v>
      </c>
      <c r="C141" s="1089">
        <v>102</v>
      </c>
      <c r="D141" s="1089"/>
      <c r="E141" s="1090"/>
      <c r="F141" s="1091">
        <v>101.5</v>
      </c>
      <c r="G141" s="1089"/>
      <c r="H141" s="1092"/>
      <c r="I141" s="2647" t="s">
        <v>2632</v>
      </c>
      <c r="J141" s="315">
        <v>1</v>
      </c>
      <c r="K141" s="1094">
        <f>ROUND(100+(J141-J140)*K139*100,1)</f>
        <v>96.4</v>
      </c>
    </row>
    <row r="142" spans="1:17" ht="15">
      <c r="B142" s="1088">
        <v>3</v>
      </c>
      <c r="C142" s="1089">
        <v>103</v>
      </c>
      <c r="D142" s="1089"/>
      <c r="E142" s="1090"/>
      <c r="F142" s="1091">
        <v>101</v>
      </c>
      <c r="G142" s="1089"/>
      <c r="H142" s="1092"/>
      <c r="I142" s="2647" t="s">
        <v>2633</v>
      </c>
      <c r="J142" s="315">
        <f>J139</f>
        <v>20</v>
      </c>
      <c r="K142" s="1095">
        <v>95</v>
      </c>
    </row>
    <row r="143" spans="1:17" ht="15">
      <c r="B143" s="1088">
        <v>2</v>
      </c>
      <c r="C143" s="1089">
        <v>100</v>
      </c>
      <c r="D143" s="1089"/>
      <c r="E143" s="1090"/>
      <c r="F143" s="1091">
        <v>100.5</v>
      </c>
      <c r="G143" s="1089"/>
      <c r="H143" s="1092"/>
      <c r="I143" s="2647" t="s">
        <v>2634</v>
      </c>
      <c r="J143" s="1089">
        <v>15</v>
      </c>
      <c r="K143" s="1094">
        <f>ROUND(100+(J143-J140)*K139*100,1)</f>
        <v>102</v>
      </c>
    </row>
    <row r="144" spans="1:17" ht="15">
      <c r="B144" s="1088">
        <v>1</v>
      </c>
      <c r="C144" s="1089">
        <v>98</v>
      </c>
      <c r="D144" s="2648" t="s">
        <v>2635</v>
      </c>
      <c r="E144" s="1090">
        <v>102</v>
      </c>
      <c r="F144" s="1096">
        <v>100</v>
      </c>
      <c r="G144" s="2648" t="s">
        <v>2635</v>
      </c>
      <c r="H144" s="1092">
        <v>105</v>
      </c>
      <c r="I144" s="2647" t="s">
        <v>2634</v>
      </c>
      <c r="J144" s="1089">
        <v>18</v>
      </c>
      <c r="K144" s="1094">
        <f>ROUND(100+(J144-J140)*K139*100,1)</f>
        <v>103.2</v>
      </c>
    </row>
    <row r="145" spans="2:11" ht="15.75" thickBot="1">
      <c r="B145" s="2649" t="s">
        <v>2636</v>
      </c>
      <c r="C145" s="1097">
        <f>ROUND(MAX(C139:C144)/MIN(C139:C144)-1,3)</f>
        <v>7.2999999999999995E-2</v>
      </c>
      <c r="D145" s="1098"/>
      <c r="E145" s="1098"/>
      <c r="F145" s="2650" t="s">
        <v>2637</v>
      </c>
      <c r="G145" s="2651"/>
      <c r="H145" s="2652"/>
      <c r="I145" s="2653" t="s">
        <v>2634</v>
      </c>
      <c r="J145" s="1099">
        <v>8</v>
      </c>
      <c r="K145" s="1100">
        <f>ROUND(100+(J145-J140)*K139*100,1)</f>
        <v>99.2</v>
      </c>
    </row>
    <row r="147" spans="2:11">
      <c r="B147" s="2634" t="s">
        <v>2638</v>
      </c>
    </row>
    <row r="148" spans="2:11">
      <c r="B148" s="2634"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79" t="s">
        <v>2640</v>
      </c>
      <c r="C1" s="1632" t="s">
        <v>2528</v>
      </c>
      <c r="D1" s="1619"/>
      <c r="E1" s="2654"/>
      <c r="F1" s="2581"/>
      <c r="G1" s="1629" t="s">
        <v>2641</v>
      </c>
      <c r="H1" s="1628"/>
      <c r="I1" s="1628"/>
      <c r="J1" s="1628"/>
      <c r="K1" s="1630"/>
      <c r="L1" s="1631"/>
      <c r="M1" s="1632"/>
      <c r="N1" s="1632"/>
      <c r="O1" s="1632"/>
      <c r="P1" s="2655"/>
      <c r="Q1" s="2656"/>
      <c r="R1" s="2656"/>
      <c r="S1" s="2656"/>
      <c r="T1" s="2656"/>
      <c r="U1" s="2656"/>
      <c r="V1" s="2656"/>
      <c r="W1" s="2656"/>
      <c r="X1" s="2656"/>
      <c r="Y1" s="2656"/>
      <c r="Z1" s="2656"/>
      <c r="AA1" s="2656"/>
      <c r="AB1" s="2656"/>
      <c r="AC1" s="2657"/>
    </row>
    <row r="2" spans="1:29" s="398" customFormat="1" ht="28.5" customHeight="1" thickTop="1">
      <c r="A2" s="1615" t="s">
        <v>2325</v>
      </c>
      <c r="B2" s="1416" t="e">
        <f ca="1">IF(C2="——",ROUND(C49*D3/10000,0),ROUND(C49*D3/10000,0)-D2)</f>
        <v>#DIV/0!</v>
      </c>
      <c r="C2" s="2583"/>
      <c r="D2" s="1363" t="e">
        <f ca="1">SUMIF(INDIRECT("'"&amp;F2&amp;"'"&amp;"!A:A"),"承租人权益价值",INDIRECT("'"&amp;F2&amp;"'"&amp;"!c:c"))</f>
        <v>#REF!</v>
      </c>
      <c r="E2" s="2584" t="s">
        <v>2326</v>
      </c>
      <c r="F2" s="2585"/>
      <c r="G2" s="1123"/>
      <c r="H2" s="1123"/>
      <c r="I2" s="1123"/>
      <c r="J2" s="1123"/>
      <c r="K2" s="1123"/>
      <c r="L2" s="1126"/>
      <c r="M2" s="1127"/>
      <c r="N2" s="1127"/>
      <c r="O2" s="1127"/>
      <c r="P2" s="2658"/>
      <c r="Q2" s="1127"/>
      <c r="R2" s="1127"/>
      <c r="S2" s="1127"/>
      <c r="T2" s="1127"/>
      <c r="U2" s="1127"/>
      <c r="V2" s="1127"/>
      <c r="W2" s="1127"/>
      <c r="X2" s="1127"/>
      <c r="Y2" s="1127"/>
      <c r="Z2" s="1127"/>
      <c r="AA2" s="1127"/>
      <c r="AB2" s="1127"/>
      <c r="AC2" s="2659"/>
    </row>
    <row r="3" spans="1:29" s="398" customFormat="1" ht="28.5" customHeight="1" thickBot="1">
      <c r="A3" s="247" t="s">
        <v>2327</v>
      </c>
      <c r="B3" s="609" t="e">
        <f ca="1">IF(C2="——",C49,ROUND(B2*10000/D3,0))</f>
        <v>#DIV/0!</v>
      </c>
      <c r="C3" s="400" t="s">
        <v>2642</v>
      </c>
      <c r="D3" s="399">
        <f>IF(D1="",'数据-汇总表'!E3,SUMIF('数据-汇总表'!$C19:$C33,D1,'数据-汇总表'!$E19:$E33))</f>
        <v>380</v>
      </c>
      <c r="E3" s="2660"/>
      <c r="F3" s="1124"/>
      <c r="G3" s="1123"/>
      <c r="H3" s="1123"/>
      <c r="I3" s="1123"/>
      <c r="J3" s="1123"/>
      <c r="K3" s="1125"/>
      <c r="L3" s="1126"/>
      <c r="M3" s="1127"/>
      <c r="N3" s="1127"/>
      <c r="O3" s="1127"/>
      <c r="P3" s="2658"/>
      <c r="Q3" s="1127"/>
      <c r="R3" s="1127"/>
      <c r="S3" s="1127"/>
      <c r="T3" s="1127"/>
      <c r="U3" s="1127"/>
      <c r="V3" s="1127"/>
      <c r="W3" s="1127"/>
      <c r="X3" s="1127"/>
      <c r="Y3" s="1127"/>
      <c r="Z3" s="1127"/>
      <c r="AA3" s="1127"/>
      <c r="AB3" s="1127"/>
      <c r="AC3" s="2660"/>
    </row>
    <row r="4" spans="1:29" ht="15">
      <c r="A4" s="401" t="s">
        <v>2643</v>
      </c>
      <c r="B4" s="402"/>
      <c r="C4" s="3197" t="s">
        <v>2644</v>
      </c>
      <c r="D4" s="3198"/>
      <c r="E4" s="3199" t="s">
        <v>2645</v>
      </c>
      <c r="F4" s="3200"/>
      <c r="G4" s="3197" t="s">
        <v>2646</v>
      </c>
      <c r="H4" s="3198"/>
      <c r="I4" s="3197" t="s">
        <v>2647</v>
      </c>
      <c r="J4" s="3198"/>
      <c r="K4" s="610" t="s">
        <v>2648</v>
      </c>
      <c r="L4" s="1128"/>
      <c r="M4" s="1129"/>
      <c r="N4" s="1129"/>
      <c r="O4" s="1129"/>
      <c r="P4" s="3201" t="s">
        <v>2649</v>
      </c>
      <c r="Q4" s="3202"/>
      <c r="R4" s="3207" t="s">
        <v>2645</v>
      </c>
      <c r="S4" s="3208"/>
      <c r="T4" s="3207" t="s">
        <v>2646</v>
      </c>
      <c r="U4" s="3208"/>
      <c r="V4" s="3213" t="s">
        <v>2647</v>
      </c>
      <c r="W4" s="3213"/>
      <c r="X4" s="1810"/>
      <c r="Y4" s="3207" t="s">
        <v>2649</v>
      </c>
      <c r="Z4" s="3208"/>
      <c r="AA4" s="3194" t="s">
        <v>2645</v>
      </c>
      <c r="AB4" s="3213" t="s">
        <v>2646</v>
      </c>
      <c r="AC4" s="3194" t="s">
        <v>2647</v>
      </c>
    </row>
    <row r="5" spans="1:29" ht="15">
      <c r="A5" s="404"/>
      <c r="B5" s="405"/>
      <c r="C5" s="3216" t="s">
        <v>2540</v>
      </c>
      <c r="D5" s="3217"/>
      <c r="E5" s="3223" t="s">
        <v>2541</v>
      </c>
      <c r="F5" s="3224"/>
      <c r="G5" s="3216" t="s">
        <v>2542</v>
      </c>
      <c r="H5" s="3217"/>
      <c r="I5" s="3216" t="s">
        <v>2543</v>
      </c>
      <c r="J5" s="3217"/>
      <c r="K5" s="610"/>
      <c r="L5" s="1128"/>
      <c r="M5" s="1129"/>
      <c r="N5" s="1129"/>
      <c r="O5" s="1129"/>
      <c r="P5" s="3203"/>
      <c r="Q5" s="3204"/>
      <c r="R5" s="3209"/>
      <c r="S5" s="3210"/>
      <c r="T5" s="3209"/>
      <c r="U5" s="3210"/>
      <c r="V5" s="3213"/>
      <c r="W5" s="3213"/>
      <c r="X5" s="1810"/>
      <c r="Y5" s="3209"/>
      <c r="Z5" s="3210"/>
      <c r="AA5" s="3195"/>
      <c r="AB5" s="3213"/>
      <c r="AC5" s="3195"/>
    </row>
    <row r="6" spans="1:29" ht="15.75" thickBot="1">
      <c r="A6" s="406"/>
      <c r="B6" s="407"/>
      <c r="C6" s="3214" t="s">
        <v>2544</v>
      </c>
      <c r="D6" s="3215"/>
      <c r="E6" s="3221" t="s">
        <v>2544</v>
      </c>
      <c r="F6" s="3222"/>
      <c r="G6" s="3214" t="s">
        <v>2544</v>
      </c>
      <c r="H6" s="3215"/>
      <c r="I6" s="3214" t="s">
        <v>2544</v>
      </c>
      <c r="J6" s="3215"/>
      <c r="K6" s="610" t="s">
        <v>2545</v>
      </c>
      <c r="L6" s="1128"/>
      <c r="M6" s="1129"/>
      <c r="N6" s="1129"/>
      <c r="O6" s="1129"/>
      <c r="P6" s="3205"/>
      <c r="Q6" s="3206"/>
      <c r="R6" s="3209"/>
      <c r="S6" s="3210"/>
      <c r="T6" s="3211"/>
      <c r="U6" s="3212"/>
      <c r="V6" s="3213"/>
      <c r="W6" s="3213"/>
      <c r="X6" s="1810"/>
      <c r="Y6" s="3211"/>
      <c r="Z6" s="3212"/>
      <c r="AA6" s="3196"/>
      <c r="AB6" s="3213"/>
      <c r="AC6" s="3196"/>
    </row>
    <row r="7" spans="1:29" s="117" customFormat="1" ht="15.75" thickBot="1">
      <c r="A7" s="408" t="s">
        <v>2546</v>
      </c>
      <c r="B7" s="409"/>
      <c r="C7" s="410">
        <f>'数据-取费表'!B2</f>
        <v>43672</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18" t="s">
        <v>2547</v>
      </c>
      <c r="Q7" s="3220"/>
      <c r="R7" s="768" t="s">
        <v>17</v>
      </c>
      <c r="S7" s="769">
        <f t="shared" ref="S7:S15" si="0">F7</f>
        <v>0</v>
      </c>
      <c r="T7" s="768" t="s">
        <v>17</v>
      </c>
      <c r="U7" s="769">
        <f t="shared" ref="U7:U15" si="1">H7</f>
        <v>0</v>
      </c>
      <c r="V7" s="768" t="s">
        <v>17</v>
      </c>
      <c r="W7" s="769">
        <f t="shared" ref="W7:W15" si="2">J7</f>
        <v>0</v>
      </c>
      <c r="X7" s="770"/>
      <c r="Y7" s="3218" t="s">
        <v>2547</v>
      </c>
      <c r="Z7" s="3219"/>
      <c r="AA7" s="771" t="e">
        <f>D7/F7</f>
        <v>#DIV/0!</v>
      </c>
      <c r="AB7" s="771" t="e">
        <f>D7/H7</f>
        <v>#DIV/0!</v>
      </c>
      <c r="AC7" s="771"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218" t="s">
        <v>2550</v>
      </c>
      <c r="Q8" s="3219"/>
      <c r="R8" s="768" t="s">
        <v>17</v>
      </c>
      <c r="S8" s="769">
        <f t="shared" si="0"/>
        <v>0</v>
      </c>
      <c r="T8" s="768" t="s">
        <v>17</v>
      </c>
      <c r="U8" s="769">
        <f t="shared" si="1"/>
        <v>0</v>
      </c>
      <c r="V8" s="768" t="s">
        <v>17</v>
      </c>
      <c r="W8" s="769">
        <f t="shared" si="2"/>
        <v>0</v>
      </c>
      <c r="X8" s="770"/>
      <c r="Y8" s="3218" t="s">
        <v>2550</v>
      </c>
      <c r="Z8" s="3219"/>
      <c r="AA8" s="771" t="e">
        <f t="shared" ref="AA8:AA46" si="3">D8/F8</f>
        <v>#DIV/0!</v>
      </c>
      <c r="AB8" s="771" t="e">
        <f t="shared" ref="AB8:AB46" si="4">D8/H8</f>
        <v>#DIV/0!</v>
      </c>
      <c r="AC8" s="771"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93" t="s">
        <v>2553</v>
      </c>
      <c r="Q9" s="1792" t="str">
        <f t="shared" ref="Q9:Q15" si="6">B9</f>
        <v>用途</v>
      </c>
      <c r="R9" s="768" t="s">
        <v>17</v>
      </c>
      <c r="S9" s="769">
        <f t="shared" si="0"/>
        <v>100</v>
      </c>
      <c r="T9" s="768" t="s">
        <v>17</v>
      </c>
      <c r="U9" s="769">
        <f t="shared" si="1"/>
        <v>100</v>
      </c>
      <c r="V9" s="768" t="s">
        <v>17</v>
      </c>
      <c r="W9" s="769">
        <f t="shared" si="2"/>
        <v>100</v>
      </c>
      <c r="X9" s="770"/>
      <c r="Y9" s="3006"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93"/>
      <c r="Q10" s="1792" t="str">
        <f t="shared" si="6"/>
        <v>土地使用年限（年）</v>
      </c>
      <c r="R10" s="768" t="s">
        <v>17</v>
      </c>
      <c r="S10" s="769">
        <f t="shared" si="0"/>
        <v>100</v>
      </c>
      <c r="T10" s="768" t="s">
        <v>17</v>
      </c>
      <c r="U10" s="769">
        <f t="shared" si="1"/>
        <v>100</v>
      </c>
      <c r="V10" s="768" t="s">
        <v>17</v>
      </c>
      <c r="W10" s="769">
        <f t="shared" si="2"/>
        <v>100</v>
      </c>
      <c r="X10" s="770"/>
      <c r="Y10" s="3006"/>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93"/>
      <c r="Q11" s="1792" t="str">
        <f t="shared" si="6"/>
        <v>容积率</v>
      </c>
      <c r="R11" s="768" t="s">
        <v>17</v>
      </c>
      <c r="S11" s="769" t="e">
        <f t="shared" si="0"/>
        <v>#N/A</v>
      </c>
      <c r="T11" s="768" t="s">
        <v>17</v>
      </c>
      <c r="U11" s="769" t="e">
        <f t="shared" si="1"/>
        <v>#N/A</v>
      </c>
      <c r="V11" s="768" t="s">
        <v>17</v>
      </c>
      <c r="W11" s="769" t="e">
        <f t="shared" si="2"/>
        <v>#N/A</v>
      </c>
      <c r="X11" s="770"/>
      <c r="Y11" s="3006"/>
      <c r="Z11" s="55" t="str">
        <f t="shared" si="7"/>
        <v>容积率</v>
      </c>
      <c r="AA11" s="771" t="e">
        <f t="shared" si="3"/>
        <v>#N/A</v>
      </c>
      <c r="AB11" s="771" t="e">
        <f t="shared" si="4"/>
        <v>#N/A</v>
      </c>
      <c r="AC11" s="771"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93"/>
      <c r="Q12" s="1792">
        <f t="shared" si="6"/>
        <v>111</v>
      </c>
      <c r="R12" s="768" t="s">
        <v>17</v>
      </c>
      <c r="S12" s="769">
        <f t="shared" si="0"/>
        <v>100</v>
      </c>
      <c r="T12" s="768" t="s">
        <v>17</v>
      </c>
      <c r="U12" s="769">
        <f t="shared" si="1"/>
        <v>100</v>
      </c>
      <c r="V12" s="768" t="s">
        <v>17</v>
      </c>
      <c r="W12" s="769">
        <f t="shared" si="2"/>
        <v>100</v>
      </c>
      <c r="X12" s="770"/>
      <c r="Y12" s="3006"/>
      <c r="Z12" s="55">
        <f t="shared" si="7"/>
        <v>111</v>
      </c>
      <c r="AA12" s="771">
        <f>D12/F12</f>
        <v>1</v>
      </c>
      <c r="AB12" s="771">
        <f>D12/H12</f>
        <v>1</v>
      </c>
      <c r="AC12" s="771">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93"/>
      <c r="Q13" s="1792">
        <f t="shared" si="6"/>
        <v>111</v>
      </c>
      <c r="R13" s="768" t="s">
        <v>17</v>
      </c>
      <c r="S13" s="769">
        <f t="shared" si="0"/>
        <v>100</v>
      </c>
      <c r="T13" s="768" t="s">
        <v>17</v>
      </c>
      <c r="U13" s="769">
        <f t="shared" si="1"/>
        <v>100</v>
      </c>
      <c r="V13" s="768" t="s">
        <v>17</v>
      </c>
      <c r="W13" s="769">
        <f t="shared" si="2"/>
        <v>100</v>
      </c>
      <c r="X13" s="770"/>
      <c r="Y13" s="3006"/>
      <c r="Z13" s="55">
        <f t="shared" si="7"/>
        <v>111</v>
      </c>
      <c r="AA13" s="771">
        <f t="shared" si="3"/>
        <v>1</v>
      </c>
      <c r="AB13" s="771">
        <f t="shared" si="4"/>
        <v>1</v>
      </c>
      <c r="AC13" s="771">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93"/>
      <c r="Q14" s="1792">
        <f t="shared" si="6"/>
        <v>111</v>
      </c>
      <c r="R14" s="768" t="s">
        <v>17</v>
      </c>
      <c r="S14" s="769">
        <f t="shared" si="0"/>
        <v>100</v>
      </c>
      <c r="T14" s="768" t="s">
        <v>17</v>
      </c>
      <c r="U14" s="769">
        <f t="shared" si="1"/>
        <v>100</v>
      </c>
      <c r="V14" s="768" t="s">
        <v>17</v>
      </c>
      <c r="W14" s="769">
        <f t="shared" si="2"/>
        <v>100</v>
      </c>
      <c r="X14" s="770"/>
      <c r="Y14" s="3006"/>
      <c r="Z14" s="55">
        <f t="shared" si="7"/>
        <v>111</v>
      </c>
      <c r="AA14" s="771">
        <f t="shared" si="3"/>
        <v>1</v>
      </c>
      <c r="AB14" s="771">
        <f t="shared" si="4"/>
        <v>1</v>
      </c>
      <c r="AC14" s="771">
        <f t="shared" si="5"/>
        <v>1</v>
      </c>
    </row>
    <row r="15" spans="1:29" ht="71.25">
      <c r="A15" s="440" t="s">
        <v>2557</v>
      </c>
      <c r="B15" s="69" t="s">
        <v>2651</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191" t="s">
        <v>2558</v>
      </c>
      <c r="Q15" s="1807" t="str">
        <f t="shared" si="6"/>
        <v>商业繁华度</v>
      </c>
      <c r="R15" s="772" t="s">
        <v>17</v>
      </c>
      <c r="S15" s="773">
        <f t="shared" si="0"/>
        <v>100</v>
      </c>
      <c r="T15" s="772" t="s">
        <v>17</v>
      </c>
      <c r="U15" s="773">
        <f t="shared" si="1"/>
        <v>100</v>
      </c>
      <c r="V15" s="772" t="s">
        <v>17</v>
      </c>
      <c r="W15" s="773">
        <f t="shared" si="2"/>
        <v>100</v>
      </c>
      <c r="X15" s="1810"/>
      <c r="Y15" s="3184" t="s">
        <v>2558</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29"/>
      <c r="P16" s="3192"/>
      <c r="Q16" s="1807"/>
      <c r="R16" s="772"/>
      <c r="S16" s="773"/>
      <c r="T16" s="772"/>
      <c r="U16" s="773"/>
      <c r="V16" s="772"/>
      <c r="W16" s="773"/>
      <c r="X16" s="1810"/>
      <c r="Y16" s="3185"/>
      <c r="Z16" s="1811"/>
      <c r="AA16" s="1808">
        <v>1</v>
      </c>
      <c r="AB16" s="1808">
        <v>1</v>
      </c>
      <c r="AC16" s="1808">
        <v>1</v>
      </c>
    </row>
    <row r="17" spans="1:29" ht="85.5">
      <c r="A17" s="428"/>
      <c r="B17" s="451" t="s">
        <v>2093</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192"/>
      <c r="Q17" s="1807" t="str">
        <f>B17</f>
        <v>交通便捷度</v>
      </c>
      <c r="R17" s="772" t="s">
        <v>17</v>
      </c>
      <c r="S17" s="773">
        <f>F17</f>
        <v>100</v>
      </c>
      <c r="T17" s="772" t="s">
        <v>17</v>
      </c>
      <c r="U17" s="773">
        <f>H17</f>
        <v>100</v>
      </c>
      <c r="V17" s="772" t="s">
        <v>17</v>
      </c>
      <c r="W17" s="773">
        <f>J17</f>
        <v>100</v>
      </c>
      <c r="X17" s="1810"/>
      <c r="Y17" s="3185"/>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8"/>
      <c r="M18" s="1129"/>
      <c r="N18" s="1129"/>
      <c r="O18" s="1129"/>
      <c r="P18" s="3192"/>
      <c r="Q18" s="1807"/>
      <c r="R18" s="772"/>
      <c r="S18" s="773"/>
      <c r="T18" s="772"/>
      <c r="U18" s="773"/>
      <c r="V18" s="772"/>
      <c r="W18" s="773"/>
      <c r="X18" s="1810"/>
      <c r="Y18" s="3185"/>
      <c r="Z18" s="1811"/>
      <c r="AA18" s="1808">
        <v>1</v>
      </c>
      <c r="AB18" s="1808">
        <v>1</v>
      </c>
      <c r="AC18" s="1808">
        <v>1</v>
      </c>
    </row>
    <row r="19" spans="1:29" ht="42.75">
      <c r="A19" s="428"/>
      <c r="B19" s="451" t="s">
        <v>2652</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192"/>
      <c r="Q19" s="1807" t="str">
        <f>B19</f>
        <v>公共配套设施</v>
      </c>
      <c r="R19" s="772" t="s">
        <v>17</v>
      </c>
      <c r="S19" s="773">
        <f>F19</f>
        <v>100</v>
      </c>
      <c r="T19" s="772" t="s">
        <v>17</v>
      </c>
      <c r="U19" s="773">
        <f>H19</f>
        <v>100</v>
      </c>
      <c r="V19" s="772" t="s">
        <v>17</v>
      </c>
      <c r="W19" s="773">
        <f>J19</f>
        <v>100</v>
      </c>
      <c r="X19" s="1810"/>
      <c r="Y19" s="3185"/>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8"/>
      <c r="M20" s="1129"/>
      <c r="N20" s="1129"/>
      <c r="O20" s="1129"/>
      <c r="P20" s="3192"/>
      <c r="Q20" s="1807"/>
      <c r="R20" s="772"/>
      <c r="S20" s="773"/>
      <c r="T20" s="772"/>
      <c r="U20" s="773"/>
      <c r="V20" s="772"/>
      <c r="W20" s="773"/>
      <c r="X20" s="1810"/>
      <c r="Y20" s="3185"/>
      <c r="Z20" s="1811"/>
      <c r="AA20" s="1808">
        <v>1</v>
      </c>
      <c r="AB20" s="1808">
        <v>1</v>
      </c>
      <c r="AC20" s="1808">
        <v>1</v>
      </c>
    </row>
    <row r="21" spans="1:29" ht="28.5">
      <c r="A21" s="428"/>
      <c r="B21" s="1382" t="s">
        <v>2653</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192"/>
      <c r="Q21" s="1807" t="str">
        <f>B21</f>
        <v>基础设施水平</v>
      </c>
      <c r="R21" s="772" t="s">
        <v>17</v>
      </c>
      <c r="S21" s="773">
        <f>F21</f>
        <v>100</v>
      </c>
      <c r="T21" s="772" t="s">
        <v>17</v>
      </c>
      <c r="U21" s="773">
        <f>H21</f>
        <v>100</v>
      </c>
      <c r="V21" s="772" t="s">
        <v>17</v>
      </c>
      <c r="W21" s="773">
        <f>J21</f>
        <v>100</v>
      </c>
      <c r="X21" s="1810"/>
      <c r="Y21" s="3185"/>
      <c r="Z21" s="1811" t="str">
        <f>Q21</f>
        <v>基础设施水平</v>
      </c>
      <c r="AA21" s="1808">
        <f t="shared" ref="AA21" si="8">D21/F21</f>
        <v>1</v>
      </c>
      <c r="AB21" s="1808">
        <f t="shared" ref="AB21" si="9">D21/H21</f>
        <v>1</v>
      </c>
      <c r="AC21" s="1808">
        <f t="shared" ref="AC21" si="10">D21/J21</f>
        <v>1</v>
      </c>
    </row>
    <row r="22" spans="1:29" ht="15">
      <c r="A22" s="428"/>
      <c r="B22" s="1382"/>
      <c r="C22" s="2605"/>
      <c r="D22" s="448"/>
      <c r="E22" s="447"/>
      <c r="F22" s="449"/>
      <c r="G22" s="447"/>
      <c r="H22" s="448"/>
      <c r="I22" s="447"/>
      <c r="J22" s="448"/>
      <c r="K22" s="1381"/>
      <c r="L22" s="1138"/>
      <c r="M22" s="1129"/>
      <c r="N22" s="1129"/>
      <c r="O22" s="1129"/>
      <c r="P22" s="3192"/>
      <c r="Q22" s="1807"/>
      <c r="R22" s="772"/>
      <c r="S22" s="773"/>
      <c r="T22" s="772"/>
      <c r="U22" s="773"/>
      <c r="V22" s="772"/>
      <c r="W22" s="773"/>
      <c r="X22" s="1810"/>
      <c r="Y22" s="3185"/>
      <c r="Z22" s="1811"/>
      <c r="AA22" s="1808">
        <v>1</v>
      </c>
      <c r="AB22" s="1808">
        <v>1</v>
      </c>
      <c r="AC22" s="1808">
        <v>1</v>
      </c>
    </row>
    <row r="23" spans="1:29" ht="57">
      <c r="A23" s="428"/>
      <c r="B23" s="451" t="s">
        <v>2098</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192"/>
      <c r="Q23" s="1807" t="str">
        <f>B23</f>
        <v>自然及人文环境</v>
      </c>
      <c r="R23" s="772" t="s">
        <v>17</v>
      </c>
      <c r="S23" s="773">
        <f>F23</f>
        <v>100</v>
      </c>
      <c r="T23" s="772" t="s">
        <v>17</v>
      </c>
      <c r="U23" s="773">
        <f>H23</f>
        <v>100</v>
      </c>
      <c r="V23" s="772" t="s">
        <v>17</v>
      </c>
      <c r="W23" s="773">
        <f>J23</f>
        <v>100</v>
      </c>
      <c r="X23" s="1810"/>
      <c r="Y23" s="3185"/>
      <c r="Z23" s="1811" t="str">
        <f>Q23</f>
        <v>自然及人文环境</v>
      </c>
      <c r="AA23" s="1808">
        <f t="shared" si="3"/>
        <v>1</v>
      </c>
      <c r="AB23" s="1808">
        <f t="shared" si="4"/>
        <v>1</v>
      </c>
      <c r="AC23" s="1808">
        <f t="shared" si="5"/>
        <v>1</v>
      </c>
    </row>
    <row r="24" spans="1:29" ht="15">
      <c r="A24" s="428"/>
      <c r="B24" s="456"/>
      <c r="C24" s="447"/>
      <c r="D24" s="448"/>
      <c r="E24" s="2602"/>
      <c r="F24" s="449"/>
      <c r="G24" s="2601"/>
      <c r="H24" s="448"/>
      <c r="I24" s="2602"/>
      <c r="J24" s="448"/>
      <c r="K24" s="615"/>
      <c r="L24" s="1138"/>
      <c r="M24" s="1129"/>
      <c r="N24" s="1129"/>
      <c r="O24" s="1129"/>
      <c r="P24" s="3192"/>
      <c r="Q24" s="1807"/>
      <c r="R24" s="772"/>
      <c r="S24" s="773"/>
      <c r="T24" s="772"/>
      <c r="U24" s="773"/>
      <c r="V24" s="772"/>
      <c r="W24" s="773"/>
      <c r="X24" s="1810"/>
      <c r="Y24" s="3185"/>
      <c r="Z24" s="1811"/>
      <c r="AA24" s="1808">
        <v>1</v>
      </c>
      <c r="AB24" s="1808">
        <v>1</v>
      </c>
      <c r="AC24" s="1808">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192"/>
      <c r="Q25" s="1807" t="str">
        <f t="shared" ref="Q25:Q46" si="11">B25</f>
        <v>临街状况</v>
      </c>
      <c r="R25" s="772" t="s">
        <v>17</v>
      </c>
      <c r="S25" s="773">
        <f>F25</f>
        <v>100</v>
      </c>
      <c r="T25" s="772" t="s">
        <v>17</v>
      </c>
      <c r="U25" s="773">
        <f>H25</f>
        <v>100</v>
      </c>
      <c r="V25" s="772" t="s">
        <v>17</v>
      </c>
      <c r="W25" s="773">
        <f>J25</f>
        <v>100</v>
      </c>
      <c r="X25" s="1810"/>
      <c r="Y25" s="3185"/>
      <c r="Z25" s="1811" t="str">
        <f>Q25</f>
        <v>临街状况</v>
      </c>
      <c r="AA25" s="1808">
        <f t="shared" si="3"/>
        <v>1</v>
      </c>
      <c r="AB25" s="1808">
        <f t="shared" si="4"/>
        <v>1</v>
      </c>
      <c r="AC25" s="1808">
        <f t="shared" si="5"/>
        <v>1</v>
      </c>
    </row>
    <row r="26" spans="1:29" ht="15">
      <c r="A26" s="428"/>
      <c r="B26" s="1384" t="s">
        <v>2655</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192"/>
      <c r="Q26" s="1807" t="str">
        <f t="shared" si="11"/>
        <v>平面位置/可视性</v>
      </c>
      <c r="R26" s="772" t="s">
        <v>17</v>
      </c>
      <c r="S26" s="773">
        <f>F26</f>
        <v>100</v>
      </c>
      <c r="T26" s="772" t="s">
        <v>17</v>
      </c>
      <c r="U26" s="773">
        <f>H26</f>
        <v>100</v>
      </c>
      <c r="V26" s="772" t="s">
        <v>17</v>
      </c>
      <c r="W26" s="773">
        <f>J26</f>
        <v>100</v>
      </c>
      <c r="X26" s="1810"/>
      <c r="Y26" s="3185"/>
      <c r="Z26" s="1811" t="str">
        <f>Q26</f>
        <v>平面位置/可视性</v>
      </c>
      <c r="AA26" s="1808">
        <f t="shared" si="3"/>
        <v>1</v>
      </c>
      <c r="AB26" s="1808">
        <f t="shared" si="4"/>
        <v>1</v>
      </c>
      <c r="AC26" s="1808">
        <f t="shared" si="5"/>
        <v>1</v>
      </c>
    </row>
    <row r="27" spans="1:29" s="117" customFormat="1" ht="15">
      <c r="A27" s="431"/>
      <c r="B27" s="451" t="s">
        <v>2656</v>
      </c>
      <c r="C27" s="2662"/>
      <c r="D27" s="462">
        <v>100</v>
      </c>
      <c r="E27" s="2662"/>
      <c r="F27" s="464">
        <f>SUMIF(90:90,E27,91:91)-SUMIF(90:90,C27,91:91)+100</f>
        <v>100</v>
      </c>
      <c r="G27" s="2662"/>
      <c r="H27" s="462">
        <f>SUMIF(90:90,G27,91:91)-SUMIF(90:90,C27,91:91)+100</f>
        <v>100</v>
      </c>
      <c r="I27" s="2662"/>
      <c r="J27" s="462">
        <f>SUMIF(90:90,I27,91:91)-SUMIF(90:90,C27,91:91)+100</f>
        <v>100</v>
      </c>
      <c r="K27" s="612"/>
      <c r="L27" s="1130"/>
      <c r="M27" s="1131"/>
      <c r="N27" s="1131"/>
      <c r="O27" s="1131"/>
      <c r="P27" s="3192"/>
      <c r="Q27" s="1792" t="str">
        <f t="shared" si="11"/>
        <v>人流量</v>
      </c>
      <c r="R27" s="768" t="s">
        <v>17</v>
      </c>
      <c r="S27" s="769">
        <f>F27</f>
        <v>100</v>
      </c>
      <c r="T27" s="768" t="s">
        <v>17</v>
      </c>
      <c r="U27" s="769">
        <f>H27</f>
        <v>100</v>
      </c>
      <c r="V27" s="768" t="s">
        <v>17</v>
      </c>
      <c r="W27" s="769">
        <f>J27</f>
        <v>100</v>
      </c>
      <c r="X27" s="770"/>
      <c r="Y27" s="3185"/>
      <c r="Z27" s="55" t="str">
        <f>Q27</f>
        <v>人流量</v>
      </c>
      <c r="AA27" s="1808">
        <f>D27/F27</f>
        <v>1</v>
      </c>
      <c r="AB27" s="1808">
        <f>D27/H27</f>
        <v>1</v>
      </c>
      <c r="AC27" s="1808">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192"/>
      <c r="Q28" s="1807" t="str">
        <f t="shared" si="11"/>
        <v>楼层</v>
      </c>
      <c r="R28" s="772" t="s">
        <v>17</v>
      </c>
      <c r="S28" s="773">
        <f t="shared" ref="S28:S46" si="12">F28</f>
        <v>100</v>
      </c>
      <c r="T28" s="772" t="s">
        <v>17</v>
      </c>
      <c r="U28" s="773">
        <f t="shared" ref="U28:U46" si="13">H28</f>
        <v>100</v>
      </c>
      <c r="V28" s="772" t="s">
        <v>17</v>
      </c>
      <c r="W28" s="773">
        <f t="shared" ref="W28:W46" si="14">J28</f>
        <v>100</v>
      </c>
      <c r="X28" s="1810"/>
      <c r="Y28" s="3185"/>
      <c r="Z28" s="1811" t="str">
        <f t="shared" ref="Z28:Z46" si="15">Q28</f>
        <v>楼层</v>
      </c>
      <c r="AA28" s="1808">
        <f t="shared" si="3"/>
        <v>1</v>
      </c>
      <c r="AB28" s="1808">
        <f t="shared" si="4"/>
        <v>1</v>
      </c>
      <c r="AC28" s="1808">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92"/>
      <c r="Q29" s="1807">
        <f t="shared" si="11"/>
        <v>111</v>
      </c>
      <c r="R29" s="772" t="s">
        <v>17</v>
      </c>
      <c r="S29" s="773">
        <f t="shared" si="12"/>
        <v>100</v>
      </c>
      <c r="T29" s="772" t="s">
        <v>17</v>
      </c>
      <c r="U29" s="773">
        <f t="shared" si="13"/>
        <v>100</v>
      </c>
      <c r="V29" s="772" t="s">
        <v>17</v>
      </c>
      <c r="W29" s="773">
        <f t="shared" si="14"/>
        <v>100</v>
      </c>
      <c r="X29" s="1810"/>
      <c r="Y29" s="3185"/>
      <c r="Z29" s="1811">
        <f t="shared" si="15"/>
        <v>111</v>
      </c>
      <c r="AA29" s="1808">
        <f t="shared" si="3"/>
        <v>1</v>
      </c>
      <c r="AB29" s="1808">
        <f t="shared" si="4"/>
        <v>1</v>
      </c>
      <c r="AC29" s="1808">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92"/>
      <c r="Q30" s="1807">
        <f t="shared" si="11"/>
        <v>111</v>
      </c>
      <c r="R30" s="772" t="s">
        <v>17</v>
      </c>
      <c r="S30" s="773">
        <f t="shared" si="12"/>
        <v>100</v>
      </c>
      <c r="T30" s="772" t="s">
        <v>17</v>
      </c>
      <c r="U30" s="773">
        <f t="shared" si="13"/>
        <v>100</v>
      </c>
      <c r="V30" s="772" t="s">
        <v>17</v>
      </c>
      <c r="W30" s="773">
        <f t="shared" si="14"/>
        <v>100</v>
      </c>
      <c r="X30" s="1810"/>
      <c r="Y30" s="3185"/>
      <c r="Z30" s="1811">
        <f t="shared" si="15"/>
        <v>111</v>
      </c>
      <c r="AA30" s="1808">
        <f t="shared" si="3"/>
        <v>1</v>
      </c>
      <c r="AB30" s="1808">
        <f t="shared" si="4"/>
        <v>1</v>
      </c>
      <c r="AC30" s="1808">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92"/>
      <c r="Q31" s="1807">
        <f t="shared" si="11"/>
        <v>111</v>
      </c>
      <c r="R31" s="772" t="s">
        <v>17</v>
      </c>
      <c r="S31" s="773">
        <f t="shared" si="12"/>
        <v>100</v>
      </c>
      <c r="T31" s="772" t="s">
        <v>17</v>
      </c>
      <c r="U31" s="773">
        <f t="shared" si="13"/>
        <v>100</v>
      </c>
      <c r="V31" s="772" t="s">
        <v>17</v>
      </c>
      <c r="W31" s="773">
        <f t="shared" si="14"/>
        <v>100</v>
      </c>
      <c r="X31" s="1810"/>
      <c r="Y31" s="3185"/>
      <c r="Z31" s="1811">
        <f t="shared" si="15"/>
        <v>111</v>
      </c>
      <c r="AA31" s="1808">
        <f t="shared" si="3"/>
        <v>1</v>
      </c>
      <c r="AB31" s="1808">
        <f t="shared" si="4"/>
        <v>1</v>
      </c>
      <c r="AC31" s="1808">
        <f t="shared" si="5"/>
        <v>1</v>
      </c>
    </row>
    <row r="32" spans="1:29" ht="15">
      <c r="A32" s="440" t="s">
        <v>2561</v>
      </c>
      <c r="B32" s="71" t="s">
        <v>2658</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8"/>
      <c r="M32" s="1129"/>
      <c r="N32" s="1129"/>
      <c r="O32" s="1129"/>
      <c r="P32" s="3186" t="s">
        <v>2563</v>
      </c>
      <c r="Q32" s="1807" t="str">
        <f t="shared" si="11"/>
        <v>商业类型</v>
      </c>
      <c r="R32" s="772" t="s">
        <v>17</v>
      </c>
      <c r="S32" s="773">
        <f t="shared" si="12"/>
        <v>100</v>
      </c>
      <c r="T32" s="772" t="s">
        <v>17</v>
      </c>
      <c r="U32" s="773">
        <f t="shared" si="13"/>
        <v>100</v>
      </c>
      <c r="V32" s="772" t="s">
        <v>17</v>
      </c>
      <c r="W32" s="773">
        <f t="shared" si="14"/>
        <v>100</v>
      </c>
      <c r="X32" s="1810"/>
      <c r="Y32" s="3189" t="s">
        <v>2563</v>
      </c>
      <c r="Z32" s="1811" t="str">
        <f t="shared" si="15"/>
        <v>商业类型</v>
      </c>
      <c r="AA32" s="1808">
        <f t="shared" si="3"/>
        <v>1</v>
      </c>
      <c r="AB32" s="1808">
        <f t="shared" si="4"/>
        <v>1</v>
      </c>
      <c r="AC32" s="1808">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187"/>
      <c r="Q33" s="774" t="str">
        <f t="shared" si="11"/>
        <v>项目建筑规模</v>
      </c>
      <c r="R33" s="775" t="s">
        <v>17</v>
      </c>
      <c r="S33" s="776" t="e">
        <f t="shared" si="12"/>
        <v>#N/A</v>
      </c>
      <c r="T33" s="775" t="s">
        <v>17</v>
      </c>
      <c r="U33" s="776" t="e">
        <f t="shared" si="13"/>
        <v>#N/A</v>
      </c>
      <c r="V33" s="775" t="s">
        <v>17</v>
      </c>
      <c r="W33" s="776" t="e">
        <f t="shared" si="14"/>
        <v>#N/A</v>
      </c>
      <c r="X33" s="777"/>
      <c r="Y33" s="3189"/>
      <c r="Z33" s="778" t="str">
        <f t="shared" si="15"/>
        <v>项目建筑规模</v>
      </c>
      <c r="AA33" s="1808" t="e">
        <f t="shared" si="3"/>
        <v>#N/A</v>
      </c>
      <c r="AB33" s="1808" t="e">
        <f t="shared" si="4"/>
        <v>#N/A</v>
      </c>
      <c r="AC33" s="1808" t="e">
        <f t="shared" si="5"/>
        <v>#N/A</v>
      </c>
    </row>
    <row r="34" spans="1:29" ht="15">
      <c r="A34" s="472"/>
      <c r="B34" s="422" t="s">
        <v>2565</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8"/>
      <c r="M34" s="1129"/>
      <c r="N34" s="1129"/>
      <c r="O34" s="1129"/>
      <c r="P34" s="3187"/>
      <c r="Q34" s="1807" t="str">
        <f t="shared" si="11"/>
        <v>建筑结构</v>
      </c>
      <c r="R34" s="772" t="s">
        <v>17</v>
      </c>
      <c r="S34" s="773">
        <f t="shared" si="12"/>
        <v>100</v>
      </c>
      <c r="T34" s="772" t="s">
        <v>17</v>
      </c>
      <c r="U34" s="773">
        <f t="shared" si="13"/>
        <v>100</v>
      </c>
      <c r="V34" s="772" t="s">
        <v>17</v>
      </c>
      <c r="W34" s="773">
        <f t="shared" si="14"/>
        <v>100</v>
      </c>
      <c r="X34" s="1810"/>
      <c r="Y34" s="3189"/>
      <c r="Z34" s="1811" t="str">
        <f t="shared" si="15"/>
        <v>建筑结构</v>
      </c>
      <c r="AA34" s="1808">
        <f t="shared" si="3"/>
        <v>1</v>
      </c>
      <c r="AB34" s="1808">
        <f t="shared" si="4"/>
        <v>1</v>
      </c>
      <c r="AC34" s="1808">
        <f t="shared" si="5"/>
        <v>1</v>
      </c>
    </row>
    <row r="35" spans="1:29" ht="15">
      <c r="A35" s="472"/>
      <c r="B35" s="422" t="s">
        <v>2659</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8"/>
      <c r="M35" s="1129"/>
      <c r="N35" s="1129"/>
      <c r="O35" s="1129"/>
      <c r="P35" s="3187"/>
      <c r="Q35" s="1807" t="str">
        <f t="shared" si="11"/>
        <v>公共部分装修</v>
      </c>
      <c r="R35" s="772" t="s">
        <v>17</v>
      </c>
      <c r="S35" s="773">
        <f t="shared" si="12"/>
        <v>100</v>
      </c>
      <c r="T35" s="772" t="s">
        <v>17</v>
      </c>
      <c r="U35" s="773">
        <f t="shared" si="13"/>
        <v>100</v>
      </c>
      <c r="V35" s="772" t="s">
        <v>17</v>
      </c>
      <c r="W35" s="773">
        <f t="shared" si="14"/>
        <v>100</v>
      </c>
      <c r="X35" s="1810"/>
      <c r="Y35" s="3189"/>
      <c r="Z35" s="1811" t="str">
        <f t="shared" si="15"/>
        <v>公共部分装修</v>
      </c>
      <c r="AA35" s="1808">
        <f t="shared" si="3"/>
        <v>1</v>
      </c>
      <c r="AB35" s="1808">
        <f t="shared" si="4"/>
        <v>1</v>
      </c>
      <c r="AC35" s="1808">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187"/>
      <c r="Q36" s="1807" t="str">
        <f t="shared" si="11"/>
        <v>成新度</v>
      </c>
      <c r="R36" s="772" t="s">
        <v>17</v>
      </c>
      <c r="S36" s="773" t="e">
        <f t="shared" si="12"/>
        <v>#N/A</v>
      </c>
      <c r="T36" s="772" t="s">
        <v>17</v>
      </c>
      <c r="U36" s="773" t="e">
        <f t="shared" si="13"/>
        <v>#N/A</v>
      </c>
      <c r="V36" s="772" t="s">
        <v>17</v>
      </c>
      <c r="W36" s="773" t="e">
        <f t="shared" si="14"/>
        <v>#N/A</v>
      </c>
      <c r="X36" s="1810"/>
      <c r="Y36" s="3189"/>
      <c r="Z36" s="1811" t="str">
        <f t="shared" si="15"/>
        <v>成新度</v>
      </c>
      <c r="AA36" s="1808" t="e">
        <f t="shared" si="3"/>
        <v>#N/A</v>
      </c>
      <c r="AB36" s="1808" t="e">
        <f t="shared" si="4"/>
        <v>#N/A</v>
      </c>
      <c r="AC36" s="1808" t="e">
        <f t="shared" si="5"/>
        <v>#N/A</v>
      </c>
    </row>
    <row r="37" spans="1:29" s="117" customFormat="1" ht="15">
      <c r="A37" s="473"/>
      <c r="B37" s="422" t="s">
        <v>2661</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0"/>
      <c r="M37" s="1131"/>
      <c r="N37" s="1131"/>
      <c r="O37" s="1131"/>
      <c r="P37" s="3187"/>
      <c r="Q37" s="1792" t="str">
        <f t="shared" si="11"/>
        <v>市政基础设施</v>
      </c>
      <c r="R37" s="768" t="s">
        <v>17</v>
      </c>
      <c r="S37" s="769">
        <f t="shared" si="12"/>
        <v>100</v>
      </c>
      <c r="T37" s="768" t="s">
        <v>17</v>
      </c>
      <c r="U37" s="769">
        <f t="shared" si="13"/>
        <v>100</v>
      </c>
      <c r="V37" s="768" t="s">
        <v>17</v>
      </c>
      <c r="W37" s="769">
        <f t="shared" si="14"/>
        <v>100</v>
      </c>
      <c r="X37" s="770"/>
      <c r="Y37" s="3189"/>
      <c r="Z37" s="55" t="str">
        <f t="shared" si="15"/>
        <v>市政基础设施</v>
      </c>
      <c r="AA37" s="771">
        <f t="shared" si="3"/>
        <v>1</v>
      </c>
      <c r="AB37" s="771">
        <f t="shared" si="4"/>
        <v>1</v>
      </c>
      <c r="AC37" s="771">
        <f t="shared" si="5"/>
        <v>1</v>
      </c>
    </row>
    <row r="38" spans="1:29" ht="15">
      <c r="A38" s="472"/>
      <c r="B38" s="422" t="s">
        <v>2662</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8"/>
      <c r="M38" s="1129"/>
      <c r="N38" s="1129"/>
      <c r="O38" s="1129"/>
      <c r="P38" s="3187" t="s">
        <v>2563</v>
      </c>
      <c r="Q38" s="1807" t="str">
        <f t="shared" si="11"/>
        <v>业态</v>
      </c>
      <c r="R38" s="772" t="s">
        <v>17</v>
      </c>
      <c r="S38" s="773">
        <f t="shared" si="12"/>
        <v>100</v>
      </c>
      <c r="T38" s="772" t="s">
        <v>17</v>
      </c>
      <c r="U38" s="773">
        <f t="shared" si="13"/>
        <v>100</v>
      </c>
      <c r="V38" s="772" t="s">
        <v>17</v>
      </c>
      <c r="W38" s="773">
        <f t="shared" si="14"/>
        <v>100</v>
      </c>
      <c r="X38" s="1810"/>
      <c r="Y38" s="3189" t="s">
        <v>2563</v>
      </c>
      <c r="Z38" s="1811" t="str">
        <f t="shared" si="15"/>
        <v>业态</v>
      </c>
      <c r="AA38" s="1808">
        <f t="shared" si="3"/>
        <v>1</v>
      </c>
      <c r="AB38" s="1808">
        <f t="shared" si="4"/>
        <v>1</v>
      </c>
      <c r="AC38" s="1808">
        <f t="shared" si="5"/>
        <v>1</v>
      </c>
    </row>
    <row r="39" spans="1:29" ht="15">
      <c r="A39" s="472"/>
      <c r="B39" s="422" t="s">
        <v>2663</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8"/>
      <c r="M39" s="1129"/>
      <c r="N39" s="1129"/>
      <c r="O39" s="1129"/>
      <c r="P39" s="3187"/>
      <c r="Q39" s="1807" t="str">
        <f t="shared" si="11"/>
        <v>层高</v>
      </c>
      <c r="R39" s="772" t="s">
        <v>17</v>
      </c>
      <c r="S39" s="773">
        <f t="shared" si="12"/>
        <v>100</v>
      </c>
      <c r="T39" s="772" t="s">
        <v>17</v>
      </c>
      <c r="U39" s="773">
        <f t="shared" si="13"/>
        <v>100</v>
      </c>
      <c r="V39" s="772" t="s">
        <v>17</v>
      </c>
      <c r="W39" s="773">
        <f t="shared" si="14"/>
        <v>100</v>
      </c>
      <c r="X39" s="1810"/>
      <c r="Y39" s="3189"/>
      <c r="Z39" s="1811" t="str">
        <f t="shared" si="15"/>
        <v>层高</v>
      </c>
      <c r="AA39" s="1808">
        <f t="shared" si="3"/>
        <v>1</v>
      </c>
      <c r="AB39" s="1808">
        <f t="shared" si="4"/>
        <v>1</v>
      </c>
      <c r="AC39" s="1808">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87"/>
      <c r="Q40" s="1807" t="str">
        <f t="shared" si="11"/>
        <v>单套建筑面积</v>
      </c>
      <c r="R40" s="772" t="s">
        <v>17</v>
      </c>
      <c r="S40" s="773">
        <f t="shared" si="12"/>
        <v>100</v>
      </c>
      <c r="T40" s="772" t="s">
        <v>17</v>
      </c>
      <c r="U40" s="773">
        <f t="shared" si="13"/>
        <v>100</v>
      </c>
      <c r="V40" s="772" t="s">
        <v>17</v>
      </c>
      <c r="W40" s="773">
        <f t="shared" si="14"/>
        <v>100</v>
      </c>
      <c r="X40" s="1810"/>
      <c r="Y40" s="3189"/>
      <c r="Z40" s="1811" t="str">
        <f t="shared" si="15"/>
        <v>单套建筑面积</v>
      </c>
      <c r="AA40" s="1808">
        <f t="shared" si="3"/>
        <v>1</v>
      </c>
      <c r="AB40" s="1808">
        <f t="shared" si="4"/>
        <v>1</v>
      </c>
      <c r="AC40" s="1808">
        <f t="shared" si="5"/>
        <v>1</v>
      </c>
    </row>
    <row r="41" spans="1:29" s="471" customFormat="1" ht="15">
      <c r="A41" s="468"/>
      <c r="B41" s="1809"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87"/>
      <c r="Q41" s="774" t="str">
        <f t="shared" si="11"/>
        <v>进深比</v>
      </c>
      <c r="R41" s="775" t="s">
        <v>17</v>
      </c>
      <c r="S41" s="776">
        <f t="shared" si="12"/>
        <v>100</v>
      </c>
      <c r="T41" s="775" t="s">
        <v>17</v>
      </c>
      <c r="U41" s="776">
        <f t="shared" si="13"/>
        <v>100</v>
      </c>
      <c r="V41" s="775" t="s">
        <v>17</v>
      </c>
      <c r="W41" s="776">
        <f t="shared" si="14"/>
        <v>100</v>
      </c>
      <c r="X41" s="777"/>
      <c r="Y41" s="3189"/>
      <c r="Z41" s="778" t="str">
        <f t="shared" si="15"/>
        <v>进深比</v>
      </c>
      <c r="AA41" s="1808">
        <f t="shared" si="3"/>
        <v>1</v>
      </c>
      <c r="AB41" s="1808">
        <f t="shared" si="4"/>
        <v>1</v>
      </c>
      <c r="AC41" s="1808">
        <f t="shared" si="5"/>
        <v>1</v>
      </c>
    </row>
    <row r="42" spans="1:29" ht="15">
      <c r="A42" s="472"/>
      <c r="B42" s="422" t="s">
        <v>2666</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8"/>
      <c r="M42" s="1129"/>
      <c r="N42" s="1129"/>
      <c r="O42" s="1129"/>
      <c r="P42" s="3187"/>
      <c r="Q42" s="1807" t="str">
        <f t="shared" si="11"/>
        <v>内部装修</v>
      </c>
      <c r="R42" s="772" t="s">
        <v>17</v>
      </c>
      <c r="S42" s="773">
        <f t="shared" si="12"/>
        <v>100</v>
      </c>
      <c r="T42" s="772" t="s">
        <v>17</v>
      </c>
      <c r="U42" s="773">
        <f t="shared" si="13"/>
        <v>100</v>
      </c>
      <c r="V42" s="772" t="s">
        <v>17</v>
      </c>
      <c r="W42" s="773">
        <f t="shared" si="14"/>
        <v>100</v>
      </c>
      <c r="X42" s="1810"/>
      <c r="Y42" s="3189"/>
      <c r="Z42" s="1811" t="str">
        <f t="shared" si="15"/>
        <v>内部装修</v>
      </c>
      <c r="AA42" s="1808">
        <f t="shared" si="3"/>
        <v>1</v>
      </c>
      <c r="AB42" s="1808">
        <f t="shared" si="4"/>
        <v>1</v>
      </c>
      <c r="AC42" s="1808">
        <f t="shared" si="5"/>
        <v>1</v>
      </c>
    </row>
    <row r="43" spans="1:29" ht="15">
      <c r="A43" s="472"/>
      <c r="B43" s="422" t="s">
        <v>2574</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8"/>
      <c r="M43" s="1129"/>
      <c r="N43" s="1129"/>
      <c r="O43" s="1129"/>
      <c r="P43" s="3187"/>
      <c r="Q43" s="1807" t="str">
        <f t="shared" si="11"/>
        <v>内部装修维护情况</v>
      </c>
      <c r="R43" s="772" t="s">
        <v>17</v>
      </c>
      <c r="S43" s="773">
        <f t="shared" si="12"/>
        <v>100</v>
      </c>
      <c r="T43" s="772" t="s">
        <v>17</v>
      </c>
      <c r="U43" s="773">
        <f t="shared" si="13"/>
        <v>100</v>
      </c>
      <c r="V43" s="772" t="s">
        <v>17</v>
      </c>
      <c r="W43" s="773">
        <f t="shared" si="14"/>
        <v>100</v>
      </c>
      <c r="X43" s="1810"/>
      <c r="Y43" s="3189"/>
      <c r="Z43" s="1811" t="str">
        <f t="shared" si="15"/>
        <v>内部装修维护情况</v>
      </c>
      <c r="AA43" s="1808">
        <f t="shared" si="3"/>
        <v>1</v>
      </c>
      <c r="AB43" s="1808">
        <f t="shared" si="4"/>
        <v>1</v>
      </c>
      <c r="AC43" s="1808">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87"/>
      <c r="Q44" s="1792">
        <f t="shared" si="11"/>
        <v>111</v>
      </c>
      <c r="R44" s="768" t="s">
        <v>17</v>
      </c>
      <c r="S44" s="769">
        <f t="shared" si="12"/>
        <v>100</v>
      </c>
      <c r="T44" s="768" t="s">
        <v>17</v>
      </c>
      <c r="U44" s="769">
        <f t="shared" si="13"/>
        <v>100</v>
      </c>
      <c r="V44" s="768" t="s">
        <v>17</v>
      </c>
      <c r="W44" s="769">
        <f t="shared" si="14"/>
        <v>100</v>
      </c>
      <c r="X44" s="770"/>
      <c r="Y44" s="3189"/>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87"/>
      <c r="Q45" s="1807">
        <f t="shared" si="11"/>
        <v>111</v>
      </c>
      <c r="R45" s="772" t="s">
        <v>17</v>
      </c>
      <c r="S45" s="773">
        <f t="shared" si="12"/>
        <v>100</v>
      </c>
      <c r="T45" s="772" t="s">
        <v>17</v>
      </c>
      <c r="U45" s="773">
        <f t="shared" si="13"/>
        <v>100</v>
      </c>
      <c r="V45" s="772" t="s">
        <v>17</v>
      </c>
      <c r="W45" s="773">
        <f t="shared" si="14"/>
        <v>100</v>
      </c>
      <c r="X45" s="1810"/>
      <c r="Y45" s="3189"/>
      <c r="Z45" s="1811">
        <f t="shared" si="15"/>
        <v>111</v>
      </c>
      <c r="AA45" s="1808">
        <f t="shared" si="3"/>
        <v>1</v>
      </c>
      <c r="AB45" s="1808">
        <f t="shared" si="4"/>
        <v>1</v>
      </c>
      <c r="AC45" s="1808">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88"/>
      <c r="Q46" s="1807">
        <f t="shared" si="11"/>
        <v>111</v>
      </c>
      <c r="R46" s="772" t="s">
        <v>17</v>
      </c>
      <c r="S46" s="773">
        <f t="shared" si="12"/>
        <v>100</v>
      </c>
      <c r="T46" s="772" t="s">
        <v>17</v>
      </c>
      <c r="U46" s="773">
        <f t="shared" si="13"/>
        <v>100</v>
      </c>
      <c r="V46" s="772" t="s">
        <v>17</v>
      </c>
      <c r="W46" s="773">
        <f t="shared" si="14"/>
        <v>100</v>
      </c>
      <c r="X46" s="1810"/>
      <c r="Y46" s="3190"/>
      <c r="Z46" s="1811">
        <f t="shared" si="15"/>
        <v>111</v>
      </c>
      <c r="AA46" s="1808">
        <f t="shared" si="3"/>
        <v>1</v>
      </c>
      <c r="AB46" s="1808">
        <f t="shared" si="4"/>
        <v>1</v>
      </c>
      <c r="AC46" s="1808">
        <f t="shared" si="5"/>
        <v>1</v>
      </c>
    </row>
    <row r="47" spans="1:29" ht="15">
      <c r="A47" s="479" t="s">
        <v>2575</v>
      </c>
      <c r="B47" s="480"/>
      <c r="C47" s="1405" t="s">
        <v>1</v>
      </c>
      <c r="D47" s="1406"/>
      <c r="E47" s="1407"/>
      <c r="F47" s="1408"/>
      <c r="G47" s="1409"/>
      <c r="H47" s="1410"/>
      <c r="I47" s="1407"/>
      <c r="J47" s="1410"/>
      <c r="K47" s="781"/>
      <c r="L47" s="1141"/>
      <c r="M47" s="1142"/>
      <c r="N47" s="1129"/>
      <c r="O47" s="1142"/>
      <c r="P47" s="3182" t="str">
        <f>A47</f>
        <v>成交单价（元/平方米）</v>
      </c>
      <c r="Q47" s="3182"/>
      <c r="R47" s="3213">
        <f>E47</f>
        <v>0</v>
      </c>
      <c r="S47" s="3213"/>
      <c r="T47" s="3213">
        <f>G47</f>
        <v>0</v>
      </c>
      <c r="U47" s="3213"/>
      <c r="V47" s="3213">
        <f>I47</f>
        <v>0</v>
      </c>
      <c r="W47" s="3213"/>
      <c r="X47" s="757"/>
      <c r="Y47" s="779"/>
      <c r="Z47" s="757"/>
      <c r="AA47" s="757"/>
      <c r="AB47" s="757"/>
      <c r="AC47" s="757"/>
    </row>
    <row r="48" spans="1:29" ht="15.75" thickBot="1">
      <c r="A48" s="486" t="s">
        <v>2667</v>
      </c>
      <c r="B48" s="487"/>
      <c r="C48" s="1411" t="e">
        <f>R49</f>
        <v>#DIV/0!</v>
      </c>
      <c r="D48" s="1412"/>
      <c r="E48" s="1413" t="e">
        <f>R48</f>
        <v>#DIV/0!</v>
      </c>
      <c r="F48" s="1413"/>
      <c r="G48" s="1411" t="e">
        <f>T48</f>
        <v>#DIV/0!</v>
      </c>
      <c r="H48" s="1412"/>
      <c r="I48" s="1413" t="e">
        <f>V48</f>
        <v>#DIV/0!</v>
      </c>
      <c r="J48" s="1412"/>
      <c r="K48" s="782"/>
      <c r="L48" s="1141"/>
      <c r="M48" s="1142"/>
      <c r="N48" s="1129"/>
      <c r="O48" s="1142"/>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7"/>
      <c r="Y48" s="757"/>
      <c r="Z48" s="757"/>
      <c r="AA48" s="757"/>
      <c r="AB48" s="757"/>
      <c r="AC48" s="757"/>
    </row>
    <row r="49" spans="1:29" ht="15.75" thickBot="1">
      <c r="A49" s="492" t="s">
        <v>2668</v>
      </c>
      <c r="B49" s="493"/>
      <c r="C49" s="1415" t="e">
        <f>R49</f>
        <v>#DIV/0!</v>
      </c>
      <c r="D49" s="1415"/>
      <c r="E49" s="1415"/>
      <c r="F49" s="1415"/>
      <c r="G49" s="1415"/>
      <c r="H49" s="1415"/>
      <c r="I49" s="1415"/>
      <c r="J49" s="1415"/>
      <c r="K49" s="783"/>
      <c r="L49" s="1141"/>
      <c r="M49" s="1142"/>
      <c r="N49" s="1129"/>
      <c r="O49" s="1142"/>
      <c r="P49" s="3179" t="str">
        <f>A49</f>
        <v>估价对象XX用房的比较价值（楼面单价，元/平方米）</v>
      </c>
      <c r="Q49" s="3180"/>
      <c r="R49" s="3181" t="e">
        <f>IF(F1="售价",ROUND(AVERAGE(R48:V48),0),ROUND(AVERAGE(R48:V48),1))</f>
        <v>#DIV/0!</v>
      </c>
      <c r="S49" s="3181"/>
      <c r="T49" s="3181"/>
      <c r="U49" s="3181"/>
      <c r="V49" s="3181"/>
      <c r="W49" s="3181"/>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3"/>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3"/>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59"/>
      <c r="M57" s="1157"/>
      <c r="N57" s="1157"/>
      <c r="O57" s="1157"/>
      <c r="P57" s="2664"/>
      <c r="Q57" s="2665"/>
      <c r="R57" s="757"/>
      <c r="S57" s="757"/>
      <c r="T57" s="757"/>
      <c r="U57" s="757"/>
      <c r="V57" s="757"/>
      <c r="W57" s="757"/>
      <c r="X57" s="757"/>
      <c r="Y57" s="757"/>
      <c r="Z57" s="757"/>
      <c r="AA57" s="757"/>
      <c r="AB57" s="757"/>
      <c r="AC57" s="757"/>
    </row>
    <row r="58" spans="1:29" s="508" customFormat="1" ht="15">
      <c r="A58" s="505" t="s">
        <v>2546</v>
      </c>
      <c r="B58" s="506"/>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7" customFormat="1" ht="15">
      <c r="A59" s="509"/>
      <c r="B59" s="510"/>
      <c r="C59" s="1571">
        <v>100</v>
      </c>
      <c r="D59" s="512"/>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2548</v>
      </c>
      <c r="B61" s="510"/>
      <c r="C61" s="522" t="s">
        <v>2650</v>
      </c>
      <c r="D61" s="523"/>
      <c r="E61" s="523"/>
      <c r="F61" s="523"/>
      <c r="G61" s="523"/>
      <c r="H61" s="523"/>
      <c r="I61" s="523"/>
      <c r="J61" s="523"/>
      <c r="K61" s="523"/>
      <c r="L61" s="524"/>
      <c r="M61" s="525"/>
      <c r="N61" s="1149"/>
      <c r="O61" s="1149"/>
      <c r="P61" s="2626"/>
      <c r="Q61" s="504"/>
    </row>
    <row r="62" spans="1:29" s="117" customFormat="1" ht="15.75" thickBot="1">
      <c r="A62" s="521"/>
      <c r="B62" s="510"/>
      <c r="C62" s="511">
        <v>100</v>
      </c>
      <c r="D62" s="512"/>
      <c r="E62" s="512"/>
      <c r="F62" s="512"/>
      <c r="G62" s="512"/>
      <c r="H62" s="512"/>
      <c r="I62" s="512"/>
      <c r="J62" s="512"/>
      <c r="K62" s="512"/>
      <c r="L62" s="512"/>
      <c r="M62" s="514"/>
      <c r="N62" s="1149"/>
      <c r="O62" s="1149"/>
      <c r="P62" s="2625"/>
      <c r="Q62" s="504"/>
    </row>
    <row r="63" spans="1:29">
      <c r="A63" s="527" t="s">
        <v>2586</v>
      </c>
      <c r="B63" s="528" t="s">
        <v>2552</v>
      </c>
      <c r="C63" s="529">
        <f>C9</f>
        <v>0</v>
      </c>
      <c r="D63" s="530"/>
      <c r="E63" s="530"/>
      <c r="F63" s="530"/>
      <c r="G63" s="530"/>
      <c r="H63" s="530"/>
      <c r="I63" s="530"/>
      <c r="J63" s="530"/>
      <c r="K63" s="531"/>
      <c r="L63" s="532"/>
      <c r="M63" s="533"/>
      <c r="N63" s="1150"/>
      <c r="O63" s="1150"/>
      <c r="P63" s="2627"/>
      <c r="Q63" s="504"/>
    </row>
    <row r="64" spans="1:29" ht="15.75" thickBot="1">
      <c r="A64" s="534"/>
      <c r="B64" s="535"/>
      <c r="C64" s="536">
        <v>100</v>
      </c>
      <c r="D64" s="536"/>
      <c r="E64" s="536"/>
      <c r="F64" s="536"/>
      <c r="G64" s="536"/>
      <c r="H64" s="536"/>
      <c r="I64" s="536"/>
      <c r="J64" s="536"/>
      <c r="K64" s="536"/>
      <c r="L64" s="536"/>
      <c r="M64" s="537"/>
      <c r="N64" s="1151"/>
      <c r="O64" s="1151"/>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7"/>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7"/>
      <c r="Q67" s="504"/>
    </row>
    <row r="68" spans="1:17" ht="15">
      <c r="A68" s="534"/>
      <c r="B68" s="548"/>
      <c r="C68" s="549"/>
      <c r="D68" s="549"/>
      <c r="E68" s="549"/>
      <c r="F68" s="549"/>
      <c r="G68" s="549"/>
      <c r="H68" s="549"/>
      <c r="I68" s="549"/>
      <c r="J68" s="549"/>
      <c r="K68" s="550"/>
      <c r="L68" s="551"/>
      <c r="M68" s="552"/>
      <c r="N68" s="1150"/>
      <c r="O68" s="1150"/>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7"/>
      <c r="Q69" s="504"/>
    </row>
    <row r="70" spans="1:17" s="471" customFormat="1" ht="15.75" thickTop="1">
      <c r="A70" s="553"/>
      <c r="B70" s="538">
        <f>B12</f>
        <v>111</v>
      </c>
      <c r="C70" s="554"/>
      <c r="D70" s="554"/>
      <c r="E70" s="554"/>
      <c r="F70" s="554"/>
      <c r="G70" s="554"/>
      <c r="H70" s="555"/>
      <c r="I70" s="555"/>
      <c r="J70" s="555"/>
      <c r="K70" s="555"/>
      <c r="L70" s="556"/>
      <c r="M70" s="557"/>
      <c r="N70" s="1152"/>
      <c r="O70" s="1152"/>
      <c r="P70" s="2628"/>
      <c r="Q70" s="559"/>
    </row>
    <row r="71" spans="1:17" s="471" customFormat="1" ht="15.75" thickBot="1">
      <c r="A71" s="553"/>
      <c r="B71" s="543"/>
      <c r="C71" s="560"/>
      <c r="D71" s="536"/>
      <c r="E71" s="536"/>
      <c r="F71" s="536"/>
      <c r="G71" s="536"/>
      <c r="H71" s="536"/>
      <c r="I71" s="536"/>
      <c r="J71" s="536"/>
      <c r="K71" s="536"/>
      <c r="L71" s="536"/>
      <c r="M71" s="537"/>
      <c r="N71" s="1151"/>
      <c r="O71" s="1151"/>
      <c r="P71" s="2628"/>
      <c r="Q71" s="559"/>
    </row>
    <row r="72" spans="1:17" s="471" customFormat="1" ht="15.75" thickTop="1">
      <c r="A72" s="553"/>
      <c r="B72" s="538">
        <f>B13</f>
        <v>111</v>
      </c>
      <c r="C72" s="554"/>
      <c r="D72" s="554"/>
      <c r="E72" s="554"/>
      <c r="F72" s="554"/>
      <c r="G72" s="554"/>
      <c r="H72" s="555"/>
      <c r="I72" s="555"/>
      <c r="J72" s="555"/>
      <c r="K72" s="555"/>
      <c r="L72" s="556"/>
      <c r="M72" s="557"/>
      <c r="N72" s="1152"/>
      <c r="O72" s="1152"/>
      <c r="P72" s="2629"/>
      <c r="Q72" s="561"/>
    </row>
    <row r="73" spans="1:17" s="471" customFormat="1" ht="15.75" thickBot="1">
      <c r="A73" s="553"/>
      <c r="B73" s="543"/>
      <c r="C73" s="560"/>
      <c r="D73" s="536"/>
      <c r="E73" s="536"/>
      <c r="F73" s="536"/>
      <c r="G73" s="560"/>
      <c r="H73" s="562"/>
      <c r="I73" s="562"/>
      <c r="J73" s="562"/>
      <c r="K73" s="562"/>
      <c r="L73" s="562"/>
      <c r="M73" s="563"/>
      <c r="N73" s="1152"/>
      <c r="O73" s="1152"/>
      <c r="P73" s="2628"/>
      <c r="Q73" s="559"/>
    </row>
    <row r="74" spans="1:17" s="471" customFormat="1" ht="15.75" thickTop="1">
      <c r="A74" s="553"/>
      <c r="B74" s="546">
        <f>B14</f>
        <v>111</v>
      </c>
      <c r="C74" s="554"/>
      <c r="D74" s="554"/>
      <c r="E74" s="554"/>
      <c r="F74" s="554"/>
      <c r="G74" s="523"/>
      <c r="H74" s="564"/>
      <c r="I74" s="564"/>
      <c r="J74" s="564"/>
      <c r="K74" s="564"/>
      <c r="L74" s="565"/>
      <c r="M74" s="566"/>
      <c r="N74" s="1152"/>
      <c r="O74" s="1152"/>
      <c r="P74" s="2630"/>
      <c r="Q74" s="559"/>
    </row>
    <row r="75" spans="1:17" s="471" customFormat="1" ht="15.75" thickBot="1">
      <c r="A75" s="568"/>
      <c r="B75" s="569"/>
      <c r="C75" s="570"/>
      <c r="D75" s="570"/>
      <c r="E75" s="570"/>
      <c r="F75" s="570"/>
      <c r="G75" s="570"/>
      <c r="H75" s="571"/>
      <c r="I75" s="571"/>
      <c r="J75" s="571"/>
      <c r="K75" s="571"/>
      <c r="L75" s="571"/>
      <c r="M75" s="572"/>
      <c r="N75" s="1152"/>
      <c r="O75" s="1152"/>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7"/>
      <c r="Q81" s="504"/>
    </row>
    <row r="82" spans="1:17" ht="15.75" thickTop="1">
      <c r="A82" s="534"/>
      <c r="B82" s="546" t="s">
        <v>2653</v>
      </c>
      <c r="C82" s="660" t="s">
        <v>2673</v>
      </c>
      <c r="D82" s="660" t="s">
        <v>2674</v>
      </c>
      <c r="E82" s="660" t="s">
        <v>2675</v>
      </c>
      <c r="F82" s="660" t="s">
        <v>2676</v>
      </c>
      <c r="G82" s="660" t="s">
        <v>2677</v>
      </c>
      <c r="H82" s="539"/>
      <c r="I82" s="539"/>
      <c r="J82" s="539"/>
      <c r="K82" s="539"/>
      <c r="L82" s="539"/>
      <c r="M82" s="1380"/>
      <c r="N82" s="1151"/>
      <c r="O82" s="1151"/>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7"/>
      <c r="Q85" s="504"/>
    </row>
    <row r="86" spans="1:17" s="117" customFormat="1" ht="15.75" thickTop="1">
      <c r="A86" s="579"/>
      <c r="B86" s="538" t="s">
        <v>2678</v>
      </c>
      <c r="C86" s="554"/>
      <c r="D86" s="554"/>
      <c r="E86" s="554"/>
      <c r="F86" s="554"/>
      <c r="G86" s="554"/>
      <c r="H86" s="554"/>
      <c r="I86" s="554"/>
      <c r="J86" s="554"/>
      <c r="K86" s="554"/>
      <c r="L86" s="580"/>
      <c r="M86" s="581"/>
      <c r="N86" s="1149"/>
      <c r="O86" s="1149"/>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9"/>
      <c r="O88" s="1149"/>
      <c r="P88" s="2627"/>
      <c r="Q88" s="504"/>
    </row>
    <row r="89" spans="1:17" s="117" customFormat="1" ht="15.75" thickBot="1">
      <c r="A89" s="579"/>
      <c r="B89" s="543"/>
      <c r="C89" s="560"/>
      <c r="D89" s="536"/>
      <c r="E89" s="536"/>
      <c r="F89" s="536"/>
      <c r="G89" s="536"/>
      <c r="H89" s="536"/>
      <c r="I89" s="536"/>
      <c r="J89" s="536"/>
      <c r="K89" s="536"/>
      <c r="L89" s="536"/>
      <c r="M89" s="536"/>
      <c r="N89" s="1151"/>
      <c r="O89" s="1151"/>
      <c r="P89" s="2627"/>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28"/>
      <c r="Q91" s="559"/>
    </row>
    <row r="92" spans="1:17" ht="15.75" thickTop="1">
      <c r="A92" s="534"/>
      <c r="B92" s="538" t="str">
        <f>B28</f>
        <v>楼层</v>
      </c>
      <c r="C92" s="554"/>
      <c r="D92" s="554"/>
      <c r="E92" s="554"/>
      <c r="F92" s="554"/>
      <c r="G92" s="554"/>
      <c r="H92" s="554"/>
      <c r="I92" s="554"/>
      <c r="J92" s="554"/>
      <c r="K92" s="554"/>
      <c r="L92" s="580"/>
      <c r="M92" s="581"/>
      <c r="N92" s="1150"/>
      <c r="O92" s="1150"/>
      <c r="P92" s="2627"/>
      <c r="Q92" s="504"/>
    </row>
    <row r="93" spans="1:17" ht="15.75" thickBot="1">
      <c r="A93" s="534"/>
      <c r="B93" s="543"/>
      <c r="C93" s="536"/>
      <c r="D93" s="536"/>
      <c r="E93" s="536"/>
      <c r="F93" s="536"/>
      <c r="G93" s="536"/>
      <c r="H93" s="536"/>
      <c r="I93" s="536"/>
      <c r="J93" s="536"/>
      <c r="K93" s="536"/>
      <c r="L93" s="536"/>
      <c r="M93" s="537"/>
      <c r="N93" s="1151"/>
      <c r="O93" s="1151"/>
      <c r="P93" s="2627"/>
      <c r="Q93" s="504"/>
    </row>
    <row r="94" spans="1:17" ht="15.75" thickTop="1">
      <c r="A94" s="534"/>
      <c r="B94" s="538">
        <f>B29</f>
        <v>111</v>
      </c>
      <c r="C94" s="554"/>
      <c r="D94" s="554"/>
      <c r="E94" s="554"/>
      <c r="F94" s="554"/>
      <c r="G94" s="583"/>
      <c r="H94" s="583"/>
      <c r="I94" s="583"/>
      <c r="J94" s="583"/>
      <c r="K94" s="584"/>
      <c r="L94" s="585"/>
      <c r="M94" s="586"/>
      <c r="N94" s="1150"/>
      <c r="O94" s="1150"/>
      <c r="P94" s="2627"/>
      <c r="Q94" s="504"/>
    </row>
    <row r="95" spans="1:17" ht="15.75" thickBot="1">
      <c r="A95" s="534"/>
      <c r="B95" s="543"/>
      <c r="C95" s="560"/>
      <c r="D95" s="536"/>
      <c r="E95" s="536"/>
      <c r="F95" s="536"/>
      <c r="G95" s="536"/>
      <c r="H95" s="536"/>
      <c r="I95" s="536"/>
      <c r="J95" s="536"/>
      <c r="K95" s="536"/>
      <c r="L95" s="536"/>
      <c r="M95" s="537"/>
      <c r="N95" s="1151"/>
      <c r="O95" s="1151"/>
      <c r="P95" s="2627"/>
      <c r="Q95" s="504"/>
    </row>
    <row r="96" spans="1:17" ht="15.75" thickTop="1">
      <c r="A96" s="534"/>
      <c r="B96" s="538">
        <f>B30</f>
        <v>111</v>
      </c>
      <c r="C96" s="554"/>
      <c r="D96" s="554"/>
      <c r="E96" s="554"/>
      <c r="F96" s="554"/>
      <c r="G96" s="583"/>
      <c r="H96" s="583"/>
      <c r="I96" s="583"/>
      <c r="J96" s="583"/>
      <c r="K96" s="584"/>
      <c r="L96" s="585"/>
      <c r="M96" s="586"/>
      <c r="N96" s="1150"/>
      <c r="O96" s="1150"/>
      <c r="P96" s="2627"/>
      <c r="Q96" s="504"/>
    </row>
    <row r="97" spans="1:17" ht="15.75" thickBot="1">
      <c r="A97" s="534"/>
      <c r="B97" s="543"/>
      <c r="C97" s="560"/>
      <c r="D97" s="536"/>
      <c r="E97" s="536"/>
      <c r="F97" s="536"/>
      <c r="G97" s="536"/>
      <c r="H97" s="536"/>
      <c r="I97" s="536"/>
      <c r="J97" s="536"/>
      <c r="K97" s="536"/>
      <c r="L97" s="536"/>
      <c r="M97" s="537"/>
      <c r="N97" s="1151"/>
      <c r="O97" s="1151"/>
      <c r="P97" s="2627"/>
      <c r="Q97" s="504"/>
    </row>
    <row r="98" spans="1:17" ht="15.75" thickTop="1">
      <c r="A98" s="534"/>
      <c r="B98" s="546">
        <f>B31</f>
        <v>111</v>
      </c>
      <c r="C98" s="554"/>
      <c r="D98" s="554"/>
      <c r="E98" s="554"/>
      <c r="F98" s="554"/>
      <c r="G98" s="587"/>
      <c r="H98" s="587"/>
      <c r="I98" s="587"/>
      <c r="J98" s="587"/>
      <c r="K98" s="588"/>
      <c r="L98" s="589"/>
      <c r="M98" s="590"/>
      <c r="N98" s="1150"/>
      <c r="O98" s="1150"/>
      <c r="P98" s="2627"/>
      <c r="Q98" s="504"/>
    </row>
    <row r="99" spans="1:17" ht="15.75" thickBot="1">
      <c r="A99" s="2633"/>
      <c r="B99" s="569"/>
      <c r="C99" s="570"/>
      <c r="D99" s="570"/>
      <c r="E99" s="570"/>
      <c r="F99" s="570"/>
      <c r="G99" s="591"/>
      <c r="H99" s="591"/>
      <c r="I99" s="591"/>
      <c r="J99" s="591"/>
      <c r="K99" s="591"/>
      <c r="L99" s="591"/>
      <c r="M99" s="592"/>
      <c r="N99" s="1151"/>
      <c r="O99" s="1151"/>
      <c r="P99" s="2627"/>
      <c r="Q99" s="504"/>
    </row>
    <row r="100" spans="1:17">
      <c r="A100" s="527" t="s">
        <v>2561</v>
      </c>
      <c r="B100" s="528" t="s">
        <v>2679</v>
      </c>
      <c r="C100" s="530"/>
      <c r="D100" s="530"/>
      <c r="E100" s="530"/>
      <c r="F100" s="530"/>
      <c r="G100" s="530"/>
      <c r="H100" s="530"/>
      <c r="I100" s="530"/>
      <c r="J100" s="530"/>
      <c r="K100" s="531"/>
      <c r="L100" s="532"/>
      <c r="M100" s="533"/>
      <c r="N100" s="1150"/>
      <c r="O100" s="1150"/>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7"/>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7"/>
      <c r="Q102" s="504"/>
    </row>
    <row r="103" spans="1:17" s="471" customFormat="1">
      <c r="A103" s="593"/>
      <c r="B103" s="594"/>
      <c r="C103" s="595"/>
      <c r="D103" s="595"/>
      <c r="E103" s="595"/>
      <c r="F103" s="595"/>
      <c r="G103" s="595"/>
      <c r="H103" s="595"/>
      <c r="I103" s="595"/>
      <c r="J103" s="596"/>
      <c r="K103" s="596"/>
      <c r="L103" s="597"/>
      <c r="M103" s="598"/>
      <c r="N103" s="1152"/>
      <c r="O103" s="1152"/>
      <c r="P103" s="2628"/>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28"/>
      <c r="Q104" s="559"/>
    </row>
    <row r="105" spans="1:17" ht="15" thickTop="1">
      <c r="A105" s="599"/>
      <c r="B105" s="538" t="s">
        <v>2612</v>
      </c>
      <c r="C105" s="554"/>
      <c r="D105" s="554"/>
      <c r="E105" s="583"/>
      <c r="F105" s="583"/>
      <c r="G105" s="583"/>
      <c r="H105" s="583"/>
      <c r="I105" s="583"/>
      <c r="J105" s="583"/>
      <c r="K105" s="584"/>
      <c r="L105" s="585"/>
      <c r="M105" s="586"/>
      <c r="N105" s="1150"/>
      <c r="O105" s="1150"/>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7"/>
      <c r="Q106" s="504"/>
    </row>
    <row r="107" spans="1:17" ht="15" thickTop="1">
      <c r="A107" s="599"/>
      <c r="B107" s="538" t="s">
        <v>2614</v>
      </c>
      <c r="C107" s="554"/>
      <c r="D107" s="554"/>
      <c r="E107" s="554"/>
      <c r="F107" s="583"/>
      <c r="G107" s="583"/>
      <c r="H107" s="583"/>
      <c r="I107" s="583"/>
      <c r="J107" s="583"/>
      <c r="K107" s="584"/>
      <c r="L107" s="585"/>
      <c r="M107" s="586"/>
      <c r="N107" s="1150"/>
      <c r="O107" s="1150"/>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7"/>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7"/>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7"/>
      <c r="Q111" s="504"/>
    </row>
    <row r="112" spans="1:17" s="471" customFormat="1" ht="15" thickTop="1">
      <c r="A112" s="593"/>
      <c r="B112" s="538" t="s">
        <v>2616</v>
      </c>
      <c r="C112" s="554"/>
      <c r="D112" s="554"/>
      <c r="E112" s="554"/>
      <c r="F112" s="554"/>
      <c r="G112" s="554"/>
      <c r="H112" s="583"/>
      <c r="I112" s="583"/>
      <c r="J112" s="583"/>
      <c r="K112" s="584"/>
      <c r="L112" s="585"/>
      <c r="M112" s="586"/>
      <c r="N112" s="1152"/>
      <c r="O112" s="1152"/>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28"/>
      <c r="Q113" s="559"/>
    </row>
    <row r="114" spans="1:17" ht="15" thickTop="1">
      <c r="A114" s="599"/>
      <c r="B114" s="538" t="s">
        <v>2680</v>
      </c>
      <c r="C114" s="554"/>
      <c r="D114" s="554"/>
      <c r="E114" s="583"/>
      <c r="F114" s="583"/>
      <c r="G114" s="583"/>
      <c r="H114" s="583"/>
      <c r="I114" s="583"/>
      <c r="J114" s="583"/>
      <c r="K114" s="584"/>
      <c r="L114" s="585"/>
      <c r="M114" s="586"/>
      <c r="N114" s="1150"/>
      <c r="O114" s="1150"/>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7"/>
      <c r="Q115" s="504"/>
    </row>
    <row r="116" spans="1:17" ht="15" thickTop="1">
      <c r="A116" s="599"/>
      <c r="B116" s="538" t="s">
        <v>2681</v>
      </c>
      <c r="C116" s="554"/>
      <c r="D116" s="554"/>
      <c r="E116" s="554"/>
      <c r="F116" s="554"/>
      <c r="G116" s="554"/>
      <c r="H116" s="583"/>
      <c r="I116" s="583"/>
      <c r="J116" s="583"/>
      <c r="K116" s="584"/>
      <c r="L116" s="585"/>
      <c r="M116" s="586"/>
      <c r="N116" s="1150"/>
      <c r="O116" s="1150"/>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7"/>
      <c r="Q117" s="504"/>
    </row>
    <row r="118" spans="1:17" ht="15" thickTop="1">
      <c r="A118" s="599"/>
      <c r="B118" s="538" t="s">
        <v>2682</v>
      </c>
      <c r="C118" s="627"/>
      <c r="D118" s="627"/>
      <c r="E118" s="627"/>
      <c r="F118" s="627"/>
      <c r="G118" s="627"/>
      <c r="H118" s="555"/>
      <c r="I118" s="555"/>
      <c r="J118" s="555"/>
      <c r="K118" s="555"/>
      <c r="L118" s="556"/>
      <c r="M118" s="557"/>
      <c r="N118" s="1150"/>
      <c r="O118" s="1150"/>
      <c r="P118" s="2627"/>
      <c r="Q118" s="504"/>
    </row>
    <row r="119" spans="1:17" ht="15.75" thickBot="1">
      <c r="A119" s="534"/>
      <c r="B119" s="543"/>
      <c r="C119" s="560"/>
      <c r="D119" s="536"/>
      <c r="E119" s="536"/>
      <c r="F119" s="536"/>
      <c r="G119" s="536"/>
      <c r="H119" s="536"/>
      <c r="I119" s="536"/>
      <c r="J119" s="536"/>
      <c r="K119" s="536"/>
      <c r="L119" s="536"/>
      <c r="M119" s="537"/>
      <c r="N119" s="1151"/>
      <c r="O119" s="1151"/>
      <c r="P119" s="2627"/>
      <c r="Q119" s="504"/>
    </row>
    <row r="120" spans="1:17" s="471" customFormat="1" ht="15" thickTop="1">
      <c r="A120" s="593"/>
      <c r="B120" s="538" t="s">
        <v>2683</v>
      </c>
      <c r="C120" s="583"/>
      <c r="D120" s="583"/>
      <c r="E120" s="583"/>
      <c r="F120" s="583"/>
      <c r="G120" s="555"/>
      <c r="H120" s="555"/>
      <c r="I120" s="555"/>
      <c r="J120" s="555"/>
      <c r="K120" s="555"/>
      <c r="L120" s="556"/>
      <c r="M120" s="557"/>
      <c r="N120" s="1152"/>
      <c r="O120" s="1152"/>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28"/>
      <c r="Q121" s="559"/>
    </row>
    <row r="122" spans="1:17" ht="15" thickTop="1">
      <c r="A122" s="599"/>
      <c r="B122" s="538" t="s">
        <v>2618</v>
      </c>
      <c r="C122" s="554"/>
      <c r="D122" s="554"/>
      <c r="E122" s="554"/>
      <c r="F122" s="583"/>
      <c r="G122" s="583"/>
      <c r="H122" s="583"/>
      <c r="I122" s="583"/>
      <c r="J122" s="583"/>
      <c r="K122" s="584"/>
      <c r="L122" s="585"/>
      <c r="M122" s="586"/>
      <c r="N122" s="1150"/>
      <c r="O122" s="1150"/>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7"/>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8"/>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8"/>
      <c r="Q127" s="559"/>
    </row>
    <row r="128" spans="1:17" ht="15" thickTop="1">
      <c r="A128" s="599"/>
      <c r="B128" s="538">
        <f>B45</f>
        <v>111</v>
      </c>
      <c r="C128" s="554"/>
      <c r="D128" s="554"/>
      <c r="E128" s="554"/>
      <c r="F128" s="554"/>
      <c r="G128" s="583"/>
      <c r="H128" s="583"/>
      <c r="I128" s="583"/>
      <c r="J128" s="583"/>
      <c r="K128" s="584"/>
      <c r="L128" s="585"/>
      <c r="M128" s="586"/>
      <c r="N128" s="1150"/>
      <c r="O128" s="1150"/>
      <c r="P128" s="2627"/>
      <c r="Q128" s="504"/>
    </row>
    <row r="129" spans="1:17" ht="15.75" thickBot="1">
      <c r="A129" s="534"/>
      <c r="B129" s="543"/>
      <c r="C129" s="560"/>
      <c r="D129" s="536"/>
      <c r="E129" s="536"/>
      <c r="F129" s="536"/>
      <c r="G129" s="536"/>
      <c r="H129" s="536"/>
      <c r="I129" s="536"/>
      <c r="J129" s="536"/>
      <c r="K129" s="536"/>
      <c r="L129" s="536"/>
      <c r="M129" s="537"/>
      <c r="N129" s="1151"/>
      <c r="O129" s="1151"/>
      <c r="P129" s="2627"/>
      <c r="Q129" s="504"/>
    </row>
    <row r="130" spans="1:17" ht="15" thickTop="1">
      <c r="A130" s="599"/>
      <c r="B130" s="546">
        <f>B46</f>
        <v>111</v>
      </c>
      <c r="C130" s="554"/>
      <c r="D130" s="554"/>
      <c r="E130" s="554"/>
      <c r="F130" s="554"/>
      <c r="G130" s="587"/>
      <c r="H130" s="587"/>
      <c r="I130" s="587"/>
      <c r="J130" s="587"/>
      <c r="K130" s="523"/>
      <c r="L130" s="524"/>
      <c r="M130" s="590"/>
      <c r="N130" s="1150"/>
      <c r="O130" s="1150"/>
      <c r="P130" s="2627"/>
      <c r="Q130" s="504"/>
    </row>
    <row r="131" spans="1:17" ht="15.75" thickBot="1">
      <c r="A131" s="2633"/>
      <c r="B131" s="569"/>
      <c r="C131" s="570"/>
      <c r="D131" s="570"/>
      <c r="E131" s="570"/>
      <c r="F131" s="570"/>
      <c r="G131" s="591"/>
      <c r="H131" s="591"/>
      <c r="I131" s="591"/>
      <c r="J131" s="591"/>
      <c r="K131" s="591"/>
      <c r="L131" s="591"/>
      <c r="M131" s="592"/>
      <c r="N131" s="1151"/>
      <c r="O131" s="1151"/>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C50" sqref="C5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6" t="s">
        <v>2684</v>
      </c>
      <c r="C1" s="1618" t="s">
        <v>2528</v>
      </c>
      <c r="D1" s="1619" t="s">
        <v>27</v>
      </c>
      <c r="E1" s="1628"/>
      <c r="F1" s="2581" t="s">
        <v>3294</v>
      </c>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f>IF(C2="——",ROUND(C50*D3/10000,0),ROUND(C50*D3/10000,0)-D2)</f>
        <v>2489</v>
      </c>
      <c r="C2" s="2583" t="s">
        <v>70</v>
      </c>
      <c r="D2" s="1363" t="e">
        <f ca="1">SUMIF(INDIRECT("'"&amp;F2&amp;"'"&amp;"!A:A"),"承租人权益价值",INDIRECT("'"&amp;F2&amp;"'"&amp;"!c:c"))</f>
        <v>#REF!</v>
      </c>
      <c r="E2" s="2584" t="s">
        <v>2326</v>
      </c>
      <c r="F2" s="2585"/>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65496</v>
      </c>
      <c r="C3" s="400" t="s">
        <v>2642</v>
      </c>
      <c r="D3" s="399">
        <f>IF(D1="",'数据-汇总表'!E3,SUMIF('数据-汇总表'!$C19:$C33,D1,'数据-汇总表'!$E19:$E33))</f>
        <v>380</v>
      </c>
      <c r="E3" s="2660"/>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2643</v>
      </c>
      <c r="B4" s="402"/>
      <c r="C4" s="3197" t="s">
        <v>2644</v>
      </c>
      <c r="D4" s="3198"/>
      <c r="E4" s="3199" t="s">
        <v>2645</v>
      </c>
      <c r="F4" s="3200"/>
      <c r="G4" s="3197" t="s">
        <v>2646</v>
      </c>
      <c r="H4" s="3198"/>
      <c r="I4" s="3197" t="s">
        <v>2647</v>
      </c>
      <c r="J4" s="3198"/>
      <c r="K4" s="610" t="s">
        <v>2648</v>
      </c>
      <c r="L4" s="1128"/>
      <c r="M4" s="1129"/>
      <c r="N4" s="1129"/>
      <c r="O4" s="1129"/>
      <c r="P4" s="3231" t="s">
        <v>2649</v>
      </c>
      <c r="Q4" s="3232"/>
      <c r="R4" s="3235" t="s">
        <v>2645</v>
      </c>
      <c r="S4" s="3236"/>
      <c r="T4" s="3235" t="s">
        <v>2646</v>
      </c>
      <c r="U4" s="3236"/>
      <c r="V4" s="3237" t="s">
        <v>2647</v>
      </c>
      <c r="W4" s="3237"/>
      <c r="X4" s="2667"/>
      <c r="Y4" s="3235" t="s">
        <v>2649</v>
      </c>
      <c r="Z4" s="3236"/>
      <c r="AA4" s="3240" t="s">
        <v>2645</v>
      </c>
      <c r="AB4" s="3240" t="s">
        <v>2646</v>
      </c>
      <c r="AC4" s="3228" t="s">
        <v>2647</v>
      </c>
    </row>
    <row r="5" spans="1:29" ht="15">
      <c r="A5" s="404"/>
      <c r="B5" s="405"/>
      <c r="C5" s="3216" t="s">
        <v>2540</v>
      </c>
      <c r="D5" s="3217"/>
      <c r="E5" s="3241" t="s">
        <v>3284</v>
      </c>
      <c r="F5" s="3224"/>
      <c r="G5" s="3238" t="s">
        <v>3285</v>
      </c>
      <c r="H5" s="3217"/>
      <c r="I5" s="3238" t="s">
        <v>3286</v>
      </c>
      <c r="J5" s="3217"/>
      <c r="K5" s="610"/>
      <c r="L5" s="1128"/>
      <c r="M5" s="1129"/>
      <c r="N5" s="1129"/>
      <c r="O5" s="1129"/>
      <c r="P5" s="3233"/>
      <c r="Q5" s="3204"/>
      <c r="R5" s="3209"/>
      <c r="S5" s="3210"/>
      <c r="T5" s="3209"/>
      <c r="U5" s="3210"/>
      <c r="V5" s="3213"/>
      <c r="W5" s="3213"/>
      <c r="X5" s="1810"/>
      <c r="Y5" s="3209"/>
      <c r="Z5" s="3210"/>
      <c r="AA5" s="3195"/>
      <c r="AB5" s="3195"/>
      <c r="AC5" s="3229"/>
    </row>
    <row r="6" spans="1:29" ht="15.75" thickBot="1">
      <c r="A6" s="406"/>
      <c r="B6" s="407"/>
      <c r="C6" s="3214" t="s">
        <v>2544</v>
      </c>
      <c r="D6" s="3215"/>
      <c r="E6" s="3221" t="s">
        <v>2544</v>
      </c>
      <c r="F6" s="3222"/>
      <c r="G6" s="3214" t="s">
        <v>2544</v>
      </c>
      <c r="H6" s="3215"/>
      <c r="I6" s="3214" t="s">
        <v>2544</v>
      </c>
      <c r="J6" s="3215"/>
      <c r="K6" s="610" t="s">
        <v>2545</v>
      </c>
      <c r="L6" s="1128"/>
      <c r="M6" s="1129"/>
      <c r="N6" s="1129"/>
      <c r="O6" s="1129"/>
      <c r="P6" s="3234"/>
      <c r="Q6" s="3206"/>
      <c r="R6" s="3209"/>
      <c r="S6" s="3210"/>
      <c r="T6" s="3211"/>
      <c r="U6" s="3212"/>
      <c r="V6" s="3213"/>
      <c r="W6" s="3213"/>
      <c r="X6" s="1810"/>
      <c r="Y6" s="3211"/>
      <c r="Z6" s="3212"/>
      <c r="AA6" s="3196"/>
      <c r="AB6" s="3196"/>
      <c r="AC6" s="3230"/>
    </row>
    <row r="7" spans="1:29" s="117" customFormat="1" ht="15.75" thickBot="1">
      <c r="A7" s="408" t="s">
        <v>2546</v>
      </c>
      <c r="B7" s="409"/>
      <c r="C7" s="410">
        <f>'数据-取费表'!B2</f>
        <v>43672</v>
      </c>
      <c r="D7" s="411">
        <v>100</v>
      </c>
      <c r="E7" s="412">
        <v>43494</v>
      </c>
      <c r="F7" s="413">
        <f>SUMIF(59:59,YEAR(E7)&amp;"-"&amp;MONTH(E7),60:60)</f>
        <v>99</v>
      </c>
      <c r="G7" s="412">
        <v>43564</v>
      </c>
      <c r="H7" s="411">
        <f>SUMIF(59:59,YEAR(G7)&amp;"-"&amp;MONTH(G7),60:60)</f>
        <v>99.5</v>
      </c>
      <c r="I7" s="412">
        <v>43586</v>
      </c>
      <c r="J7" s="411">
        <f>SUMIF(59:59,YEAR(I7)&amp;"-"&amp;MONTH(I7),60:60)</f>
        <v>99.5</v>
      </c>
      <c r="K7" s="611"/>
      <c r="L7" s="1130"/>
      <c r="M7" s="1131"/>
      <c r="N7" s="1131"/>
      <c r="O7" s="1131"/>
      <c r="P7" s="3239" t="s">
        <v>2547</v>
      </c>
      <c r="Q7" s="3220"/>
      <c r="R7" s="768" t="s">
        <v>17</v>
      </c>
      <c r="S7" s="769">
        <f t="shared" ref="S7:S15" si="0">F7</f>
        <v>99</v>
      </c>
      <c r="T7" s="768" t="s">
        <v>17</v>
      </c>
      <c r="U7" s="769">
        <f t="shared" ref="U7:U15" si="1">H7</f>
        <v>99.5</v>
      </c>
      <c r="V7" s="768" t="s">
        <v>17</v>
      </c>
      <c r="W7" s="769">
        <f t="shared" ref="W7:W15" si="2">J7</f>
        <v>99.5</v>
      </c>
      <c r="X7" s="770"/>
      <c r="Y7" s="3218" t="s">
        <v>2547</v>
      </c>
      <c r="Z7" s="3219"/>
      <c r="AA7" s="771">
        <f>D7/F7</f>
        <v>1.0101010101010102</v>
      </c>
      <c r="AB7" s="771">
        <f>D7/H7</f>
        <v>1.0050251256281406</v>
      </c>
      <c r="AC7" s="2668">
        <f>D7/J7</f>
        <v>1.0050251256281406</v>
      </c>
    </row>
    <row r="8" spans="1:29" s="117" customFormat="1" ht="15.75" thickBot="1">
      <c r="A8" s="408" t="s">
        <v>2548</v>
      </c>
      <c r="B8" s="409"/>
      <c r="C8" s="414" t="s">
        <v>2650</v>
      </c>
      <c r="D8" s="411">
        <v>100</v>
      </c>
      <c r="E8" s="414" t="s">
        <v>3287</v>
      </c>
      <c r="F8" s="413">
        <f>SUMIF(62:62,E8,63:63)-SUMIF(62:62,C8,63:63)+100</f>
        <v>100</v>
      </c>
      <c r="G8" s="414" t="s">
        <v>3287</v>
      </c>
      <c r="H8" s="411">
        <f>SUMIF(62:62,G8,63:63)-SUMIF(62:62,C8,63:63)+100</f>
        <v>100</v>
      </c>
      <c r="I8" s="414" t="s">
        <v>3287</v>
      </c>
      <c r="J8" s="411">
        <f>SUMIF(62:62,I8,63:63)-SUMIF(62:62,C8,63:63)+100</f>
        <v>100</v>
      </c>
      <c r="K8" s="611"/>
      <c r="L8" s="1130"/>
      <c r="M8" s="1131"/>
      <c r="N8" s="1131"/>
      <c r="O8" s="1131"/>
      <c r="P8" s="3239" t="s">
        <v>2550</v>
      </c>
      <c r="Q8" s="3219"/>
      <c r="R8" s="768" t="s">
        <v>17</v>
      </c>
      <c r="S8" s="769">
        <f t="shared" si="0"/>
        <v>100</v>
      </c>
      <c r="T8" s="768" t="s">
        <v>17</v>
      </c>
      <c r="U8" s="769">
        <f t="shared" si="1"/>
        <v>100</v>
      </c>
      <c r="V8" s="768" t="s">
        <v>17</v>
      </c>
      <c r="W8" s="769">
        <f t="shared" si="2"/>
        <v>100</v>
      </c>
      <c r="X8" s="770"/>
      <c r="Y8" s="3218" t="s">
        <v>2550</v>
      </c>
      <c r="Z8" s="3219"/>
      <c r="AA8" s="771">
        <f t="shared" ref="AA8:AA47" si="3">D8/F8</f>
        <v>1</v>
      </c>
      <c r="AB8" s="771">
        <f t="shared" ref="AB8:AB47" si="4">D8/H8</f>
        <v>1</v>
      </c>
      <c r="AC8" s="2668">
        <f t="shared" ref="AC8:AC47" si="5">D8/J8</f>
        <v>1</v>
      </c>
    </row>
    <row r="9" spans="1:29" s="117" customFormat="1">
      <c r="A9" s="415" t="s">
        <v>2551</v>
      </c>
      <c r="B9" s="71" t="s">
        <v>2552</v>
      </c>
      <c r="C9" s="2958" t="s">
        <v>3288</v>
      </c>
      <c r="D9" s="135">
        <v>100</v>
      </c>
      <c r="E9" s="419" t="s">
        <v>27</v>
      </c>
      <c r="F9" s="135">
        <f>SUMIF(64:64,E9,65:65)-SUMIF(64:64,C9,65:65)+100</f>
        <v>100</v>
      </c>
      <c r="G9" s="417" t="s">
        <v>27</v>
      </c>
      <c r="H9" s="135">
        <f>SUMIF(64:64,G9,65:65)-SUMIF(64:64,C9,65:65)+100</f>
        <v>100</v>
      </c>
      <c r="I9" s="417" t="s">
        <v>27</v>
      </c>
      <c r="J9" s="135">
        <f>SUMIF(64:64,I9,65:65)-SUMIF(64:64,C9,65:65)+100</f>
        <v>100</v>
      </c>
      <c r="K9" s="611"/>
      <c r="L9" s="1130"/>
      <c r="M9" s="1131"/>
      <c r="N9" s="1131"/>
      <c r="O9" s="1131"/>
      <c r="P9" s="3193" t="s">
        <v>2553</v>
      </c>
      <c r="Q9" s="1792" t="str">
        <f t="shared" ref="Q9:Q15" si="6">B9</f>
        <v>用途</v>
      </c>
      <c r="R9" s="768" t="s">
        <v>17</v>
      </c>
      <c r="S9" s="769">
        <f t="shared" si="0"/>
        <v>100</v>
      </c>
      <c r="T9" s="768" t="s">
        <v>17</v>
      </c>
      <c r="U9" s="769">
        <f t="shared" si="1"/>
        <v>100</v>
      </c>
      <c r="V9" s="768" t="s">
        <v>17</v>
      </c>
      <c r="W9" s="769">
        <f t="shared" si="2"/>
        <v>100</v>
      </c>
      <c r="X9" s="770"/>
      <c r="Y9" s="3006" t="s">
        <v>2554</v>
      </c>
      <c r="Z9" s="55" t="str">
        <f t="shared" ref="Z9:Z15" si="7">Q9</f>
        <v>用途</v>
      </c>
      <c r="AA9" s="771">
        <f t="shared" si="3"/>
        <v>1</v>
      </c>
      <c r="AB9" s="771">
        <f t="shared" si="4"/>
        <v>1</v>
      </c>
      <c r="AC9" s="2668">
        <f t="shared" si="5"/>
        <v>1</v>
      </c>
    </row>
    <row r="10" spans="1:29" s="427" customFormat="1" ht="27">
      <c r="A10" s="421"/>
      <c r="B10" s="422" t="s">
        <v>2555</v>
      </c>
      <c r="C10" s="423" t="s">
        <v>3289</v>
      </c>
      <c r="D10" s="136">
        <v>100</v>
      </c>
      <c r="E10" s="423" t="s">
        <v>3289</v>
      </c>
      <c r="F10" s="136">
        <f>SUMIF(66:66,E10,67:67)-SUMIF(66:66,C10,67:67)+100</f>
        <v>100</v>
      </c>
      <c r="G10" s="424" t="s">
        <v>3289</v>
      </c>
      <c r="H10" s="136">
        <f>SUMIF(66:66,G10,67:67)-SUMIF(66:66,C10,67:67)+100</f>
        <v>100</v>
      </c>
      <c r="I10" s="423" t="s">
        <v>3290</v>
      </c>
      <c r="J10" s="136">
        <f>SUMIF(66:66,I10,67:67)-SUMIF(66:66,C10,67:67)+100</f>
        <v>98</v>
      </c>
      <c r="K10" s="612">
        <v>2</v>
      </c>
      <c r="L10" s="1133"/>
      <c r="M10" s="1134"/>
      <c r="N10" s="1134"/>
      <c r="O10" s="1134"/>
      <c r="P10" s="3193"/>
      <c r="Q10" s="1792" t="str">
        <f t="shared" si="6"/>
        <v>土地使用年限（年）</v>
      </c>
      <c r="R10" s="768" t="s">
        <v>17</v>
      </c>
      <c r="S10" s="769">
        <f t="shared" si="0"/>
        <v>100</v>
      </c>
      <c r="T10" s="768" t="s">
        <v>17</v>
      </c>
      <c r="U10" s="769">
        <f t="shared" si="1"/>
        <v>100</v>
      </c>
      <c r="V10" s="768" t="s">
        <v>17</v>
      </c>
      <c r="W10" s="769">
        <f t="shared" si="2"/>
        <v>98</v>
      </c>
      <c r="X10" s="770"/>
      <c r="Y10" s="3006"/>
      <c r="Z10" s="55" t="str">
        <f t="shared" si="7"/>
        <v>土地使用年限（年）</v>
      </c>
      <c r="AA10" s="771">
        <f t="shared" si="3"/>
        <v>1</v>
      </c>
      <c r="AB10" s="771">
        <f t="shared" si="4"/>
        <v>1</v>
      </c>
      <c r="AC10" s="2668">
        <f t="shared" si="5"/>
        <v>1.0204081632653061</v>
      </c>
    </row>
    <row r="11" spans="1:29" ht="15">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193"/>
      <c r="Q11" s="1792" t="str">
        <f t="shared" si="6"/>
        <v>容积率</v>
      </c>
      <c r="R11" s="768" t="s">
        <v>17</v>
      </c>
      <c r="S11" s="769">
        <f t="shared" si="0"/>
        <v>100</v>
      </c>
      <c r="T11" s="768" t="s">
        <v>17</v>
      </c>
      <c r="U11" s="769">
        <f t="shared" si="1"/>
        <v>100</v>
      </c>
      <c r="V11" s="768" t="s">
        <v>17</v>
      </c>
      <c r="W11" s="769">
        <f t="shared" si="2"/>
        <v>100</v>
      </c>
      <c r="X11" s="770"/>
      <c r="Y11" s="3006"/>
      <c r="Z11" s="55" t="str">
        <f t="shared" si="7"/>
        <v>容积率</v>
      </c>
      <c r="AA11" s="771">
        <f t="shared" si="3"/>
        <v>1</v>
      </c>
      <c r="AB11" s="771">
        <f t="shared" si="4"/>
        <v>1</v>
      </c>
      <c r="AC11" s="2668">
        <f t="shared" si="5"/>
        <v>1</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0"/>
      <c r="M12" s="1131"/>
      <c r="N12" s="1131"/>
      <c r="O12" s="1131"/>
      <c r="P12" s="3193"/>
      <c r="Q12" s="1792">
        <f t="shared" si="6"/>
        <v>111</v>
      </c>
      <c r="R12" s="768" t="s">
        <v>17</v>
      </c>
      <c r="S12" s="769">
        <f t="shared" si="0"/>
        <v>100</v>
      </c>
      <c r="T12" s="768" t="s">
        <v>17</v>
      </c>
      <c r="U12" s="769">
        <f t="shared" si="1"/>
        <v>100</v>
      </c>
      <c r="V12" s="768" t="s">
        <v>17</v>
      </c>
      <c r="W12" s="769">
        <f t="shared" si="2"/>
        <v>100</v>
      </c>
      <c r="X12" s="770"/>
      <c r="Y12" s="3006"/>
      <c r="Z12" s="55">
        <f t="shared" si="7"/>
        <v>111</v>
      </c>
      <c r="AA12" s="771">
        <f>D12/F12</f>
        <v>1</v>
      </c>
      <c r="AB12" s="771">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8"/>
      <c r="M13" s="1129"/>
      <c r="N13" s="1129"/>
      <c r="O13" s="1129"/>
      <c r="P13" s="3193"/>
      <c r="Q13" s="1792">
        <f t="shared" si="6"/>
        <v>111</v>
      </c>
      <c r="R13" s="768" t="s">
        <v>17</v>
      </c>
      <c r="S13" s="769">
        <f t="shared" si="0"/>
        <v>100</v>
      </c>
      <c r="T13" s="768" t="s">
        <v>17</v>
      </c>
      <c r="U13" s="769">
        <f t="shared" si="1"/>
        <v>100</v>
      </c>
      <c r="V13" s="768" t="s">
        <v>17</v>
      </c>
      <c r="W13" s="769">
        <f t="shared" si="2"/>
        <v>100</v>
      </c>
      <c r="X13" s="770"/>
      <c r="Y13" s="3006"/>
      <c r="Z13" s="55">
        <f t="shared" si="7"/>
        <v>111</v>
      </c>
      <c r="AA13" s="771">
        <f t="shared" si="3"/>
        <v>1</v>
      </c>
      <c r="AB13" s="771">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8"/>
      <c r="M14" s="1129"/>
      <c r="N14" s="1129"/>
      <c r="O14" s="1129"/>
      <c r="P14" s="3193"/>
      <c r="Q14" s="1792">
        <f t="shared" si="6"/>
        <v>111</v>
      </c>
      <c r="R14" s="768" t="s">
        <v>17</v>
      </c>
      <c r="S14" s="769">
        <f t="shared" si="0"/>
        <v>100</v>
      </c>
      <c r="T14" s="768" t="s">
        <v>17</v>
      </c>
      <c r="U14" s="769">
        <f t="shared" si="1"/>
        <v>100</v>
      </c>
      <c r="V14" s="768" t="s">
        <v>17</v>
      </c>
      <c r="W14" s="769">
        <f t="shared" si="2"/>
        <v>100</v>
      </c>
      <c r="X14" s="770"/>
      <c r="Y14" s="3006"/>
      <c r="Z14" s="55">
        <f t="shared" si="7"/>
        <v>111</v>
      </c>
      <c r="AA14" s="771">
        <f t="shared" si="3"/>
        <v>1</v>
      </c>
      <c r="AB14" s="771">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95</v>
      </c>
      <c r="G15" s="442"/>
      <c r="H15" s="441">
        <f>SUMIF(77:77,G16,78:78)-SUMIF(77:77,C16,78:78)+100</f>
        <v>95</v>
      </c>
      <c r="I15" s="442"/>
      <c r="J15" s="441">
        <f>SUMIF(77:77,I16,78:78)-SUMIF(77:77,C16,78:78)+100</f>
        <v>95</v>
      </c>
      <c r="K15" s="614">
        <v>5</v>
      </c>
      <c r="L15" s="1138"/>
      <c r="M15" s="1129"/>
      <c r="N15" s="1129"/>
      <c r="O15" s="1129"/>
      <c r="P15" s="3191" t="s">
        <v>2558</v>
      </c>
      <c r="Q15" s="1807" t="str">
        <f t="shared" si="6"/>
        <v>办公集聚程度</v>
      </c>
      <c r="R15" s="772" t="s">
        <v>17</v>
      </c>
      <c r="S15" s="773">
        <f t="shared" si="0"/>
        <v>95</v>
      </c>
      <c r="T15" s="772" t="s">
        <v>17</v>
      </c>
      <c r="U15" s="773">
        <f t="shared" si="1"/>
        <v>95</v>
      </c>
      <c r="V15" s="772" t="s">
        <v>17</v>
      </c>
      <c r="W15" s="773">
        <f t="shared" si="2"/>
        <v>95</v>
      </c>
      <c r="X15" s="1810"/>
      <c r="Y15" s="3184" t="s">
        <v>2558</v>
      </c>
      <c r="Z15" s="1811" t="str">
        <f t="shared" si="7"/>
        <v>办公集聚程度</v>
      </c>
      <c r="AA15" s="1808">
        <f t="shared" si="3"/>
        <v>1.0526315789473684</v>
      </c>
      <c r="AB15" s="1808">
        <f t="shared" si="4"/>
        <v>1.0526315789473684</v>
      </c>
      <c r="AC15" s="2671">
        <f t="shared" si="5"/>
        <v>1.0526315789473684</v>
      </c>
    </row>
    <row r="16" spans="1:29" ht="15">
      <c r="A16" s="428"/>
      <c r="B16" s="630"/>
      <c r="C16" s="2608" t="s">
        <v>3291</v>
      </c>
      <c r="D16" s="448"/>
      <c r="E16" s="447" t="s">
        <v>3292</v>
      </c>
      <c r="F16" s="448"/>
      <c r="G16" s="2608" t="s">
        <v>3292</v>
      </c>
      <c r="H16" s="450"/>
      <c r="I16" s="447" t="s">
        <v>3292</v>
      </c>
      <c r="J16" s="448"/>
      <c r="K16" s="615"/>
      <c r="L16" s="1138"/>
      <c r="M16" s="1129"/>
      <c r="N16" s="1129"/>
      <c r="O16" s="1129"/>
      <c r="P16" s="3192"/>
      <c r="Q16" s="1807"/>
      <c r="R16" s="772"/>
      <c r="S16" s="773"/>
      <c r="T16" s="772"/>
      <c r="U16" s="773"/>
      <c r="V16" s="772"/>
      <c r="W16" s="773"/>
      <c r="X16" s="1810"/>
      <c r="Y16" s="3185"/>
      <c r="Z16" s="1811"/>
      <c r="AA16" s="1808">
        <v>1</v>
      </c>
      <c r="AB16" s="1808">
        <v>1</v>
      </c>
      <c r="AC16" s="2671">
        <v>1</v>
      </c>
    </row>
    <row r="17" spans="1:29" ht="71.25">
      <c r="A17" s="428"/>
      <c r="B17" s="631" t="s">
        <v>2093</v>
      </c>
      <c r="C17" s="2672" t="str">
        <f>估价对象房地状况!C6</f>
        <v>估价对象周边道路状况、公共交通通达情况、停车便捷程度，综合评价交通便捷度较好</v>
      </c>
      <c r="D17" s="450">
        <v>100</v>
      </c>
      <c r="E17" s="454"/>
      <c r="F17" s="450">
        <f>SUMIF(79:79,E18,80:80)-SUMIF(79:79,C18,80:80)+100</f>
        <v>97</v>
      </c>
      <c r="G17" s="452"/>
      <c r="H17" s="455">
        <f>SUMIF(79:79,G18,80:80)-SUMIF(79:79,C18,80:80)+100</f>
        <v>97</v>
      </c>
      <c r="I17" s="452"/>
      <c r="J17" s="455">
        <f>SUMIF(79:79,I18,80:80)-SUMIF(79:79,C18,80:80)+100</f>
        <v>97</v>
      </c>
      <c r="K17" s="614">
        <v>3</v>
      </c>
      <c r="L17" s="1138"/>
      <c r="M17" s="1129"/>
      <c r="N17" s="1129"/>
      <c r="O17" s="1129"/>
      <c r="P17" s="3192"/>
      <c r="Q17" s="1807" t="str">
        <f>B17</f>
        <v>交通便捷度</v>
      </c>
      <c r="R17" s="772" t="s">
        <v>17</v>
      </c>
      <c r="S17" s="773">
        <f>F17</f>
        <v>97</v>
      </c>
      <c r="T17" s="772" t="s">
        <v>17</v>
      </c>
      <c r="U17" s="773">
        <f>H17</f>
        <v>97</v>
      </c>
      <c r="V17" s="772" t="s">
        <v>17</v>
      </c>
      <c r="W17" s="773">
        <f>J17</f>
        <v>97</v>
      </c>
      <c r="X17" s="1810"/>
      <c r="Y17" s="3185"/>
      <c r="Z17" s="1811" t="str">
        <f>Q17</f>
        <v>交通便捷度</v>
      </c>
      <c r="AA17" s="1808">
        <f t="shared" si="3"/>
        <v>1.0309278350515463</v>
      </c>
      <c r="AB17" s="1808">
        <f t="shared" si="4"/>
        <v>1.0309278350515463</v>
      </c>
      <c r="AC17" s="2671">
        <f t="shared" si="5"/>
        <v>1.0309278350515463</v>
      </c>
    </row>
    <row r="18" spans="1:29" ht="15">
      <c r="A18" s="428"/>
      <c r="B18" s="632"/>
      <c r="C18" s="2673" t="s">
        <v>3291</v>
      </c>
      <c r="D18" s="450"/>
      <c r="E18" s="2606" t="s">
        <v>3292</v>
      </c>
      <c r="F18" s="450"/>
      <c r="G18" s="2607" t="s">
        <v>3292</v>
      </c>
      <c r="H18" s="448"/>
      <c r="I18" s="2607" t="s">
        <v>3292</v>
      </c>
      <c r="J18" s="448"/>
      <c r="K18" s="615"/>
      <c r="L18" s="1138"/>
      <c r="M18" s="1129"/>
      <c r="N18" s="1129"/>
      <c r="O18" s="1129"/>
      <c r="P18" s="3192"/>
      <c r="Q18" s="1807"/>
      <c r="R18" s="772"/>
      <c r="S18" s="773"/>
      <c r="T18" s="772"/>
      <c r="U18" s="773"/>
      <c r="V18" s="772"/>
      <c r="W18" s="773"/>
      <c r="X18" s="1810"/>
      <c r="Y18" s="3185"/>
      <c r="Z18" s="1811"/>
      <c r="AA18" s="1808">
        <v>1</v>
      </c>
      <c r="AB18" s="1808">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3</v>
      </c>
      <c r="L19" s="1138"/>
      <c r="M19" s="1129"/>
      <c r="N19" s="1129"/>
      <c r="O19" s="1129"/>
      <c r="P19" s="3192"/>
      <c r="Q19" s="1807" t="str">
        <f>B19</f>
        <v>公共配套设施</v>
      </c>
      <c r="R19" s="772" t="s">
        <v>17</v>
      </c>
      <c r="S19" s="773">
        <f>F19</f>
        <v>100</v>
      </c>
      <c r="T19" s="772" t="s">
        <v>17</v>
      </c>
      <c r="U19" s="773">
        <f>H19</f>
        <v>100</v>
      </c>
      <c r="V19" s="772" t="s">
        <v>17</v>
      </c>
      <c r="W19" s="773">
        <f>J19</f>
        <v>100</v>
      </c>
      <c r="X19" s="1810"/>
      <c r="Y19" s="3185"/>
      <c r="Z19" s="1811" t="str">
        <f>Q19</f>
        <v>公共配套设施</v>
      </c>
      <c r="AA19" s="1808">
        <f t="shared" si="3"/>
        <v>1</v>
      </c>
      <c r="AB19" s="1808">
        <f t="shared" si="4"/>
        <v>1</v>
      </c>
      <c r="AC19" s="2671">
        <f t="shared" si="5"/>
        <v>1</v>
      </c>
    </row>
    <row r="20" spans="1:29" ht="15">
      <c r="A20" s="428"/>
      <c r="B20" s="632"/>
      <c r="C20" s="2608" t="s">
        <v>3292</v>
      </c>
      <c r="D20" s="448"/>
      <c r="E20" s="2601" t="s">
        <v>3292</v>
      </c>
      <c r="F20" s="448"/>
      <c r="G20" s="2602" t="s">
        <v>3292</v>
      </c>
      <c r="H20" s="448"/>
      <c r="I20" s="2602" t="s">
        <v>3292</v>
      </c>
      <c r="J20" s="448"/>
      <c r="K20" s="615"/>
      <c r="L20" s="1138"/>
      <c r="M20" s="1129"/>
      <c r="N20" s="1129"/>
      <c r="O20" s="1129"/>
      <c r="P20" s="3192"/>
      <c r="Q20" s="1807"/>
      <c r="R20" s="772"/>
      <c r="S20" s="773"/>
      <c r="T20" s="772"/>
      <c r="U20" s="773"/>
      <c r="V20" s="772"/>
      <c r="W20" s="773"/>
      <c r="X20" s="1810"/>
      <c r="Y20" s="3185"/>
      <c r="Z20" s="1811"/>
      <c r="AA20" s="1808">
        <v>1</v>
      </c>
      <c r="AB20" s="1808">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8"/>
      <c r="M21" s="1129"/>
      <c r="N21" s="1129"/>
      <c r="O21" s="1129"/>
      <c r="P21" s="3192"/>
      <c r="Q21" s="1807" t="str">
        <f>B21</f>
        <v>基础设施水平</v>
      </c>
      <c r="R21" s="772" t="s">
        <v>17</v>
      </c>
      <c r="S21" s="773">
        <f>F21</f>
        <v>100</v>
      </c>
      <c r="T21" s="772" t="s">
        <v>17</v>
      </c>
      <c r="U21" s="773">
        <f>H21</f>
        <v>100</v>
      </c>
      <c r="V21" s="772" t="s">
        <v>17</v>
      </c>
      <c r="W21" s="773">
        <f>J21</f>
        <v>100</v>
      </c>
      <c r="X21" s="1810"/>
      <c r="Y21" s="3185"/>
      <c r="Z21" s="1811" t="str">
        <f>Q21</f>
        <v>基础设施水平</v>
      </c>
      <c r="AA21" s="1808">
        <f t="shared" ref="AA21" si="8">D21/F21</f>
        <v>1</v>
      </c>
      <c r="AB21" s="1808">
        <f t="shared" ref="AB21" si="9">D21/H21</f>
        <v>1</v>
      </c>
      <c r="AC21" s="2671">
        <f t="shared" ref="AC21" si="10">D21/J21</f>
        <v>1</v>
      </c>
    </row>
    <row r="22" spans="1:29" ht="15">
      <c r="A22" s="428"/>
      <c r="B22" s="633"/>
      <c r="C22" s="2673" t="s">
        <v>3274</v>
      </c>
      <c r="D22" s="448"/>
      <c r="E22" s="447" t="s">
        <v>3274</v>
      </c>
      <c r="F22" s="448"/>
      <c r="G22" s="2608" t="s">
        <v>3274</v>
      </c>
      <c r="H22" s="448"/>
      <c r="I22" s="2608" t="s">
        <v>3274</v>
      </c>
      <c r="J22" s="448"/>
      <c r="K22" s="1381"/>
      <c r="L22" s="1138"/>
      <c r="M22" s="1129"/>
      <c r="N22" s="1129"/>
      <c r="O22" s="1129"/>
      <c r="P22" s="3192"/>
      <c r="Q22" s="1807"/>
      <c r="R22" s="772"/>
      <c r="S22" s="773"/>
      <c r="T22" s="772"/>
      <c r="U22" s="773"/>
      <c r="V22" s="772"/>
      <c r="W22" s="773"/>
      <c r="X22" s="1810"/>
      <c r="Y22" s="3185"/>
      <c r="Z22" s="1811"/>
      <c r="AA22" s="1808">
        <v>1</v>
      </c>
      <c r="AB22" s="1808">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98</v>
      </c>
      <c r="G23" s="452"/>
      <c r="H23" s="450">
        <f>SUMIF(85:85,G24,86:86)-SUMIF(85:85,C24,86:86)+100</f>
        <v>98</v>
      </c>
      <c r="I23" s="452"/>
      <c r="J23" s="450">
        <f>SUMIF(85:85,I24,86:86)-SUMIF(85:85,C24,86:86)+100</f>
        <v>100</v>
      </c>
      <c r="K23" s="614">
        <v>2</v>
      </c>
      <c r="L23" s="1138"/>
      <c r="M23" s="1129"/>
      <c r="N23" s="1129"/>
      <c r="O23" s="1129"/>
      <c r="P23" s="3192"/>
      <c r="Q23" s="1807" t="str">
        <f>B23</f>
        <v>环境质量</v>
      </c>
      <c r="R23" s="772" t="s">
        <v>17</v>
      </c>
      <c r="S23" s="773">
        <f>F23</f>
        <v>98</v>
      </c>
      <c r="T23" s="772" t="s">
        <v>17</v>
      </c>
      <c r="U23" s="773">
        <f>H23</f>
        <v>98</v>
      </c>
      <c r="V23" s="772" t="s">
        <v>17</v>
      </c>
      <c r="W23" s="773">
        <f>J23</f>
        <v>100</v>
      </c>
      <c r="X23" s="1810"/>
      <c r="Y23" s="3185"/>
      <c r="Z23" s="1811" t="str">
        <f>Q23</f>
        <v>环境质量</v>
      </c>
      <c r="AA23" s="1808">
        <f t="shared" si="3"/>
        <v>1.0204081632653061</v>
      </c>
      <c r="AB23" s="1808">
        <f t="shared" si="4"/>
        <v>1.0204081632653061</v>
      </c>
      <c r="AC23" s="2671">
        <f t="shared" si="5"/>
        <v>1</v>
      </c>
    </row>
    <row r="24" spans="1:29" ht="15">
      <c r="A24" s="428"/>
      <c r="B24" s="633"/>
      <c r="C24" s="2608" t="s">
        <v>3292</v>
      </c>
      <c r="D24" s="448"/>
      <c r="E24" s="2601" t="s">
        <v>3293</v>
      </c>
      <c r="F24" s="448"/>
      <c r="G24" s="2602" t="s">
        <v>3293</v>
      </c>
      <c r="H24" s="448"/>
      <c r="I24" s="2602" t="s">
        <v>3292</v>
      </c>
      <c r="J24" s="448"/>
      <c r="K24" s="615"/>
      <c r="L24" s="1138"/>
      <c r="M24" s="1129"/>
      <c r="N24" s="1129"/>
      <c r="O24" s="1129"/>
      <c r="P24" s="3192"/>
      <c r="Q24" s="1807"/>
      <c r="R24" s="772"/>
      <c r="S24" s="773"/>
      <c r="T24" s="772"/>
      <c r="U24" s="773"/>
      <c r="V24" s="772"/>
      <c r="W24" s="773"/>
      <c r="X24" s="1810"/>
      <c r="Y24" s="3185"/>
      <c r="Z24" s="1811"/>
      <c r="AA24" s="1808">
        <v>1</v>
      </c>
      <c r="AB24" s="1808">
        <v>1</v>
      </c>
      <c r="AC24" s="2671">
        <v>1</v>
      </c>
    </row>
    <row r="25" spans="1:29" ht="27">
      <c r="A25" s="404"/>
      <c r="B25" s="631" t="s">
        <v>2689</v>
      </c>
      <c r="C25" s="2612"/>
      <c r="D25" s="435">
        <v>100</v>
      </c>
      <c r="E25" s="434"/>
      <c r="F25" s="435">
        <f>SUMIF(87:87,E26,88:88)-SUMIF(87:87,C26,88:88)+100</f>
        <v>96</v>
      </c>
      <c r="G25" s="2612"/>
      <c r="H25" s="435">
        <f>SUMIF(87:87,G26,88:88)-SUMIF(87:87,C26,88:88)+100</f>
        <v>98</v>
      </c>
      <c r="I25" s="434"/>
      <c r="J25" s="435">
        <f>SUMIF(87:87,I26,88:88)-SUMIF(87:87,C26,88:88)+100</f>
        <v>100</v>
      </c>
      <c r="K25" s="614">
        <v>2</v>
      </c>
      <c r="L25" s="1138"/>
      <c r="M25" s="1129"/>
      <c r="N25" s="1129"/>
      <c r="O25" s="1129"/>
      <c r="P25" s="3192"/>
      <c r="Q25" s="1807" t="str">
        <f>B25</f>
        <v>毗邻道路的类型与等级</v>
      </c>
      <c r="R25" s="772" t="s">
        <v>17</v>
      </c>
      <c r="S25" s="773">
        <f>F25</f>
        <v>96</v>
      </c>
      <c r="T25" s="772" t="s">
        <v>17</v>
      </c>
      <c r="U25" s="773">
        <f>H25</f>
        <v>98</v>
      </c>
      <c r="V25" s="772" t="s">
        <v>17</v>
      </c>
      <c r="W25" s="773">
        <f>J25</f>
        <v>100</v>
      </c>
      <c r="X25" s="1810"/>
      <c r="Y25" s="3185"/>
      <c r="Z25" s="1811" t="str">
        <f>Q25</f>
        <v>毗邻道路的类型与等级</v>
      </c>
      <c r="AA25" s="1808">
        <f t="shared" si="3"/>
        <v>1.0416666666666667</v>
      </c>
      <c r="AB25" s="1808">
        <f t="shared" si="4"/>
        <v>1.0204081632653061</v>
      </c>
      <c r="AC25" s="2671">
        <f t="shared" si="5"/>
        <v>1</v>
      </c>
    </row>
    <row r="26" spans="1:29" ht="15">
      <c r="A26" s="404"/>
      <c r="B26" s="632"/>
      <c r="C26" s="634" t="s">
        <v>3295</v>
      </c>
      <c r="D26" s="435"/>
      <c r="E26" s="616" t="s">
        <v>3296</v>
      </c>
      <c r="F26" s="435"/>
      <c r="G26" s="634" t="s">
        <v>3297</v>
      </c>
      <c r="H26" s="435"/>
      <c r="I26" s="616" t="s">
        <v>3295</v>
      </c>
      <c r="J26" s="435"/>
      <c r="K26" s="615"/>
      <c r="L26" s="1138"/>
      <c r="M26" s="1129"/>
      <c r="N26" s="1129"/>
      <c r="O26" s="1129"/>
      <c r="P26" s="3192"/>
      <c r="Q26" s="1807"/>
      <c r="R26" s="772"/>
      <c r="S26" s="773"/>
      <c r="T26" s="772"/>
      <c r="U26" s="773"/>
      <c r="V26" s="772"/>
      <c r="W26" s="773"/>
      <c r="X26" s="1810"/>
      <c r="Y26" s="3185"/>
      <c r="Z26" s="1811"/>
      <c r="AA26" s="1808">
        <v>1</v>
      </c>
      <c r="AB26" s="1808">
        <v>1</v>
      </c>
      <c r="AC26" s="2671">
        <v>1</v>
      </c>
    </row>
    <row r="27" spans="1:29" ht="15">
      <c r="A27" s="428"/>
      <c r="B27" s="632" t="s">
        <v>2657</v>
      </c>
      <c r="C27" s="634" t="s">
        <v>3300</v>
      </c>
      <c r="D27" s="435">
        <v>100</v>
      </c>
      <c r="E27" s="616" t="s">
        <v>3300</v>
      </c>
      <c r="F27" s="435">
        <f>SUMIF(89:89,E27,90:90)-SUMIF(89:89,C27,90:90)+100</f>
        <v>100</v>
      </c>
      <c r="G27" s="634" t="s">
        <v>3300</v>
      </c>
      <c r="H27" s="435">
        <f>SUMIF(89:89,G27,90:90)-SUMIF(89:89,C27,90:90)+100</f>
        <v>100</v>
      </c>
      <c r="I27" s="616" t="s">
        <v>3300</v>
      </c>
      <c r="J27" s="435">
        <f>SUMIF(89:89,I27,90:90)-SUMIF(89:89,C27,90:90)+100</f>
        <v>100</v>
      </c>
      <c r="K27" s="612">
        <v>2</v>
      </c>
      <c r="L27" s="1138"/>
      <c r="M27" s="1129"/>
      <c r="N27" s="1129"/>
      <c r="O27" s="1129"/>
      <c r="P27" s="3192"/>
      <c r="Q27" s="1807" t="str">
        <f t="shared" ref="Q27:Q47" si="11">B27</f>
        <v>楼层</v>
      </c>
      <c r="R27" s="772" t="s">
        <v>17</v>
      </c>
      <c r="S27" s="773">
        <f>F27</f>
        <v>100</v>
      </c>
      <c r="T27" s="772" t="s">
        <v>17</v>
      </c>
      <c r="U27" s="773">
        <f>H27</f>
        <v>100</v>
      </c>
      <c r="V27" s="772" t="s">
        <v>17</v>
      </c>
      <c r="W27" s="773">
        <f>J27</f>
        <v>100</v>
      </c>
      <c r="X27" s="1810"/>
      <c r="Y27" s="3185"/>
      <c r="Z27" s="1811" t="str">
        <f>Q27</f>
        <v>楼层</v>
      </c>
      <c r="AA27" s="1808">
        <f t="shared" si="3"/>
        <v>1</v>
      </c>
      <c r="AB27" s="1808">
        <f t="shared" si="4"/>
        <v>1</v>
      </c>
      <c r="AC27" s="2671">
        <f t="shared" si="5"/>
        <v>1</v>
      </c>
    </row>
    <row r="28" spans="1:29" s="117" customFormat="1" ht="15">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0"/>
      <c r="M28" s="1131"/>
      <c r="N28" s="1131"/>
      <c r="O28" s="1131"/>
      <c r="P28" s="3192"/>
      <c r="Q28" s="1792" t="str">
        <f t="shared" si="11"/>
        <v>朝向</v>
      </c>
      <c r="R28" s="768" t="s">
        <v>17</v>
      </c>
      <c r="S28" s="769">
        <f>F28</f>
        <v>100</v>
      </c>
      <c r="T28" s="768" t="s">
        <v>17</v>
      </c>
      <c r="U28" s="769">
        <f>H28</f>
        <v>100</v>
      </c>
      <c r="V28" s="768" t="s">
        <v>17</v>
      </c>
      <c r="W28" s="769">
        <f>J28</f>
        <v>100</v>
      </c>
      <c r="X28" s="770"/>
      <c r="Y28" s="3185"/>
      <c r="Z28" s="55" t="str">
        <f>Q28</f>
        <v>朝向</v>
      </c>
      <c r="AA28" s="1808">
        <f>D28/F28</f>
        <v>1</v>
      </c>
      <c r="AB28" s="1808">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8"/>
      <c r="M29" s="1129"/>
      <c r="N29" s="1129"/>
      <c r="O29" s="1129"/>
      <c r="P29" s="3192"/>
      <c r="Q29" s="1807">
        <f t="shared" si="11"/>
        <v>111</v>
      </c>
      <c r="R29" s="772" t="s">
        <v>17</v>
      </c>
      <c r="S29" s="773">
        <f t="shared" ref="S29:S47" si="12">F29</f>
        <v>100</v>
      </c>
      <c r="T29" s="772" t="s">
        <v>17</v>
      </c>
      <c r="U29" s="773">
        <f t="shared" ref="U29:U47" si="13">H29</f>
        <v>100</v>
      </c>
      <c r="V29" s="772" t="s">
        <v>17</v>
      </c>
      <c r="W29" s="773">
        <f t="shared" ref="W29:W47" si="14">J29</f>
        <v>100</v>
      </c>
      <c r="X29" s="1810"/>
      <c r="Y29" s="3185"/>
      <c r="Z29" s="1811">
        <f t="shared" ref="Z29:Z47" si="15">Q29</f>
        <v>111</v>
      </c>
      <c r="AA29" s="1808">
        <f t="shared" si="3"/>
        <v>1</v>
      </c>
      <c r="AB29" s="1808">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8"/>
      <c r="M30" s="1129"/>
      <c r="N30" s="1129"/>
      <c r="O30" s="1129"/>
      <c r="P30" s="3192"/>
      <c r="Q30" s="1807">
        <f t="shared" si="11"/>
        <v>111</v>
      </c>
      <c r="R30" s="772" t="s">
        <v>17</v>
      </c>
      <c r="S30" s="773">
        <f t="shared" si="12"/>
        <v>100</v>
      </c>
      <c r="T30" s="772" t="s">
        <v>17</v>
      </c>
      <c r="U30" s="773">
        <f t="shared" si="13"/>
        <v>100</v>
      </c>
      <c r="V30" s="772" t="s">
        <v>17</v>
      </c>
      <c r="W30" s="773">
        <f t="shared" si="14"/>
        <v>100</v>
      </c>
      <c r="X30" s="1810"/>
      <c r="Y30" s="3185"/>
      <c r="Z30" s="1811">
        <f t="shared" si="15"/>
        <v>111</v>
      </c>
      <c r="AA30" s="1808">
        <f t="shared" si="3"/>
        <v>1</v>
      </c>
      <c r="AB30" s="1808">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8"/>
      <c r="M31" s="1129"/>
      <c r="N31" s="1129"/>
      <c r="O31" s="1129"/>
      <c r="P31" s="3192"/>
      <c r="Q31" s="1807">
        <f t="shared" si="11"/>
        <v>111</v>
      </c>
      <c r="R31" s="772" t="s">
        <v>17</v>
      </c>
      <c r="S31" s="773">
        <f t="shared" si="12"/>
        <v>100</v>
      </c>
      <c r="T31" s="772" t="s">
        <v>17</v>
      </c>
      <c r="U31" s="773">
        <f t="shared" si="13"/>
        <v>100</v>
      </c>
      <c r="V31" s="772" t="s">
        <v>17</v>
      </c>
      <c r="W31" s="773">
        <f t="shared" si="14"/>
        <v>100</v>
      </c>
      <c r="X31" s="1810"/>
      <c r="Y31" s="3185"/>
      <c r="Z31" s="1811">
        <f t="shared" si="15"/>
        <v>111</v>
      </c>
      <c r="AA31" s="1808">
        <f t="shared" si="3"/>
        <v>1</v>
      </c>
      <c r="AB31" s="1808">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8"/>
      <c r="M32" s="1129"/>
      <c r="N32" s="1129"/>
      <c r="O32" s="1129"/>
      <c r="P32" s="3192"/>
      <c r="Q32" s="1807">
        <f t="shared" si="11"/>
        <v>111</v>
      </c>
      <c r="R32" s="772" t="s">
        <v>17</v>
      </c>
      <c r="S32" s="773">
        <f t="shared" si="12"/>
        <v>100</v>
      </c>
      <c r="T32" s="772" t="s">
        <v>17</v>
      </c>
      <c r="U32" s="773">
        <f t="shared" si="13"/>
        <v>100</v>
      </c>
      <c r="V32" s="772" t="s">
        <v>17</v>
      </c>
      <c r="W32" s="773">
        <f t="shared" si="14"/>
        <v>100</v>
      </c>
      <c r="X32" s="1810"/>
      <c r="Y32" s="3185"/>
      <c r="Z32" s="1811">
        <f t="shared" si="15"/>
        <v>111</v>
      </c>
      <c r="AA32" s="1808">
        <f t="shared" si="3"/>
        <v>1</v>
      </c>
      <c r="AB32" s="1808">
        <f t="shared" si="4"/>
        <v>1</v>
      </c>
      <c r="AC32" s="2671">
        <f t="shared" si="5"/>
        <v>1</v>
      </c>
    </row>
    <row r="33" spans="1:29" ht="15">
      <c r="A33" s="440" t="s">
        <v>2561</v>
      </c>
      <c r="B33" s="71" t="s">
        <v>2691</v>
      </c>
      <c r="C33" s="2676" t="s">
        <v>3304</v>
      </c>
      <c r="D33" s="467">
        <v>100</v>
      </c>
      <c r="E33" s="2676" t="s">
        <v>3304</v>
      </c>
      <c r="F33" s="461">
        <f>SUMIF(101:101,E33,102:102)-SUMIF(101:101,C33,102:102)+100</f>
        <v>100</v>
      </c>
      <c r="G33" s="2676" t="s">
        <v>3304</v>
      </c>
      <c r="H33" s="435">
        <f>SUMIF(101:101,G33,102:102)-SUMIF(101:101,C33,102:102)+100</f>
        <v>100</v>
      </c>
      <c r="I33" s="2676" t="s">
        <v>3304</v>
      </c>
      <c r="J33" s="467">
        <f>SUMIF(101:101,I33,102:102)-SUMIF(101:101,C33,102:102)+100</f>
        <v>100</v>
      </c>
      <c r="K33" s="612">
        <v>2</v>
      </c>
      <c r="L33" s="1138"/>
      <c r="M33" s="1129"/>
      <c r="N33" s="1129"/>
      <c r="O33" s="1129"/>
      <c r="P33" s="3186" t="s">
        <v>2563</v>
      </c>
      <c r="Q33" s="1807" t="str">
        <f t="shared" si="11"/>
        <v>建筑类型</v>
      </c>
      <c r="R33" s="772" t="s">
        <v>17</v>
      </c>
      <c r="S33" s="773">
        <f t="shared" si="12"/>
        <v>100</v>
      </c>
      <c r="T33" s="772" t="s">
        <v>17</v>
      </c>
      <c r="U33" s="773">
        <f t="shared" si="13"/>
        <v>100</v>
      </c>
      <c r="V33" s="772" t="s">
        <v>17</v>
      </c>
      <c r="W33" s="773">
        <f t="shared" si="14"/>
        <v>100</v>
      </c>
      <c r="X33" s="1810"/>
      <c r="Y33" s="3189" t="s">
        <v>2563</v>
      </c>
      <c r="Z33" s="1811" t="str">
        <f t="shared" si="15"/>
        <v>建筑类型</v>
      </c>
      <c r="AA33" s="1808">
        <f t="shared" si="3"/>
        <v>1</v>
      </c>
      <c r="AB33" s="1808">
        <f t="shared" si="4"/>
        <v>1</v>
      </c>
      <c r="AC33" s="2671">
        <f t="shared" si="5"/>
        <v>1</v>
      </c>
    </row>
    <row r="34" spans="1:29" s="471" customFormat="1" ht="15">
      <c r="A34" s="468"/>
      <c r="B34" s="422" t="s">
        <v>2564</v>
      </c>
      <c r="C34" s="469">
        <f>'数据-基础表'!B3</f>
        <v>380</v>
      </c>
      <c r="D34" s="136">
        <v>100</v>
      </c>
      <c r="E34" s="430">
        <v>846</v>
      </c>
      <c r="F34" s="425">
        <f>LOOKUP(E34,104:104,105:105)-LOOKUP(C34,104:104,105:105)+100</f>
        <v>97</v>
      </c>
      <c r="G34" s="429">
        <v>145</v>
      </c>
      <c r="H34" s="136">
        <f>LOOKUP(G34,104:104,105:105)-LOOKUP(C34,104:104,105:105)+100</f>
        <v>98</v>
      </c>
      <c r="I34" s="429">
        <v>1960</v>
      </c>
      <c r="J34" s="136">
        <f>LOOKUP(I34,104:104,105:105)-LOOKUP(C34,104:104,105:105)+100</f>
        <v>95</v>
      </c>
      <c r="K34" s="613"/>
      <c r="L34" s="1136"/>
      <c r="M34" s="1139"/>
      <c r="N34" s="1139"/>
      <c r="O34" s="1139"/>
      <c r="P34" s="3187"/>
      <c r="Q34" s="774" t="str">
        <f t="shared" si="11"/>
        <v>项目建筑规模</v>
      </c>
      <c r="R34" s="775" t="s">
        <v>17</v>
      </c>
      <c r="S34" s="776">
        <f t="shared" si="12"/>
        <v>97</v>
      </c>
      <c r="T34" s="775" t="s">
        <v>17</v>
      </c>
      <c r="U34" s="776">
        <f t="shared" si="13"/>
        <v>98</v>
      </c>
      <c r="V34" s="775" t="s">
        <v>17</v>
      </c>
      <c r="W34" s="776">
        <f t="shared" si="14"/>
        <v>95</v>
      </c>
      <c r="X34" s="777"/>
      <c r="Y34" s="3189"/>
      <c r="Z34" s="778" t="str">
        <f t="shared" si="15"/>
        <v>项目建筑规模</v>
      </c>
      <c r="AA34" s="1808">
        <f t="shared" si="3"/>
        <v>1.0309278350515463</v>
      </c>
      <c r="AB34" s="1808">
        <f t="shared" si="4"/>
        <v>1.0204081632653061</v>
      </c>
      <c r="AC34" s="2671">
        <f t="shared" si="5"/>
        <v>1.0526315789473684</v>
      </c>
    </row>
    <row r="35" spans="1:29" ht="15">
      <c r="A35" s="472"/>
      <c r="B35" s="422" t="s">
        <v>2565</v>
      </c>
      <c r="C35" s="460" t="s">
        <v>3257</v>
      </c>
      <c r="D35" s="435">
        <v>100</v>
      </c>
      <c r="E35" s="460" t="s">
        <v>3257</v>
      </c>
      <c r="F35" s="461">
        <f>SUMIF(106:106,E35,107:107)-SUMIF(106:106,C35,107:107)+100</f>
        <v>100</v>
      </c>
      <c r="G35" s="460" t="s">
        <v>3257</v>
      </c>
      <c r="H35" s="435">
        <f>SUMIF(106:106,G35,107:107)-SUMIF(106:106,C35,107:107)+100</f>
        <v>100</v>
      </c>
      <c r="I35" s="460" t="s">
        <v>3257</v>
      </c>
      <c r="J35" s="435">
        <f>SUMIF(106:106,I35,107:107)-SUMIF(106:106,C35,107:107)+100</f>
        <v>100</v>
      </c>
      <c r="K35" s="612">
        <v>2</v>
      </c>
      <c r="L35" s="1138"/>
      <c r="M35" s="1129"/>
      <c r="N35" s="1129"/>
      <c r="O35" s="1129"/>
      <c r="P35" s="3187"/>
      <c r="Q35" s="1807" t="str">
        <f t="shared" si="11"/>
        <v>建筑结构</v>
      </c>
      <c r="R35" s="772" t="s">
        <v>17</v>
      </c>
      <c r="S35" s="773">
        <f t="shared" si="12"/>
        <v>100</v>
      </c>
      <c r="T35" s="772" t="s">
        <v>17</v>
      </c>
      <c r="U35" s="773">
        <f t="shared" si="13"/>
        <v>100</v>
      </c>
      <c r="V35" s="772" t="s">
        <v>17</v>
      </c>
      <c r="W35" s="773">
        <f t="shared" si="14"/>
        <v>100</v>
      </c>
      <c r="X35" s="1810"/>
      <c r="Y35" s="3189"/>
      <c r="Z35" s="1811" t="str">
        <f t="shared" si="15"/>
        <v>建筑结构</v>
      </c>
      <c r="AA35" s="1808">
        <f t="shared" si="3"/>
        <v>1</v>
      </c>
      <c r="AB35" s="1808">
        <f t="shared" si="4"/>
        <v>1</v>
      </c>
      <c r="AC35" s="2671">
        <f t="shared" si="5"/>
        <v>1</v>
      </c>
    </row>
    <row r="36" spans="1:29" ht="15">
      <c r="A36" s="472"/>
      <c r="B36" s="422" t="s">
        <v>2659</v>
      </c>
      <c r="C36" s="460" t="s">
        <v>3259</v>
      </c>
      <c r="D36" s="435">
        <v>100</v>
      </c>
      <c r="E36" s="460" t="s">
        <v>3259</v>
      </c>
      <c r="F36" s="461">
        <f>SUMIF(108:108,E36,109:109)-SUMIF(108:108,C36,109:109)+100</f>
        <v>100</v>
      </c>
      <c r="G36" s="460" t="s">
        <v>3259</v>
      </c>
      <c r="H36" s="435">
        <f>SUMIF(108:108,G36,109:109)-SUMIF(108:108,C36,109:109)+100</f>
        <v>100</v>
      </c>
      <c r="I36" s="460" t="s">
        <v>3259</v>
      </c>
      <c r="J36" s="435">
        <f>SUMIF(108:108,I36,109:109)-SUMIF(108:108,C36,109:109)+100</f>
        <v>100</v>
      </c>
      <c r="K36" s="612">
        <v>2</v>
      </c>
      <c r="L36" s="1138"/>
      <c r="M36" s="1129"/>
      <c r="N36" s="1129"/>
      <c r="O36" s="1129"/>
      <c r="P36" s="3187"/>
      <c r="Q36" s="1807" t="str">
        <f t="shared" si="11"/>
        <v>公共部分装修</v>
      </c>
      <c r="R36" s="772" t="s">
        <v>17</v>
      </c>
      <c r="S36" s="773">
        <f t="shared" si="12"/>
        <v>100</v>
      </c>
      <c r="T36" s="772" t="s">
        <v>17</v>
      </c>
      <c r="U36" s="773">
        <f t="shared" si="13"/>
        <v>100</v>
      </c>
      <c r="V36" s="772" t="s">
        <v>17</v>
      </c>
      <c r="W36" s="773">
        <f t="shared" si="14"/>
        <v>100</v>
      </c>
      <c r="X36" s="1810"/>
      <c r="Y36" s="3189"/>
      <c r="Z36" s="1811" t="str">
        <f t="shared" si="15"/>
        <v>公共部分装修</v>
      </c>
      <c r="AA36" s="1808">
        <f t="shared" si="3"/>
        <v>1</v>
      </c>
      <c r="AB36" s="1808">
        <f t="shared" si="4"/>
        <v>1</v>
      </c>
      <c r="AC36" s="2671">
        <f t="shared" si="5"/>
        <v>1</v>
      </c>
    </row>
    <row r="37" spans="1:29" ht="15">
      <c r="A37" s="472"/>
      <c r="B37" s="422" t="s">
        <v>2660</v>
      </c>
      <c r="C37" s="474">
        <f>'数据-取费表'!N6</f>
        <v>0.97</v>
      </c>
      <c r="D37" s="435">
        <v>100</v>
      </c>
      <c r="E37" s="474">
        <v>0.98</v>
      </c>
      <c r="F37" s="461">
        <f>LOOKUP(E37,111:111,112:112)-LOOKUP(C37,111:111,112:112)+100</f>
        <v>100</v>
      </c>
      <c r="G37" s="474">
        <v>0.98</v>
      </c>
      <c r="H37" s="461">
        <f>LOOKUP(G37,111:111,112:112)-LOOKUP(C37,111:111,112:112)+100</f>
        <v>100</v>
      </c>
      <c r="I37" s="474">
        <v>0.82</v>
      </c>
      <c r="J37" s="435">
        <f>LOOKUP(I37,111:111,112:112)-LOOKUP(C37,111:111,112:112)+100</f>
        <v>98</v>
      </c>
      <c r="K37" s="612">
        <v>2</v>
      </c>
      <c r="L37" s="1138"/>
      <c r="M37" s="1129"/>
      <c r="N37" s="1129"/>
      <c r="O37" s="1129"/>
      <c r="P37" s="3187"/>
      <c r="Q37" s="1807" t="str">
        <f t="shared" si="11"/>
        <v>成新度</v>
      </c>
      <c r="R37" s="772" t="s">
        <v>17</v>
      </c>
      <c r="S37" s="773">
        <f t="shared" si="12"/>
        <v>100</v>
      </c>
      <c r="T37" s="772" t="s">
        <v>17</v>
      </c>
      <c r="U37" s="773">
        <f t="shared" si="13"/>
        <v>100</v>
      </c>
      <c r="V37" s="772" t="s">
        <v>17</v>
      </c>
      <c r="W37" s="773">
        <f t="shared" si="14"/>
        <v>98</v>
      </c>
      <c r="X37" s="1810"/>
      <c r="Y37" s="3189"/>
      <c r="Z37" s="1811" t="str">
        <f t="shared" si="15"/>
        <v>成新度</v>
      </c>
      <c r="AA37" s="1808">
        <f t="shared" si="3"/>
        <v>1</v>
      </c>
      <c r="AB37" s="1808">
        <f t="shared" si="4"/>
        <v>1</v>
      </c>
      <c r="AC37" s="2671">
        <f t="shared" si="5"/>
        <v>1.0204081632653061</v>
      </c>
    </row>
    <row r="38" spans="1:29" s="117" customFormat="1" ht="15">
      <c r="A38" s="473"/>
      <c r="B38" s="422" t="s">
        <v>2692</v>
      </c>
      <c r="C38" s="460" t="s">
        <v>3261</v>
      </c>
      <c r="D38" s="136">
        <v>100</v>
      </c>
      <c r="E38" s="460" t="s">
        <v>3261</v>
      </c>
      <c r="F38" s="461">
        <f>SUMIF(113:113,E38,114:114)-SUMIF(113:113,C38,114:114)+100</f>
        <v>100</v>
      </c>
      <c r="G38" s="460" t="s">
        <v>3261</v>
      </c>
      <c r="H38" s="435">
        <f>SUMIF(113:113,G38,114:114)-SUMIF(113:113,C38,114:114)+100</f>
        <v>100</v>
      </c>
      <c r="I38" s="460" t="s">
        <v>3261</v>
      </c>
      <c r="J38" s="435">
        <f>SUMIF(113:113,I38,114:114)-SUMIF(113:113,C38,114:114)+100</f>
        <v>100</v>
      </c>
      <c r="K38" s="612">
        <v>2</v>
      </c>
      <c r="L38" s="1130"/>
      <c r="M38" s="1131"/>
      <c r="N38" s="1131"/>
      <c r="O38" s="1131"/>
      <c r="P38" s="3187"/>
      <c r="Q38" s="1792" t="str">
        <f t="shared" si="11"/>
        <v>写字楼等级</v>
      </c>
      <c r="R38" s="768" t="s">
        <v>17</v>
      </c>
      <c r="S38" s="769">
        <f t="shared" si="12"/>
        <v>100</v>
      </c>
      <c r="T38" s="768" t="s">
        <v>17</v>
      </c>
      <c r="U38" s="769">
        <f t="shared" si="13"/>
        <v>100</v>
      </c>
      <c r="V38" s="768" t="s">
        <v>17</v>
      </c>
      <c r="W38" s="769">
        <f t="shared" si="14"/>
        <v>100</v>
      </c>
      <c r="X38" s="770"/>
      <c r="Y38" s="3189"/>
      <c r="Z38" s="55" t="str">
        <f t="shared" si="15"/>
        <v>写字楼等级</v>
      </c>
      <c r="AA38" s="771">
        <f t="shared" si="3"/>
        <v>1</v>
      </c>
      <c r="AB38" s="771">
        <f t="shared" si="4"/>
        <v>1</v>
      </c>
      <c r="AC38" s="2668">
        <f t="shared" si="5"/>
        <v>1</v>
      </c>
    </row>
    <row r="39" spans="1:29" ht="15">
      <c r="A39" s="472"/>
      <c r="B39" s="422" t="s">
        <v>2693</v>
      </c>
      <c r="C39" s="460" t="s">
        <v>3271</v>
      </c>
      <c r="D39" s="435">
        <v>100</v>
      </c>
      <c r="E39" s="460" t="s">
        <v>3271</v>
      </c>
      <c r="F39" s="461">
        <f>SUMIF(115:115,E39,116:116)-SUMIF(115:115,C39,116:116)+100</f>
        <v>100</v>
      </c>
      <c r="G39" s="460" t="s">
        <v>3271</v>
      </c>
      <c r="H39" s="435">
        <f>SUMIF(115:115,G39,116:116)-SUMIF(115:115,C39,116:116)+100</f>
        <v>100</v>
      </c>
      <c r="I39" s="460" t="s">
        <v>3271</v>
      </c>
      <c r="J39" s="435">
        <f>SUMIF(115:115,I39,116:116)-SUMIF(115:115,C39,116:116)+100</f>
        <v>100</v>
      </c>
      <c r="K39" s="612">
        <v>2</v>
      </c>
      <c r="L39" s="1138"/>
      <c r="M39" s="1129"/>
      <c r="N39" s="1129"/>
      <c r="O39" s="1129"/>
      <c r="P39" s="3187" t="s">
        <v>2563</v>
      </c>
      <c r="Q39" s="1807" t="str">
        <f t="shared" si="11"/>
        <v>物业管理</v>
      </c>
      <c r="R39" s="772" t="s">
        <v>17</v>
      </c>
      <c r="S39" s="773">
        <f t="shared" si="12"/>
        <v>100</v>
      </c>
      <c r="T39" s="772" t="s">
        <v>17</v>
      </c>
      <c r="U39" s="773">
        <f t="shared" si="13"/>
        <v>100</v>
      </c>
      <c r="V39" s="772" t="s">
        <v>17</v>
      </c>
      <c r="W39" s="773">
        <f t="shared" si="14"/>
        <v>100</v>
      </c>
      <c r="X39" s="1810"/>
      <c r="Y39" s="3189" t="s">
        <v>2563</v>
      </c>
      <c r="Z39" s="1811" t="str">
        <f t="shared" si="15"/>
        <v>物业管理</v>
      </c>
      <c r="AA39" s="1808">
        <f t="shared" si="3"/>
        <v>1</v>
      </c>
      <c r="AB39" s="1808">
        <f t="shared" si="4"/>
        <v>1</v>
      </c>
      <c r="AC39" s="2671">
        <f t="shared" si="5"/>
        <v>1</v>
      </c>
    </row>
    <row r="40" spans="1:29" ht="15">
      <c r="A40" s="472"/>
      <c r="B40" s="422" t="s">
        <v>2661</v>
      </c>
      <c r="C40" s="460" t="s">
        <v>3277</v>
      </c>
      <c r="D40" s="435">
        <v>100</v>
      </c>
      <c r="E40" s="460" t="s">
        <v>3277</v>
      </c>
      <c r="F40" s="461">
        <f>SUMIF(117:117,E40,118:118)-SUMIF(117:117,C40,118:118)+100</f>
        <v>100</v>
      </c>
      <c r="G40" s="460" t="s">
        <v>3277</v>
      </c>
      <c r="H40" s="435">
        <f>SUMIF(117:117,G40,118:118)-SUMIF(117:117,C40,118:118)+100</f>
        <v>100</v>
      </c>
      <c r="I40" s="460" t="s">
        <v>3277</v>
      </c>
      <c r="J40" s="435">
        <f>SUMIF(117:117,I40,118:118)-SUMIF(117:117,C40,118:118)+100</f>
        <v>100</v>
      </c>
      <c r="K40" s="612">
        <v>2</v>
      </c>
      <c r="L40" s="1138"/>
      <c r="M40" s="1129"/>
      <c r="N40" s="1129"/>
      <c r="O40" s="1129"/>
      <c r="P40" s="3187"/>
      <c r="Q40" s="1807" t="str">
        <f t="shared" si="11"/>
        <v>市政基础设施</v>
      </c>
      <c r="R40" s="772" t="s">
        <v>17</v>
      </c>
      <c r="S40" s="773">
        <f t="shared" si="12"/>
        <v>100</v>
      </c>
      <c r="T40" s="772" t="s">
        <v>17</v>
      </c>
      <c r="U40" s="773">
        <f t="shared" si="13"/>
        <v>100</v>
      </c>
      <c r="V40" s="772" t="s">
        <v>17</v>
      </c>
      <c r="W40" s="773">
        <f t="shared" si="14"/>
        <v>100</v>
      </c>
      <c r="X40" s="1810"/>
      <c r="Y40" s="3189"/>
      <c r="Z40" s="1811" t="str">
        <f t="shared" si="15"/>
        <v>市政基础设施</v>
      </c>
      <c r="AA40" s="1808">
        <f t="shared" si="3"/>
        <v>1</v>
      </c>
      <c r="AB40" s="1808">
        <f t="shared" si="4"/>
        <v>1</v>
      </c>
      <c r="AC40" s="2671">
        <f t="shared" si="5"/>
        <v>1</v>
      </c>
    </row>
    <row r="41" spans="1:29" ht="15">
      <c r="A41" s="472"/>
      <c r="B41" s="422" t="s">
        <v>2663</v>
      </c>
      <c r="C41" s="616" t="s">
        <v>3282</v>
      </c>
      <c r="D41" s="435">
        <v>100</v>
      </c>
      <c r="E41" s="616" t="s">
        <v>3282</v>
      </c>
      <c r="F41" s="461">
        <f>SUMIF(119:119,E41,120:120)-SUMIF(119:119,C41,120:120)+100</f>
        <v>100</v>
      </c>
      <c r="G41" s="616" t="s">
        <v>3282</v>
      </c>
      <c r="H41" s="435">
        <f>SUMIF(119:119,G41,120:120)-SUMIF(119:119,C41,120:120)+100</f>
        <v>100</v>
      </c>
      <c r="I41" s="616" t="s">
        <v>3282</v>
      </c>
      <c r="J41" s="435">
        <f>SUMIF(119:119,I41,120:120)-SUMIF(119:119,C41,120:120)+100</f>
        <v>100</v>
      </c>
      <c r="K41" s="612">
        <v>2</v>
      </c>
      <c r="L41" s="1138"/>
      <c r="M41" s="1129"/>
      <c r="N41" s="1129"/>
      <c r="O41" s="1129"/>
      <c r="P41" s="3187"/>
      <c r="Q41" s="1807" t="str">
        <f t="shared" si="11"/>
        <v>层高</v>
      </c>
      <c r="R41" s="772" t="s">
        <v>17</v>
      </c>
      <c r="S41" s="773">
        <f t="shared" si="12"/>
        <v>100</v>
      </c>
      <c r="T41" s="772" t="s">
        <v>17</v>
      </c>
      <c r="U41" s="773">
        <f t="shared" si="13"/>
        <v>100</v>
      </c>
      <c r="V41" s="772" t="s">
        <v>17</v>
      </c>
      <c r="W41" s="773">
        <f t="shared" si="14"/>
        <v>100</v>
      </c>
      <c r="X41" s="1810"/>
      <c r="Y41" s="3189"/>
      <c r="Z41" s="1811" t="str">
        <f t="shared" si="15"/>
        <v>层高</v>
      </c>
      <c r="AA41" s="1808">
        <f t="shared" si="3"/>
        <v>1</v>
      </c>
      <c r="AB41" s="1808">
        <f t="shared" si="4"/>
        <v>1</v>
      </c>
      <c r="AC41" s="2671">
        <f t="shared" si="5"/>
        <v>1</v>
      </c>
    </row>
    <row r="42" spans="1:29" s="471" customFormat="1" ht="15">
      <c r="A42" s="468"/>
      <c r="B42" s="1809"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87"/>
      <c r="Q42" s="774" t="str">
        <f t="shared" si="11"/>
        <v>单套建筑面积</v>
      </c>
      <c r="R42" s="775" t="s">
        <v>17</v>
      </c>
      <c r="S42" s="776">
        <f t="shared" si="12"/>
        <v>100</v>
      </c>
      <c r="T42" s="775" t="s">
        <v>17</v>
      </c>
      <c r="U42" s="776">
        <f t="shared" si="13"/>
        <v>100</v>
      </c>
      <c r="V42" s="775" t="s">
        <v>17</v>
      </c>
      <c r="W42" s="776">
        <f t="shared" si="14"/>
        <v>100</v>
      </c>
      <c r="X42" s="777"/>
      <c r="Y42" s="3189"/>
      <c r="Z42" s="778" t="str">
        <f t="shared" si="15"/>
        <v>单套建筑面积</v>
      </c>
      <c r="AA42" s="1808">
        <f t="shared" si="3"/>
        <v>1</v>
      </c>
      <c r="AB42" s="1808">
        <f t="shared" si="4"/>
        <v>1</v>
      </c>
      <c r="AC42" s="2671">
        <f t="shared" si="5"/>
        <v>1</v>
      </c>
    </row>
    <row r="43" spans="1:29" ht="15">
      <c r="A43" s="472"/>
      <c r="B43" s="422" t="s">
        <v>2666</v>
      </c>
      <c r="C43" s="460" t="s">
        <v>3268</v>
      </c>
      <c r="D43" s="435">
        <v>100</v>
      </c>
      <c r="E43" s="460" t="s">
        <v>3265</v>
      </c>
      <c r="F43" s="461">
        <f>SUMIF(123:123,E43,124:124)-SUMIF(123:123,C43,124:124)+100</f>
        <v>104</v>
      </c>
      <c r="G43" s="460" t="s">
        <v>3265</v>
      </c>
      <c r="H43" s="435">
        <f>SUMIF(123:123,G43,124:124)-SUMIF(123:123,C43,124:124)+100</f>
        <v>104</v>
      </c>
      <c r="I43" s="460" t="s">
        <v>3265</v>
      </c>
      <c r="J43" s="435">
        <f>SUMIF(123:123,I43,124:124)-SUMIF(123:123,C43,124:124)+100</f>
        <v>104</v>
      </c>
      <c r="K43" s="612">
        <v>2</v>
      </c>
      <c r="L43" s="1138"/>
      <c r="M43" s="1129"/>
      <c r="N43" s="1129"/>
      <c r="O43" s="1129"/>
      <c r="P43" s="3187"/>
      <c r="Q43" s="1807" t="str">
        <f t="shared" si="11"/>
        <v>内部装修</v>
      </c>
      <c r="R43" s="772" t="s">
        <v>17</v>
      </c>
      <c r="S43" s="773">
        <f t="shared" si="12"/>
        <v>104</v>
      </c>
      <c r="T43" s="772" t="s">
        <v>17</v>
      </c>
      <c r="U43" s="773">
        <f t="shared" si="13"/>
        <v>104</v>
      </c>
      <c r="V43" s="772" t="s">
        <v>17</v>
      </c>
      <c r="W43" s="773">
        <f t="shared" si="14"/>
        <v>104</v>
      </c>
      <c r="X43" s="1810"/>
      <c r="Y43" s="3189"/>
      <c r="Z43" s="1811" t="str">
        <f t="shared" si="15"/>
        <v>内部装修</v>
      </c>
      <c r="AA43" s="1808">
        <f t="shared" si="3"/>
        <v>0.96153846153846156</v>
      </c>
      <c r="AB43" s="1808">
        <f t="shared" si="4"/>
        <v>0.96153846153846156</v>
      </c>
      <c r="AC43" s="2671">
        <f t="shared" si="5"/>
        <v>0.96153846153846156</v>
      </c>
    </row>
    <row r="44" spans="1:29" ht="15">
      <c r="A44" s="472"/>
      <c r="B44" s="422" t="s">
        <v>2574</v>
      </c>
      <c r="C44" s="460" t="s">
        <v>3292</v>
      </c>
      <c r="D44" s="435">
        <v>100</v>
      </c>
      <c r="E44" s="2610" t="s">
        <v>3292</v>
      </c>
      <c r="F44" s="461">
        <f>SUMIF(125:125,E44,126:126)-SUMIF(125:125,C44,126:126)+100</f>
        <v>100</v>
      </c>
      <c r="G44" s="2610" t="s">
        <v>3292</v>
      </c>
      <c r="H44" s="435">
        <f>SUMIF(125:125,G44,126:126)-SUMIF(125:125,C44,126:126)+100</f>
        <v>100</v>
      </c>
      <c r="I44" s="2610" t="s">
        <v>3292</v>
      </c>
      <c r="J44" s="435">
        <f>SUMIF(125:125,I44,126:126)-SUMIF(125:125,C44,126:126)+100</f>
        <v>100</v>
      </c>
      <c r="K44" s="612">
        <v>2</v>
      </c>
      <c r="L44" s="1138"/>
      <c r="M44" s="1129"/>
      <c r="N44" s="1129"/>
      <c r="O44" s="1129"/>
      <c r="P44" s="3187"/>
      <c r="Q44" s="1807" t="str">
        <f t="shared" si="11"/>
        <v>内部装修维护情况</v>
      </c>
      <c r="R44" s="772" t="s">
        <v>17</v>
      </c>
      <c r="S44" s="773">
        <f t="shared" si="12"/>
        <v>100</v>
      </c>
      <c r="T44" s="772" t="s">
        <v>17</v>
      </c>
      <c r="U44" s="773">
        <f t="shared" si="13"/>
        <v>100</v>
      </c>
      <c r="V44" s="772" t="s">
        <v>17</v>
      </c>
      <c r="W44" s="773">
        <f t="shared" si="14"/>
        <v>100</v>
      </c>
      <c r="X44" s="1810"/>
      <c r="Y44" s="3189"/>
      <c r="Z44" s="1811" t="str">
        <f t="shared" si="15"/>
        <v>内部装修维护情况</v>
      </c>
      <c r="AA44" s="1808">
        <f t="shared" si="3"/>
        <v>1</v>
      </c>
      <c r="AB44" s="1808">
        <f t="shared" si="4"/>
        <v>1</v>
      </c>
      <c r="AC44" s="2671">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87"/>
      <c r="Q45" s="1792">
        <f t="shared" si="11"/>
        <v>111</v>
      </c>
      <c r="R45" s="768" t="s">
        <v>17</v>
      </c>
      <c r="S45" s="769">
        <f t="shared" si="12"/>
        <v>100</v>
      </c>
      <c r="T45" s="768" t="s">
        <v>17</v>
      </c>
      <c r="U45" s="769">
        <f t="shared" si="13"/>
        <v>100</v>
      </c>
      <c r="V45" s="768" t="s">
        <v>17</v>
      </c>
      <c r="W45" s="769">
        <f t="shared" si="14"/>
        <v>100</v>
      </c>
      <c r="X45" s="770"/>
      <c r="Y45" s="3189"/>
      <c r="Z45" s="55">
        <f t="shared" si="15"/>
        <v>111</v>
      </c>
      <c r="AA45" s="771">
        <f t="shared" si="3"/>
        <v>1</v>
      </c>
      <c r="AB45" s="771">
        <f t="shared" si="4"/>
        <v>1</v>
      </c>
      <c r="AC45" s="2668">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87"/>
      <c r="Q46" s="1807">
        <f t="shared" si="11"/>
        <v>111</v>
      </c>
      <c r="R46" s="772" t="s">
        <v>17</v>
      </c>
      <c r="S46" s="773">
        <f t="shared" si="12"/>
        <v>100</v>
      </c>
      <c r="T46" s="772" t="s">
        <v>17</v>
      </c>
      <c r="U46" s="773">
        <f t="shared" si="13"/>
        <v>100</v>
      </c>
      <c r="V46" s="772" t="s">
        <v>17</v>
      </c>
      <c r="W46" s="773">
        <f t="shared" si="14"/>
        <v>100</v>
      </c>
      <c r="X46" s="1810"/>
      <c r="Y46" s="3189"/>
      <c r="Z46" s="1811">
        <f t="shared" si="15"/>
        <v>111</v>
      </c>
      <c r="AA46" s="1808">
        <f t="shared" si="3"/>
        <v>1</v>
      </c>
      <c r="AB46" s="1808">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88"/>
      <c r="Q47" s="1807">
        <f t="shared" si="11"/>
        <v>111</v>
      </c>
      <c r="R47" s="772" t="s">
        <v>17</v>
      </c>
      <c r="S47" s="773">
        <f t="shared" si="12"/>
        <v>100</v>
      </c>
      <c r="T47" s="772" t="s">
        <v>17</v>
      </c>
      <c r="U47" s="773">
        <f t="shared" si="13"/>
        <v>100</v>
      </c>
      <c r="V47" s="772" t="s">
        <v>17</v>
      </c>
      <c r="W47" s="773">
        <f t="shared" si="14"/>
        <v>100</v>
      </c>
      <c r="X47" s="1810"/>
      <c r="Y47" s="3190"/>
      <c r="Z47" s="1811">
        <f t="shared" si="15"/>
        <v>111</v>
      </c>
      <c r="AA47" s="1808">
        <f t="shared" si="3"/>
        <v>1</v>
      </c>
      <c r="AB47" s="1808">
        <f t="shared" si="4"/>
        <v>1</v>
      </c>
      <c r="AC47" s="2671">
        <f t="shared" si="5"/>
        <v>1</v>
      </c>
    </row>
    <row r="48" spans="1:29" ht="15">
      <c r="A48" s="479" t="s">
        <v>2575</v>
      </c>
      <c r="B48" s="480"/>
      <c r="C48" s="1405" t="s">
        <v>1</v>
      </c>
      <c r="D48" s="1406"/>
      <c r="E48" s="1407">
        <v>56310</v>
      </c>
      <c r="F48" s="1408"/>
      <c r="G48" s="1409">
        <v>61240</v>
      </c>
      <c r="H48" s="1410"/>
      <c r="I48" s="1407">
        <v>55000</v>
      </c>
      <c r="J48" s="485"/>
      <c r="K48" s="781"/>
      <c r="L48" s="1141"/>
      <c r="M48" s="1129"/>
      <c r="N48" s="1129"/>
      <c r="O48" s="1129"/>
      <c r="P48" s="3193" t="str">
        <f>A48</f>
        <v>成交单价（元/平方米）</v>
      </c>
      <c r="Q48" s="3182"/>
      <c r="R48" s="3183">
        <f>E48</f>
        <v>56310</v>
      </c>
      <c r="S48" s="3183"/>
      <c r="T48" s="3183">
        <f>G48</f>
        <v>61240</v>
      </c>
      <c r="U48" s="3183"/>
      <c r="V48" s="3183">
        <f>I48</f>
        <v>55000</v>
      </c>
      <c r="W48" s="3183"/>
      <c r="X48" s="446"/>
      <c r="Y48" s="779"/>
      <c r="Z48" s="446"/>
      <c r="AA48" s="446"/>
      <c r="AB48" s="446"/>
      <c r="AC48" s="630"/>
    </row>
    <row r="49" spans="1:29" ht="15.75" thickBot="1">
      <c r="A49" s="486" t="s">
        <v>2667</v>
      </c>
      <c r="B49" s="487"/>
      <c r="C49" s="1411">
        <f>R50</f>
        <v>65496</v>
      </c>
      <c r="D49" s="1412"/>
      <c r="E49" s="1413">
        <f>R49</f>
        <v>65036</v>
      </c>
      <c r="F49" s="1413"/>
      <c r="G49" s="1411">
        <f>T49</f>
        <v>68235</v>
      </c>
      <c r="H49" s="1412"/>
      <c r="I49" s="1413">
        <f>V49</f>
        <v>63217</v>
      </c>
      <c r="J49" s="489"/>
      <c r="K49" s="782"/>
      <c r="L49" s="1141"/>
      <c r="M49" s="1129"/>
      <c r="N49" s="1129"/>
      <c r="O49" s="1129"/>
      <c r="P49" s="3193" t="str">
        <f>A49</f>
        <v>比较价值（元/平方米）</v>
      </c>
      <c r="Q49" s="3182"/>
      <c r="R49" s="3183">
        <f>IF(F1="售价",ROUND(PRODUCT(R48,AA7:AA47),0),ROUND(PRODUCT(R48,AA7:AA47),1))</f>
        <v>65036</v>
      </c>
      <c r="S49" s="3183"/>
      <c r="T49" s="3183">
        <f>IF(F1="售价",ROUND(PRODUCT(T48,AB7:AB47),0),ROUND(PRODUCT(T48,AB7:AB47),1))</f>
        <v>68235</v>
      </c>
      <c r="U49" s="3183"/>
      <c r="V49" s="3183">
        <f>IF(F1="售价",ROUND(PRODUCT(V48,AC7:AC47),0),ROUND(PRODUCT(V48,AC7:AC47),1))</f>
        <v>63217</v>
      </c>
      <c r="W49" s="3183"/>
      <c r="X49" s="446"/>
      <c r="Y49" s="446"/>
      <c r="Z49" s="446"/>
      <c r="AA49" s="446"/>
      <c r="AB49" s="446"/>
      <c r="AC49" s="630"/>
    </row>
    <row r="50" spans="1:29" ht="15.75" thickBot="1">
      <c r="A50" s="492" t="s">
        <v>2668</v>
      </c>
      <c r="B50" s="493"/>
      <c r="C50" s="1415">
        <f>R50</f>
        <v>65496</v>
      </c>
      <c r="D50" s="1415"/>
      <c r="E50" s="1415"/>
      <c r="F50" s="1415"/>
      <c r="G50" s="1415"/>
      <c r="H50" s="1415"/>
      <c r="I50" s="1415"/>
      <c r="J50" s="494"/>
      <c r="K50" s="783"/>
      <c r="L50" s="1141"/>
      <c r="M50" s="1129"/>
      <c r="N50" s="1129"/>
      <c r="O50" s="1129"/>
      <c r="P50" s="3225" t="str">
        <f>A50</f>
        <v>估价对象XX用房的比较价值（楼面单价，元/平方米）</v>
      </c>
      <c r="Q50" s="3226"/>
      <c r="R50" s="3227">
        <f>IF(F1="售价",ROUND(AVERAGE(R49:V49),0),ROUND(AVERAGE(R49:V49),1))</f>
        <v>65496</v>
      </c>
      <c r="S50" s="3227"/>
      <c r="T50" s="3227"/>
      <c r="U50" s="3227"/>
      <c r="V50" s="3227"/>
      <c r="W50" s="3227"/>
      <c r="X50" s="2651"/>
      <c r="Y50" s="2651"/>
      <c r="Z50" s="2651"/>
      <c r="AA50" s="2651"/>
      <c r="AB50" s="2651"/>
      <c r="AC50" s="265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2669</v>
      </c>
      <c r="D53" s="498"/>
      <c r="E53" s="499">
        <f>IF(E48&lt;E49,E49/E48-1,E48/E49-1)</f>
        <v>0.15496359438820817</v>
      </c>
      <c r="F53" s="500" t="str">
        <f>IF(OR(E53&gt;=0.3,E53&lt;=-0.3),"超过30%","")</f>
        <v/>
      </c>
      <c r="G53" s="499">
        <f>IF(G48&lt;G49,G49/G48-1,G48/G49-1)</f>
        <v>0.11422273024167207</v>
      </c>
      <c r="H53" s="500" t="str">
        <f>IF(OR(G53&gt;=0.3,G53&lt;=-0.3),"超过30%","")</f>
        <v/>
      </c>
      <c r="I53" s="499">
        <f>IF(I48&lt;I49,I49/I48-1,I48/I49-1)</f>
        <v>0.14939999999999998</v>
      </c>
      <c r="J53" s="500" t="str">
        <f>IF(OR(I53&gt;=0.3,I53&lt;=-0.3),"超过30%","")</f>
        <v/>
      </c>
      <c r="K53" s="1103"/>
      <c r="L53" s="1104"/>
      <c r="M53" s="1142"/>
      <c r="N53" s="1142"/>
      <c r="O53" s="1142"/>
    </row>
    <row r="54" spans="1:29" ht="13.5" customHeight="1">
      <c r="A54" s="1142"/>
      <c r="B54" s="1142"/>
      <c r="C54" s="497" t="s">
        <v>2670</v>
      </c>
      <c r="D54" s="501"/>
      <c r="E54" s="499">
        <f>IF(E49&lt;G49,G49/E49-1,E49/G49-1)</f>
        <v>4.91881419521496E-2</v>
      </c>
      <c r="F54" s="500" t="str">
        <f>IF(OR(E54&gt;=0.2,E54&lt;=-0.2),"超过20%","")</f>
        <v/>
      </c>
      <c r="G54" s="499">
        <f>IF(G49&lt;I49,I49/G49-1,G49/I49-1)</f>
        <v>7.9377382666055096E-2</v>
      </c>
      <c r="H54" s="500" t="str">
        <f>IF(OR(G54&gt;=0.2,G54&lt;=-0.2),"超过20%","")</f>
        <v/>
      </c>
      <c r="I54" s="499">
        <f>IF(I49&lt;E49,E49/I49-1,I49/E49-1)</f>
        <v>2.8773905753199269E-2</v>
      </c>
      <c r="J54" s="500" t="str">
        <f>IF(OR(I54&gt;=0.2,I54&lt;=-0.2),"超过20%","")</f>
        <v/>
      </c>
      <c r="K54" s="1103"/>
      <c r="L54" s="1104"/>
      <c r="M54" s="1142"/>
      <c r="N54" s="1142"/>
      <c r="O54" s="1142"/>
    </row>
    <row r="55" spans="1:29" s="502" customFormat="1" ht="13.5" customHeight="1">
      <c r="A55" s="1143"/>
      <c r="B55" s="1143"/>
      <c r="C55" s="497" t="s">
        <v>2671</v>
      </c>
      <c r="D55" s="501"/>
      <c r="E55" s="499">
        <f>IF(E48&lt;G48,G48/E48-1,E48/G48-1)</f>
        <v>8.7551056650683634E-2</v>
      </c>
      <c r="F55" s="500" t="str">
        <f>IF(OR(E55&gt;=0.3,E55&lt;=-0.3),"超过30%","")</f>
        <v/>
      </c>
      <c r="G55" s="499">
        <f>IF(G48&lt;I48,I48/G48-1,G48/I48-1)</f>
        <v>0.11345454545454547</v>
      </c>
      <c r="H55" s="500" t="str">
        <f>IF(OR(G55&gt;=0.3,G55&lt;=-0.3),"超过30%","")</f>
        <v/>
      </c>
      <c r="I55" s="499">
        <f>IF(I48&lt;E48,E48/I48-1,I48/E48-1)</f>
        <v>2.3818181818181738E-2</v>
      </c>
      <c r="J55" s="500" t="str">
        <f>IF(OR(I55&gt;=0.3,I55&lt;=-0.3),"超过30%","")</f>
        <v/>
      </c>
      <c r="K55" s="1146"/>
      <c r="L55" s="1147"/>
      <c r="M55" s="1143"/>
      <c r="N55" s="1143"/>
      <c r="O55" s="1143"/>
      <c r="P55" s="2677"/>
    </row>
    <row r="56" spans="1:29" s="502"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1" t="s">
        <v>2672</v>
      </c>
      <c r="B58" s="757"/>
      <c r="C58" s="762"/>
      <c r="D58" s="762"/>
      <c r="E58" s="762"/>
      <c r="F58" s="763"/>
      <c r="G58" s="763"/>
      <c r="H58" s="762"/>
      <c r="I58" s="762"/>
      <c r="J58" s="762"/>
      <c r="K58" s="764"/>
      <c r="L58" s="1159"/>
      <c r="M58" s="1157"/>
      <c r="N58" s="1157"/>
      <c r="O58" s="1157"/>
      <c r="P58" s="2678"/>
      <c r="Q58" s="504"/>
    </row>
    <row r="59" spans="1:29" s="508" customFormat="1" ht="15">
      <c r="A59" s="505" t="s">
        <v>2546</v>
      </c>
      <c r="B59" s="506"/>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7" customFormat="1" ht="15">
      <c r="A60" s="509"/>
      <c r="B60" s="510"/>
      <c r="C60" s="1571">
        <v>100</v>
      </c>
      <c r="D60" s="512">
        <v>100</v>
      </c>
      <c r="E60" s="512">
        <v>99.5</v>
      </c>
      <c r="F60" s="512">
        <v>99.5</v>
      </c>
      <c r="G60" s="512">
        <v>99.5</v>
      </c>
      <c r="H60" s="512">
        <v>99</v>
      </c>
      <c r="I60" s="512">
        <v>99</v>
      </c>
      <c r="J60" s="512">
        <v>99</v>
      </c>
      <c r="K60" s="512">
        <v>98.5</v>
      </c>
      <c r="L60" s="512">
        <v>98.5</v>
      </c>
      <c r="M60" s="513">
        <v>98.5</v>
      </c>
      <c r="N60" s="512">
        <v>98</v>
      </c>
      <c r="O60" s="513">
        <v>98</v>
      </c>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2650</v>
      </c>
      <c r="D62" s="523"/>
      <c r="E62" s="523"/>
      <c r="F62" s="523"/>
      <c r="G62" s="523"/>
      <c r="H62" s="523"/>
      <c r="I62" s="523"/>
      <c r="J62" s="523"/>
      <c r="K62" s="523"/>
      <c r="L62" s="524"/>
      <c r="M62" s="525"/>
      <c r="N62" s="1149"/>
      <c r="O62" s="1149"/>
      <c r="P62" s="2680"/>
      <c r="Q62" s="504"/>
    </row>
    <row r="63" spans="1:29" s="117" customFormat="1" ht="15.75" thickBot="1">
      <c r="A63" s="521"/>
      <c r="B63" s="510"/>
      <c r="C63" s="511">
        <v>100</v>
      </c>
      <c r="D63" s="512"/>
      <c r="E63" s="512"/>
      <c r="F63" s="512"/>
      <c r="G63" s="512"/>
      <c r="H63" s="512"/>
      <c r="I63" s="512"/>
      <c r="J63" s="512"/>
      <c r="K63" s="512"/>
      <c r="L63" s="512"/>
      <c r="M63" s="514"/>
      <c r="N63" s="1149"/>
      <c r="O63" s="1149"/>
      <c r="P63" s="2679"/>
      <c r="Q63" s="504"/>
    </row>
    <row r="64" spans="1:29">
      <c r="A64" s="527" t="s">
        <v>2586</v>
      </c>
      <c r="B64" s="528" t="s">
        <v>2552</v>
      </c>
      <c r="C64" s="529" t="str">
        <f>C9</f>
        <v>办公</v>
      </c>
      <c r="D64" s="530"/>
      <c r="E64" s="530"/>
      <c r="F64" s="530"/>
      <c r="G64" s="530"/>
      <c r="H64" s="530"/>
      <c r="I64" s="530"/>
      <c r="J64" s="530"/>
      <c r="K64" s="531"/>
      <c r="L64" s="532"/>
      <c r="M64" s="533"/>
      <c r="N64" s="1150"/>
      <c r="O64" s="1150"/>
      <c r="P64" s="2681"/>
      <c r="Q64" s="504"/>
    </row>
    <row r="65" spans="1:17" ht="15.75" thickBot="1">
      <c r="A65" s="534"/>
      <c r="B65" s="535"/>
      <c r="C65" s="536">
        <v>100</v>
      </c>
      <c r="D65" s="536"/>
      <c r="E65" s="536"/>
      <c r="F65" s="536"/>
      <c r="G65" s="536"/>
      <c r="H65" s="536"/>
      <c r="I65" s="536"/>
      <c r="J65" s="536"/>
      <c r="K65" s="536"/>
      <c r="L65" s="536"/>
      <c r="M65" s="537"/>
      <c r="N65" s="1151"/>
      <c r="O65" s="1151"/>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0"/>
      <c r="O66" s="1150"/>
      <c r="P66" s="268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1"/>
      <c r="O67" s="1151"/>
      <c r="P67" s="2681"/>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1"/>
      <c r="O68" s="1151"/>
      <c r="P68" s="2681"/>
      <c r="Q68" s="504"/>
    </row>
    <row r="69" spans="1:17" ht="15">
      <c r="A69" s="534"/>
      <c r="B69" s="548"/>
      <c r="C69" s="549">
        <v>0</v>
      </c>
      <c r="D69" s="549">
        <v>1</v>
      </c>
      <c r="E69" s="549">
        <v>2</v>
      </c>
      <c r="F69" s="549">
        <v>3</v>
      </c>
      <c r="G69" s="549">
        <v>4</v>
      </c>
      <c r="H69" s="549">
        <v>5</v>
      </c>
      <c r="I69" s="549">
        <v>6</v>
      </c>
      <c r="J69" s="549">
        <v>7</v>
      </c>
      <c r="K69" s="550">
        <v>8</v>
      </c>
      <c r="L69" s="551">
        <v>9</v>
      </c>
      <c r="M69" s="552">
        <v>10</v>
      </c>
      <c r="N69" s="1150"/>
      <c r="O69" s="1150"/>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1"/>
      <c r="Q70" s="504"/>
    </row>
    <row r="71" spans="1:17" s="471" customFormat="1" ht="15.75" thickTop="1">
      <c r="A71" s="553"/>
      <c r="B71" s="538">
        <f>B12</f>
        <v>111</v>
      </c>
      <c r="C71" s="554"/>
      <c r="D71" s="554"/>
      <c r="E71" s="554"/>
      <c r="F71" s="554"/>
      <c r="G71" s="554"/>
      <c r="H71" s="555"/>
      <c r="I71" s="555"/>
      <c r="J71" s="555"/>
      <c r="K71" s="555"/>
      <c r="L71" s="556"/>
      <c r="M71" s="557"/>
      <c r="N71" s="1152"/>
      <c r="O71" s="1152"/>
      <c r="P71" s="2682"/>
      <c r="Q71" s="559"/>
    </row>
    <row r="72" spans="1:17" s="471" customFormat="1" ht="15.75" thickBot="1">
      <c r="A72" s="553"/>
      <c r="B72" s="543"/>
      <c r="C72" s="560"/>
      <c r="D72" s="536"/>
      <c r="E72" s="536"/>
      <c r="F72" s="536"/>
      <c r="G72" s="536"/>
      <c r="H72" s="536"/>
      <c r="I72" s="536"/>
      <c r="J72" s="536"/>
      <c r="K72" s="536"/>
      <c r="L72" s="536"/>
      <c r="M72" s="537"/>
      <c r="N72" s="1151"/>
      <c r="O72" s="1151"/>
      <c r="P72" s="2682"/>
      <c r="Q72" s="559"/>
    </row>
    <row r="73" spans="1:17" s="471" customFormat="1" ht="15.75" thickTop="1">
      <c r="A73" s="553"/>
      <c r="B73" s="538">
        <f>B13</f>
        <v>111</v>
      </c>
      <c r="C73" s="554"/>
      <c r="D73" s="554"/>
      <c r="E73" s="554"/>
      <c r="F73" s="554"/>
      <c r="G73" s="554"/>
      <c r="H73" s="555"/>
      <c r="I73" s="555"/>
      <c r="J73" s="555"/>
      <c r="K73" s="555"/>
      <c r="L73" s="556"/>
      <c r="M73" s="557"/>
      <c r="N73" s="1152"/>
      <c r="O73" s="1152"/>
      <c r="P73" s="2683"/>
      <c r="Q73" s="561"/>
    </row>
    <row r="74" spans="1:17" s="471" customFormat="1" ht="15.75" thickBot="1">
      <c r="A74" s="553"/>
      <c r="B74" s="543"/>
      <c r="C74" s="560"/>
      <c r="D74" s="560"/>
      <c r="E74" s="560"/>
      <c r="F74" s="560"/>
      <c r="G74" s="560"/>
      <c r="H74" s="562"/>
      <c r="I74" s="562"/>
      <c r="J74" s="562"/>
      <c r="K74" s="562"/>
      <c r="L74" s="562"/>
      <c r="M74" s="563"/>
      <c r="N74" s="1152"/>
      <c r="O74" s="1152"/>
      <c r="P74" s="2682"/>
      <c r="Q74" s="559"/>
    </row>
    <row r="75" spans="1:17" s="471" customFormat="1" ht="15.75" thickTop="1">
      <c r="A75" s="553"/>
      <c r="B75" s="546">
        <f>B14</f>
        <v>111</v>
      </c>
      <c r="C75" s="523"/>
      <c r="D75" s="523"/>
      <c r="E75" s="523"/>
      <c r="F75" s="523"/>
      <c r="G75" s="523"/>
      <c r="H75" s="564"/>
      <c r="I75" s="564"/>
      <c r="J75" s="564"/>
      <c r="K75" s="564"/>
      <c r="L75" s="565"/>
      <c r="M75" s="566"/>
      <c r="N75" s="1152"/>
      <c r="O75" s="1152"/>
      <c r="P75" s="2684"/>
      <c r="Q75" s="559"/>
    </row>
    <row r="76" spans="1:17" s="471" customFormat="1" ht="15.75" thickBot="1">
      <c r="A76" s="568"/>
      <c r="B76" s="569"/>
      <c r="C76" s="570"/>
      <c r="D76" s="570"/>
      <c r="E76" s="570"/>
      <c r="F76" s="570"/>
      <c r="G76" s="570"/>
      <c r="H76" s="571"/>
      <c r="I76" s="571"/>
      <c r="J76" s="571"/>
      <c r="K76" s="571"/>
      <c r="L76" s="571"/>
      <c r="M76" s="572"/>
      <c r="N76" s="1152"/>
      <c r="O76" s="1152"/>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0"/>
      <c r="O77" s="1150"/>
      <c r="P77" s="2685"/>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1"/>
      <c r="O78" s="1151"/>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0"/>
      <c r="O79" s="1150"/>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1"/>
      <c r="O80" s="1151"/>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0"/>
      <c r="O81" s="1150"/>
      <c r="P81" s="2681"/>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51"/>
      <c r="O82" s="1151"/>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0"/>
      <c r="N83" s="1151"/>
      <c r="O83" s="1151"/>
      <c r="P83" s="2681"/>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1"/>
      <c r="O84" s="1151"/>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0"/>
      <c r="O85" s="1150"/>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1"/>
      <c r="O86" s="1151"/>
      <c r="P86" s="2681"/>
      <c r="Q86" s="504"/>
    </row>
    <row r="87" spans="1:17" s="117" customFormat="1" ht="27.75" thickTop="1">
      <c r="A87" s="579"/>
      <c r="B87" s="538" t="s">
        <v>2697</v>
      </c>
      <c r="C87" s="2955" t="s">
        <v>3251</v>
      </c>
      <c r="D87" s="2955" t="s">
        <v>3252</v>
      </c>
      <c r="E87" s="2955" t="s">
        <v>3253</v>
      </c>
      <c r="F87" s="2955" t="s">
        <v>3254</v>
      </c>
      <c r="G87" s="2955" t="s">
        <v>3255</v>
      </c>
      <c r="H87" s="554"/>
      <c r="I87" s="554"/>
      <c r="J87" s="554"/>
      <c r="K87" s="554"/>
      <c r="L87" s="580"/>
      <c r="M87" s="581"/>
      <c r="N87" s="1149"/>
      <c r="O87" s="1149"/>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1"/>
      <c r="O88" s="1151"/>
      <c r="P88" s="2681"/>
      <c r="Q88" s="504"/>
    </row>
    <row r="89" spans="1:17" s="117" customFormat="1" ht="15.75" thickTop="1">
      <c r="A89" s="579"/>
      <c r="B89" s="538" t="str">
        <f>B27</f>
        <v>楼层</v>
      </c>
      <c r="C89" s="2955" t="s">
        <v>3299</v>
      </c>
      <c r="D89" s="2955" t="s">
        <v>3301</v>
      </c>
      <c r="E89" s="2955" t="s">
        <v>3303</v>
      </c>
      <c r="F89" s="2632"/>
      <c r="G89" s="554"/>
      <c r="H89" s="554"/>
      <c r="I89" s="554"/>
      <c r="J89" s="554"/>
      <c r="K89" s="554"/>
      <c r="L89" s="554"/>
      <c r="M89" s="581"/>
      <c r="N89" s="1149"/>
      <c r="O89" s="1149"/>
      <c r="P89" s="268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1"/>
      <c r="O90" s="1151"/>
      <c r="P90" s="2681"/>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2"/>
      <c r="Q92" s="559"/>
    </row>
    <row r="93" spans="1:17" ht="15.75" thickTop="1">
      <c r="A93" s="534"/>
      <c r="B93" s="538">
        <f>B29</f>
        <v>111</v>
      </c>
      <c r="C93" s="554"/>
      <c r="D93" s="554"/>
      <c r="E93" s="554"/>
      <c r="F93" s="554"/>
      <c r="G93" s="554"/>
      <c r="H93" s="554"/>
      <c r="I93" s="554"/>
      <c r="J93" s="554"/>
      <c r="K93" s="554"/>
      <c r="L93" s="580"/>
      <c r="M93" s="581"/>
      <c r="N93" s="1150"/>
      <c r="O93" s="1150"/>
      <c r="P93" s="2681"/>
      <c r="Q93" s="504"/>
    </row>
    <row r="94" spans="1:17" ht="15.75" thickBot="1">
      <c r="A94" s="534"/>
      <c r="B94" s="543"/>
      <c r="C94" s="560"/>
      <c r="D94" s="536"/>
      <c r="E94" s="536"/>
      <c r="F94" s="536"/>
      <c r="G94" s="536"/>
      <c r="H94" s="536"/>
      <c r="I94" s="536"/>
      <c r="J94" s="536"/>
      <c r="K94" s="536"/>
      <c r="L94" s="536"/>
      <c r="M94" s="537"/>
      <c r="N94" s="1151"/>
      <c r="O94" s="1151"/>
      <c r="P94" s="2681"/>
      <c r="Q94" s="504"/>
    </row>
    <row r="95" spans="1:17" ht="15.75" thickTop="1">
      <c r="A95" s="534"/>
      <c r="B95" s="538">
        <f>B30</f>
        <v>111</v>
      </c>
      <c r="C95" s="554"/>
      <c r="D95" s="554"/>
      <c r="E95" s="554"/>
      <c r="F95" s="554"/>
      <c r="G95" s="583"/>
      <c r="H95" s="583"/>
      <c r="I95" s="583"/>
      <c r="J95" s="583"/>
      <c r="K95" s="584"/>
      <c r="L95" s="585"/>
      <c r="M95" s="586"/>
      <c r="N95" s="1150"/>
      <c r="O95" s="1150"/>
      <c r="P95" s="2681"/>
      <c r="Q95" s="504"/>
    </row>
    <row r="96" spans="1:17" ht="15.75" thickBot="1">
      <c r="A96" s="534"/>
      <c r="B96" s="543"/>
      <c r="C96" s="560"/>
      <c r="D96" s="560"/>
      <c r="E96" s="560"/>
      <c r="F96" s="560"/>
      <c r="G96" s="536"/>
      <c r="H96" s="536"/>
      <c r="I96" s="536"/>
      <c r="J96" s="536"/>
      <c r="K96" s="536"/>
      <c r="L96" s="536"/>
      <c r="M96" s="537"/>
      <c r="N96" s="1151"/>
      <c r="O96" s="1151"/>
      <c r="P96" s="2681"/>
      <c r="Q96" s="504"/>
    </row>
    <row r="97" spans="1:17" ht="15.75" thickTop="1">
      <c r="A97" s="534"/>
      <c r="B97" s="538">
        <f>B31</f>
        <v>111</v>
      </c>
      <c r="C97" s="554"/>
      <c r="D97" s="554"/>
      <c r="E97" s="554"/>
      <c r="F97" s="554"/>
      <c r="G97" s="583"/>
      <c r="H97" s="583"/>
      <c r="I97" s="583"/>
      <c r="J97" s="583"/>
      <c r="K97" s="584"/>
      <c r="L97" s="585"/>
      <c r="M97" s="586"/>
      <c r="N97" s="1150"/>
      <c r="O97" s="1150"/>
      <c r="P97" s="2681"/>
      <c r="Q97" s="504"/>
    </row>
    <row r="98" spans="1:17" ht="15.75" thickBot="1">
      <c r="A98" s="534"/>
      <c r="B98" s="543"/>
      <c r="C98" s="560"/>
      <c r="D98" s="536"/>
      <c r="E98" s="536"/>
      <c r="F98" s="536"/>
      <c r="G98" s="536"/>
      <c r="H98" s="536"/>
      <c r="I98" s="536"/>
      <c r="J98" s="536"/>
      <c r="K98" s="536"/>
      <c r="L98" s="536"/>
      <c r="M98" s="537"/>
      <c r="N98" s="1151"/>
      <c r="O98" s="1151"/>
      <c r="P98" s="2681"/>
      <c r="Q98" s="504"/>
    </row>
    <row r="99" spans="1:17" ht="15.75" thickTop="1">
      <c r="A99" s="534"/>
      <c r="B99" s="546">
        <f>B32</f>
        <v>111</v>
      </c>
      <c r="C99" s="523"/>
      <c r="D99" s="523"/>
      <c r="E99" s="523"/>
      <c r="F99" s="523"/>
      <c r="G99" s="587"/>
      <c r="H99" s="587"/>
      <c r="I99" s="587"/>
      <c r="J99" s="587"/>
      <c r="K99" s="588"/>
      <c r="L99" s="589"/>
      <c r="M99" s="590"/>
      <c r="N99" s="1150"/>
      <c r="O99" s="1150"/>
      <c r="P99" s="2681"/>
      <c r="Q99" s="504"/>
    </row>
    <row r="100" spans="1:17" ht="15.75" thickBot="1">
      <c r="A100" s="2633"/>
      <c r="B100" s="569"/>
      <c r="C100" s="570"/>
      <c r="D100" s="570"/>
      <c r="E100" s="570"/>
      <c r="F100" s="570"/>
      <c r="G100" s="591"/>
      <c r="H100" s="591"/>
      <c r="I100" s="591"/>
      <c r="J100" s="591"/>
      <c r="K100" s="591"/>
      <c r="L100" s="591"/>
      <c r="M100" s="592"/>
      <c r="N100" s="1151"/>
      <c r="O100" s="1151"/>
      <c r="P100" s="2681"/>
      <c r="Q100" s="504"/>
    </row>
    <row r="101" spans="1:17">
      <c r="A101" s="527" t="s">
        <v>2561</v>
      </c>
      <c r="B101" s="528" t="s">
        <v>2610</v>
      </c>
      <c r="C101" s="2956" t="s">
        <v>3256</v>
      </c>
      <c r="D101" s="530"/>
      <c r="E101" s="530"/>
      <c r="F101" s="530"/>
      <c r="G101" s="530"/>
      <c r="H101" s="530"/>
      <c r="I101" s="530"/>
      <c r="J101" s="530"/>
      <c r="K101" s="531"/>
      <c r="L101" s="532"/>
      <c r="M101" s="533"/>
      <c r="N101" s="1150"/>
      <c r="O101" s="1150"/>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1"/>
      <c r="O102" s="1151"/>
      <c r="P102" s="2681"/>
      <c r="Q102" s="504"/>
    </row>
    <row r="103" spans="1:17" ht="15.75" thickTop="1">
      <c r="A103" s="534"/>
      <c r="B103" s="538" t="s">
        <v>2611</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500(含)-600</v>
      </c>
      <c r="I103" s="578" t="str">
        <f t="shared" si="23"/>
        <v>600(含)-700</v>
      </c>
      <c r="J103" s="578" t="str">
        <f t="shared" si="23"/>
        <v>700(含)-800</v>
      </c>
      <c r="K103" s="578" t="str">
        <f t="shared" si="23"/>
        <v>800(含)-900</v>
      </c>
      <c r="L103" s="578" t="str">
        <f t="shared" si="23"/>
        <v>900(含)-1000</v>
      </c>
      <c r="M103" s="622" t="str">
        <f>M104&amp;"(含)"&amp;"-"&amp;P104</f>
        <v>1000(含)-</v>
      </c>
      <c r="N103" s="1149"/>
      <c r="O103" s="1149"/>
      <c r="P103" s="2681"/>
      <c r="Q103" s="504"/>
    </row>
    <row r="104" spans="1:17" s="471" customFormat="1">
      <c r="A104" s="593"/>
      <c r="B104" s="594"/>
      <c r="C104" s="595">
        <v>0</v>
      </c>
      <c r="D104" s="595">
        <v>100</v>
      </c>
      <c r="E104" s="595">
        <v>200</v>
      </c>
      <c r="F104" s="595">
        <v>300</v>
      </c>
      <c r="G104" s="595">
        <v>400</v>
      </c>
      <c r="H104" s="595">
        <v>500</v>
      </c>
      <c r="I104" s="595">
        <v>600</v>
      </c>
      <c r="J104" s="595">
        <v>700</v>
      </c>
      <c r="K104" s="595">
        <v>800</v>
      </c>
      <c r="L104" s="595">
        <v>900</v>
      </c>
      <c r="M104" s="595">
        <v>1000</v>
      </c>
      <c r="N104" s="1152"/>
      <c r="O104" s="1152"/>
      <c r="P104" s="2682"/>
      <c r="Q104" s="559"/>
    </row>
    <row r="105" spans="1:17" s="471" customFormat="1" ht="15.75" thickBot="1">
      <c r="A105" s="553"/>
      <c r="B105" s="543"/>
      <c r="C105" s="560">
        <v>96</v>
      </c>
      <c r="D105" s="536">
        <v>97</v>
      </c>
      <c r="E105" s="536">
        <v>98</v>
      </c>
      <c r="F105" s="536">
        <v>99</v>
      </c>
      <c r="G105" s="536">
        <v>100</v>
      </c>
      <c r="H105" s="536">
        <v>99</v>
      </c>
      <c r="I105" s="536">
        <v>98</v>
      </c>
      <c r="J105" s="536">
        <v>97</v>
      </c>
      <c r="K105" s="536">
        <v>96</v>
      </c>
      <c r="L105" s="536">
        <v>95</v>
      </c>
      <c r="M105" s="536">
        <v>94</v>
      </c>
      <c r="N105" s="1151"/>
      <c r="O105" s="1151"/>
      <c r="P105" s="2682"/>
      <c r="Q105" s="559"/>
    </row>
    <row r="106" spans="1:17" ht="15" thickTop="1">
      <c r="A106" s="599"/>
      <c r="B106" s="538" t="s">
        <v>2612</v>
      </c>
      <c r="C106" s="2955" t="s">
        <v>3263</v>
      </c>
      <c r="D106" s="2955" t="s">
        <v>3258</v>
      </c>
      <c r="E106" s="2957" t="s">
        <v>3264</v>
      </c>
      <c r="F106" s="583"/>
      <c r="G106" s="583"/>
      <c r="H106" s="583"/>
      <c r="I106" s="583"/>
      <c r="J106" s="583"/>
      <c r="K106" s="584"/>
      <c r="L106" s="585"/>
      <c r="M106" s="586"/>
      <c r="N106" s="1150"/>
      <c r="O106" s="1150"/>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1"/>
      <c r="O107" s="1151"/>
      <c r="P107" s="2681"/>
      <c r="Q107" s="504"/>
    </row>
    <row r="108" spans="1:17" ht="15" thickTop="1">
      <c r="A108" s="599"/>
      <c r="B108" s="538" t="s">
        <v>2614</v>
      </c>
      <c r="C108" s="2955" t="s">
        <v>3260</v>
      </c>
      <c r="D108" s="2955" t="s">
        <v>3266</v>
      </c>
      <c r="E108" s="2955" t="s">
        <v>3267</v>
      </c>
      <c r="F108" s="2957" t="s">
        <v>3269</v>
      </c>
      <c r="G108" s="583"/>
      <c r="H108" s="583"/>
      <c r="I108" s="583"/>
      <c r="J108" s="583"/>
      <c r="K108" s="584"/>
      <c r="L108" s="585"/>
      <c r="M108" s="586"/>
      <c r="N108" s="1150"/>
      <c r="O108" s="1150"/>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1"/>
      <c r="O109" s="1151"/>
      <c r="P109" s="2681"/>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1"/>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1"/>
      <c r="O112" s="1151"/>
      <c r="P112" s="2681"/>
      <c r="Q112" s="504"/>
    </row>
    <row r="113" spans="1:17" s="471" customFormat="1" ht="15" thickTop="1">
      <c r="A113" s="593"/>
      <c r="B113" s="538" t="s">
        <v>2698</v>
      </c>
      <c r="C113" s="2955" t="s">
        <v>3262</v>
      </c>
      <c r="D113" s="2955" t="s">
        <v>3270</v>
      </c>
      <c r="E113" s="554"/>
      <c r="F113" s="554"/>
      <c r="G113" s="554"/>
      <c r="H113" s="583"/>
      <c r="I113" s="583"/>
      <c r="J113" s="583"/>
      <c r="K113" s="584"/>
      <c r="L113" s="585"/>
      <c r="M113" s="586"/>
      <c r="N113" s="1152"/>
      <c r="O113" s="1152"/>
      <c r="P113" s="268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2"/>
      <c r="O114" s="1152"/>
      <c r="P114" s="2682"/>
      <c r="Q114" s="559"/>
    </row>
    <row r="115" spans="1:17" ht="15" thickTop="1">
      <c r="A115" s="599"/>
      <c r="B115" s="538" t="s">
        <v>2615</v>
      </c>
      <c r="C115" s="2955" t="s">
        <v>3272</v>
      </c>
      <c r="D115" s="2955" t="s">
        <v>3273</v>
      </c>
      <c r="E115" s="583"/>
      <c r="F115" s="583"/>
      <c r="G115" s="583"/>
      <c r="H115" s="583"/>
      <c r="I115" s="583"/>
      <c r="J115" s="583"/>
      <c r="K115" s="584"/>
      <c r="L115" s="585"/>
      <c r="M115" s="586"/>
      <c r="N115" s="1150"/>
      <c r="O115" s="1150"/>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1"/>
      <c r="O116" s="1151"/>
      <c r="P116" s="2681"/>
      <c r="Q116" s="504"/>
    </row>
    <row r="117" spans="1:17" ht="15" thickTop="1">
      <c r="A117" s="599"/>
      <c r="B117" s="538" t="s">
        <v>2616</v>
      </c>
      <c r="C117" s="2955" t="s">
        <v>3275</v>
      </c>
      <c r="D117" s="2955" t="s">
        <v>3276</v>
      </c>
      <c r="E117" s="2955" t="s">
        <v>3278</v>
      </c>
      <c r="F117" s="2955" t="s">
        <v>3279</v>
      </c>
      <c r="G117" s="2955" t="s">
        <v>3280</v>
      </c>
      <c r="H117" s="583"/>
      <c r="I117" s="583"/>
      <c r="J117" s="583"/>
      <c r="K117" s="584"/>
      <c r="L117" s="585"/>
      <c r="M117" s="586"/>
      <c r="N117" s="1150"/>
      <c r="O117" s="1150"/>
      <c r="P117" s="2681"/>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1"/>
      <c r="O118" s="1151"/>
      <c r="P118" s="2681"/>
      <c r="Q118" s="504"/>
    </row>
    <row r="119" spans="1:17" ht="15" thickTop="1">
      <c r="A119" s="599"/>
      <c r="B119" s="636" t="s">
        <v>2699</v>
      </c>
      <c r="C119" s="2957" t="s">
        <v>3281</v>
      </c>
      <c r="D119" s="2957" t="s">
        <v>3283</v>
      </c>
      <c r="E119" s="583"/>
      <c r="F119" s="583"/>
      <c r="G119" s="583"/>
      <c r="H119" s="583"/>
      <c r="I119" s="583"/>
      <c r="J119" s="583"/>
      <c r="K119" s="583"/>
      <c r="L119" s="2686"/>
      <c r="M119" s="2687"/>
      <c r="N119" s="1151"/>
      <c r="O119" s="1151"/>
      <c r="P119" s="2688"/>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1"/>
      <c r="O120" s="1151"/>
      <c r="P120" s="2681"/>
      <c r="Q120" s="504"/>
    </row>
    <row r="121" spans="1:17" s="471" customFormat="1" ht="15" thickTop="1">
      <c r="A121" s="593"/>
      <c r="B121" s="538" t="s">
        <v>2682</v>
      </c>
      <c r="C121" s="554"/>
      <c r="D121" s="554"/>
      <c r="E121" s="554"/>
      <c r="F121" s="583"/>
      <c r="G121" s="555"/>
      <c r="H121" s="555"/>
      <c r="I121" s="555"/>
      <c r="J121" s="555"/>
      <c r="K121" s="555"/>
      <c r="L121" s="556"/>
      <c r="M121" s="557"/>
      <c r="N121" s="1152"/>
      <c r="O121" s="1152"/>
      <c r="P121" s="2682"/>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2"/>
      <c r="Q122" s="559"/>
    </row>
    <row r="123" spans="1:17" ht="15" thickTop="1">
      <c r="A123" s="599"/>
      <c r="B123" s="538" t="s">
        <v>2618</v>
      </c>
      <c r="C123" s="2955" t="s">
        <v>3260</v>
      </c>
      <c r="D123" s="2955" t="s">
        <v>3266</v>
      </c>
      <c r="E123" s="2955" t="s">
        <v>3267</v>
      </c>
      <c r="F123" s="2957" t="s">
        <v>3269</v>
      </c>
      <c r="G123" s="583"/>
      <c r="H123" s="583"/>
      <c r="I123" s="583"/>
      <c r="J123" s="583"/>
      <c r="K123" s="584"/>
      <c r="L123" s="585"/>
      <c r="M123" s="586"/>
      <c r="N123" s="1150"/>
      <c r="O123" s="1150"/>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1"/>
      <c r="O124" s="1151"/>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0"/>
      <c r="O125" s="1150"/>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1"/>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2"/>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2"/>
      <c r="Q128" s="559"/>
    </row>
    <row r="129" spans="1:17" ht="15" thickTop="1">
      <c r="A129" s="599"/>
      <c r="B129" s="538">
        <f>B46</f>
        <v>111</v>
      </c>
      <c r="C129" s="554"/>
      <c r="D129" s="554"/>
      <c r="E129" s="554"/>
      <c r="F129" s="554"/>
      <c r="G129" s="583"/>
      <c r="H129" s="583"/>
      <c r="I129" s="583"/>
      <c r="J129" s="583"/>
      <c r="K129" s="584"/>
      <c r="L129" s="585"/>
      <c r="M129" s="586"/>
      <c r="N129" s="1150"/>
      <c r="O129" s="1150"/>
      <c r="P129" s="2681"/>
      <c r="Q129" s="504"/>
    </row>
    <row r="130" spans="1:17" ht="15.75" thickBot="1">
      <c r="A130" s="534"/>
      <c r="B130" s="543"/>
      <c r="C130" s="560"/>
      <c r="D130" s="560"/>
      <c r="E130" s="560"/>
      <c r="F130" s="560"/>
      <c r="G130" s="536"/>
      <c r="H130" s="536"/>
      <c r="I130" s="536"/>
      <c r="J130" s="536"/>
      <c r="K130" s="536"/>
      <c r="L130" s="536"/>
      <c r="M130" s="537"/>
      <c r="N130" s="1151"/>
      <c r="O130" s="1151"/>
      <c r="P130" s="2681"/>
      <c r="Q130" s="504"/>
    </row>
    <row r="131" spans="1:17" ht="15" thickTop="1">
      <c r="A131" s="599"/>
      <c r="B131" s="546">
        <f>B47</f>
        <v>111</v>
      </c>
      <c r="C131" s="523"/>
      <c r="D131" s="523"/>
      <c r="E131" s="523"/>
      <c r="F131" s="523"/>
      <c r="G131" s="587"/>
      <c r="H131" s="587"/>
      <c r="I131" s="587"/>
      <c r="J131" s="587"/>
      <c r="K131" s="523"/>
      <c r="L131" s="524"/>
      <c r="M131" s="590"/>
      <c r="N131" s="1150"/>
      <c r="O131" s="1150"/>
      <c r="P131" s="2681"/>
      <c r="Q131" s="504"/>
    </row>
    <row r="132" spans="1:17" ht="15.75" thickBot="1">
      <c r="A132" s="2633"/>
      <c r="B132" s="569"/>
      <c r="C132" s="570"/>
      <c r="D132" s="570"/>
      <c r="E132" s="570"/>
      <c r="F132" s="570"/>
      <c r="G132" s="591"/>
      <c r="H132" s="591"/>
      <c r="I132" s="591"/>
      <c r="J132" s="591"/>
      <c r="K132" s="591"/>
      <c r="L132" s="591"/>
      <c r="M132" s="592"/>
      <c r="N132" s="1151"/>
      <c r="O132" s="1151"/>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1606</v>
      </c>
    </row>
    <row r="2" spans="1:1">
      <c r="A2" s="1942"/>
    </row>
    <row r="3" spans="1:1" ht="18">
      <c r="A3" s="1943" t="str">
        <f>项目基本情况!B5&amp;"："</f>
        <v>北京银鹤永泰商业管理有限公司：</v>
      </c>
    </row>
    <row r="4" spans="1:1" ht="54">
      <c r="A4" s="1944" t="str">
        <f>"受贵公司委托，我公司对"&amp;项目基本情况!S1&amp;"进行了预评估。"</f>
        <v>受贵公司委托，我公司对北京市北京市丰台区丽泽路16号院2号楼3层301号等178套办公用房房地产出让国有建设用地使用权及在建建筑物房地产抵押价值进行了预评估。</v>
      </c>
    </row>
    <row r="5" spans="1:1" ht="18.75">
      <c r="A5" s="1945" t="s">
        <v>1607</v>
      </c>
    </row>
    <row r="6" spans="1:1" ht="18.75">
      <c r="A6" s="1946" t="s">
        <v>1608</v>
      </c>
    </row>
    <row r="7" spans="1:1" ht="90">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丽泽路16号院2号楼3层301号等178套办公用房房地产出让国有建设用地使用权及在建建筑物房地产，为所有。根据《国有土地使用证》[]，估价对象（分摊）出让国有建设用地使用权面积为0平方米。根据《不动产权证书》[京（2019）丰不动产权第0008287号]等178本及《估价委托书》，估价对象建筑面积为380平方米。</v>
      </c>
    </row>
    <row r="8" spans="1:1" ht="57.75">
      <c r="A8" s="1947" t="s">
        <v>1609</v>
      </c>
    </row>
    <row r="9" spans="1:1" ht="18.75">
      <c r="A9" s="1946" t="s">
        <v>1610</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丽泽路16号院2号楼3层301号等178套办公用房房地产出让国有建设用地使用权及在建建筑物房地产,属开发建设的，该项目尚在开发建设中。根据《国有土地使用证》[]，估价对象（分摊）出让国有建设用地使用权面积为0平方米。根据《不动产权证书》[京（2019）丰不动产权第0008287号]等178本及《估价委托书》，估价对象规划建筑面积为380平方米。</v>
      </c>
    </row>
    <row r="11" spans="1:1" ht="76.5">
      <c r="A11" s="1947" t="s">
        <v>1611</v>
      </c>
    </row>
    <row r="12" spans="1:1" ht="18.75">
      <c r="A12" s="1945" t="s">
        <v>1612</v>
      </c>
    </row>
    <row r="13" spans="1:1" ht="38.25" customHeight="1">
      <c r="A13" s="1948" t="str">
        <f>IF(项目基本情况!B8="抵押",IF(项目基本情况!B5=项目基本情况!B6,定义!C51,定义!B51),定义!D51)</f>
        <v>为估价委托人在向中国工商银行股份有限公司北京九龙山支行办理贷款手续过程中，确定房地产抵押贷款额度提供参考依据而评估房地产抵押价值。</v>
      </c>
    </row>
    <row r="14" spans="1:1" ht="18.75">
      <c r="A14" s="1949" t="s">
        <v>1613</v>
      </c>
    </row>
    <row r="15" spans="1:1" ht="18">
      <c r="A15" s="1950" t="str">
        <f>TEXT(项目基本情况!D3,"yyyy年m月d日;;")&amp;IF(项目基本情况!D3=项目基本情况!B3,"（评估专业人员实地查勘之日）","")</f>
        <v>2019年7月26日（评估专业人员实地查勘之日）</v>
      </c>
    </row>
    <row r="16" spans="1:1" ht="18.75">
      <c r="A16" s="1949" t="s">
        <v>1614</v>
      </c>
    </row>
    <row r="17" spans="1:1" ht="75">
      <c r="A17" s="1944" t="s">
        <v>1615</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26日，估价对象规划用途为办公，土地取得方式为出让，出让国有建设用地使用权剩余土地使用年限为43.66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43.66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1604</v>
      </c>
    </row>
    <row r="24" spans="1:1" ht="18">
      <c r="A24" s="1951" t="str">
        <f>"本次评估采用的主估价方法为"&amp;结果表!K4&amp;"和"&amp;结果表!L4&amp;"。"</f>
        <v>本次评估采用的主估价方法为收益法和比较法。</v>
      </c>
    </row>
    <row r="25" spans="1:1" ht="18">
      <c r="A25" s="1951"/>
    </row>
    <row r="26" spans="1:1" ht="18.75">
      <c r="A26" s="1952" t="s">
        <v>1605</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6" t="s">
        <v>2700</v>
      </c>
      <c r="C1" s="1618" t="s">
        <v>2528</v>
      </c>
      <c r="D1" s="1619"/>
      <c r="E1" s="1628"/>
      <c r="F1" s="2581"/>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IF(C2="——",ROUND(C43*D3/10000,0),ROUND(C43*D3/10000,0)-D2)</f>
        <v>#DIV/0!</v>
      </c>
      <c r="C2" s="2583"/>
      <c r="D2" s="1122" t="e">
        <f ca="1">SUMIF(INDIRECT("'"&amp;F2&amp;"'"&amp;"!A:A"),"承租人权益价值",INDIRECT("'"&amp;F2&amp;"'"&amp;"!c:c"))</f>
        <v>#REF!</v>
      </c>
      <c r="E2" s="2584" t="s">
        <v>2326</v>
      </c>
      <c r="F2" s="2585"/>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380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97" t="s">
        <v>2644</v>
      </c>
      <c r="D4" s="3198"/>
      <c r="E4" s="3199" t="s">
        <v>2645</v>
      </c>
      <c r="F4" s="3200"/>
      <c r="G4" s="3197" t="s">
        <v>2646</v>
      </c>
      <c r="H4" s="3198"/>
      <c r="I4" s="3197" t="s">
        <v>2647</v>
      </c>
      <c r="J4" s="3198"/>
      <c r="K4" s="610" t="s">
        <v>2648</v>
      </c>
      <c r="L4" s="1128"/>
      <c r="M4" s="1129"/>
      <c r="N4" s="1129"/>
      <c r="O4" s="1129"/>
      <c r="P4" s="3201" t="s">
        <v>2649</v>
      </c>
      <c r="Q4" s="3202"/>
      <c r="R4" s="3207" t="s">
        <v>2645</v>
      </c>
      <c r="S4" s="3208"/>
      <c r="T4" s="3207" t="s">
        <v>2646</v>
      </c>
      <c r="U4" s="3208"/>
      <c r="V4" s="3213" t="s">
        <v>2647</v>
      </c>
      <c r="W4" s="3213"/>
      <c r="X4" s="1810"/>
      <c r="Y4" s="3207" t="s">
        <v>2649</v>
      </c>
      <c r="Z4" s="3208"/>
      <c r="AA4" s="3194" t="s">
        <v>2645</v>
      </c>
      <c r="AB4" s="3195" t="s">
        <v>2646</v>
      </c>
      <c r="AC4" s="3194" t="s">
        <v>2647</v>
      </c>
    </row>
    <row r="5" spans="1:29" ht="15">
      <c r="A5" s="404"/>
      <c r="B5" s="405"/>
      <c r="C5" s="3216" t="s">
        <v>2540</v>
      </c>
      <c r="D5" s="3217"/>
      <c r="E5" s="3223" t="s">
        <v>2541</v>
      </c>
      <c r="F5" s="3224"/>
      <c r="G5" s="3216" t="s">
        <v>2542</v>
      </c>
      <c r="H5" s="3217"/>
      <c r="I5" s="3216" t="s">
        <v>2543</v>
      </c>
      <c r="J5" s="3217"/>
      <c r="K5" s="610"/>
      <c r="L5" s="1128"/>
      <c r="M5" s="1129"/>
      <c r="N5" s="1129"/>
      <c r="O5" s="1129"/>
      <c r="P5" s="3203"/>
      <c r="Q5" s="3204"/>
      <c r="R5" s="3209"/>
      <c r="S5" s="3210"/>
      <c r="T5" s="3209"/>
      <c r="U5" s="3210"/>
      <c r="V5" s="3213"/>
      <c r="W5" s="3213"/>
      <c r="X5" s="1810"/>
      <c r="Y5" s="3209"/>
      <c r="Z5" s="3210"/>
      <c r="AA5" s="3195"/>
      <c r="AB5" s="3195"/>
      <c r="AC5" s="3195"/>
    </row>
    <row r="6" spans="1:29" ht="15.75" thickBot="1">
      <c r="A6" s="406"/>
      <c r="B6" s="407"/>
      <c r="C6" s="3214" t="s">
        <v>2544</v>
      </c>
      <c r="D6" s="3215"/>
      <c r="E6" s="3221" t="s">
        <v>2544</v>
      </c>
      <c r="F6" s="3222"/>
      <c r="G6" s="3214" t="s">
        <v>2544</v>
      </c>
      <c r="H6" s="3215"/>
      <c r="I6" s="3214" t="s">
        <v>2544</v>
      </c>
      <c r="J6" s="3215"/>
      <c r="K6" s="610" t="s">
        <v>2545</v>
      </c>
      <c r="L6" s="1128"/>
      <c r="M6" s="1129"/>
      <c r="N6" s="1129"/>
      <c r="O6" s="1129"/>
      <c r="P6" s="3205"/>
      <c r="Q6" s="3206"/>
      <c r="R6" s="3209"/>
      <c r="S6" s="3210"/>
      <c r="T6" s="3211"/>
      <c r="U6" s="3212"/>
      <c r="V6" s="3213"/>
      <c r="W6" s="3213"/>
      <c r="X6" s="1810"/>
      <c r="Y6" s="3211"/>
      <c r="Z6" s="3212"/>
      <c r="AA6" s="3196"/>
      <c r="AB6" s="3196"/>
      <c r="AC6" s="3196"/>
    </row>
    <row r="7" spans="1:29" s="117" customFormat="1" ht="15.75" thickBot="1">
      <c r="A7" s="408" t="s">
        <v>2546</v>
      </c>
      <c r="B7" s="409"/>
      <c r="C7" s="410">
        <f>'数据-取费表'!B2</f>
        <v>43672</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18" t="s">
        <v>2547</v>
      </c>
      <c r="Q7" s="3220"/>
      <c r="R7" s="768" t="s">
        <v>17</v>
      </c>
      <c r="S7" s="769">
        <f t="shared" ref="S7:S15" si="0">F7</f>
        <v>0</v>
      </c>
      <c r="T7" s="768" t="s">
        <v>17</v>
      </c>
      <c r="U7" s="769">
        <f t="shared" ref="U7:U15" si="1">H7</f>
        <v>0</v>
      </c>
      <c r="V7" s="768" t="s">
        <v>17</v>
      </c>
      <c r="W7" s="769">
        <f t="shared" ref="W7:W15" si="2">J7</f>
        <v>0</v>
      </c>
      <c r="X7" s="770"/>
      <c r="Y7" s="3218" t="s">
        <v>2547</v>
      </c>
      <c r="Z7" s="3219"/>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18" t="s">
        <v>2550</v>
      </c>
      <c r="Q8" s="3219"/>
      <c r="R8" s="768" t="s">
        <v>17</v>
      </c>
      <c r="S8" s="769">
        <f t="shared" si="0"/>
        <v>0</v>
      </c>
      <c r="T8" s="768" t="s">
        <v>17</v>
      </c>
      <c r="U8" s="769">
        <f t="shared" si="1"/>
        <v>0</v>
      </c>
      <c r="V8" s="768" t="s">
        <v>17</v>
      </c>
      <c r="W8" s="769">
        <f t="shared" si="2"/>
        <v>0</v>
      </c>
      <c r="X8" s="770"/>
      <c r="Y8" s="3218" t="s">
        <v>2550</v>
      </c>
      <c r="Z8" s="3219"/>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82" t="s">
        <v>2553</v>
      </c>
      <c r="Q9" s="1792" t="str">
        <f t="shared" ref="Q9:Q15" si="6">B9</f>
        <v>用途</v>
      </c>
      <c r="R9" s="768" t="s">
        <v>17</v>
      </c>
      <c r="S9" s="769">
        <f t="shared" si="0"/>
        <v>100</v>
      </c>
      <c r="T9" s="768" t="s">
        <v>17</v>
      </c>
      <c r="U9" s="769">
        <f t="shared" si="1"/>
        <v>100</v>
      </c>
      <c r="V9" s="768" t="s">
        <v>17</v>
      </c>
      <c r="W9" s="769">
        <f t="shared" si="2"/>
        <v>100</v>
      </c>
      <c r="X9" s="770"/>
      <c r="Y9" s="3006"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82"/>
      <c r="Q10" s="1792" t="str">
        <f t="shared" si="6"/>
        <v>土地使用年限（年）</v>
      </c>
      <c r="R10" s="768" t="s">
        <v>17</v>
      </c>
      <c r="S10" s="769">
        <f t="shared" si="0"/>
        <v>100</v>
      </c>
      <c r="T10" s="768" t="s">
        <v>17</v>
      </c>
      <c r="U10" s="769">
        <f t="shared" si="1"/>
        <v>100</v>
      </c>
      <c r="V10" s="768" t="s">
        <v>17</v>
      </c>
      <c r="W10" s="769">
        <f t="shared" si="2"/>
        <v>100</v>
      </c>
      <c r="X10" s="770"/>
      <c r="Y10" s="3006"/>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82"/>
      <c r="Q11" s="1792" t="str">
        <f t="shared" si="6"/>
        <v>容积率</v>
      </c>
      <c r="R11" s="768" t="s">
        <v>17</v>
      </c>
      <c r="S11" s="769" t="e">
        <f t="shared" si="0"/>
        <v>#N/A</v>
      </c>
      <c r="T11" s="768" t="s">
        <v>17</v>
      </c>
      <c r="U11" s="769" t="e">
        <f t="shared" si="1"/>
        <v>#N/A</v>
      </c>
      <c r="V11" s="768" t="s">
        <v>17</v>
      </c>
      <c r="W11" s="769" t="e">
        <f t="shared" si="2"/>
        <v>#N/A</v>
      </c>
      <c r="X11" s="770"/>
      <c r="Y11" s="3006"/>
      <c r="Z11" s="55" t="str">
        <f t="shared" si="7"/>
        <v>容积率</v>
      </c>
      <c r="AA11" s="771" t="e">
        <f t="shared" si="3"/>
        <v>#N/A</v>
      </c>
      <c r="AB11" s="771" t="e">
        <f t="shared" si="4"/>
        <v>#N/A</v>
      </c>
      <c r="AC11" s="771"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0"/>
      <c r="M12" s="1131"/>
      <c r="N12" s="1131"/>
      <c r="O12" s="1132"/>
      <c r="P12" s="3182"/>
      <c r="Q12" s="1792">
        <f t="shared" si="6"/>
        <v>111</v>
      </c>
      <c r="R12" s="768" t="s">
        <v>17</v>
      </c>
      <c r="S12" s="769">
        <f t="shared" si="0"/>
        <v>100</v>
      </c>
      <c r="T12" s="768" t="s">
        <v>17</v>
      </c>
      <c r="U12" s="769">
        <f t="shared" si="1"/>
        <v>100</v>
      </c>
      <c r="V12" s="768" t="s">
        <v>17</v>
      </c>
      <c r="W12" s="769">
        <f t="shared" si="2"/>
        <v>100</v>
      </c>
      <c r="X12" s="770"/>
      <c r="Y12" s="3006"/>
      <c r="Z12" s="55">
        <f t="shared" si="7"/>
        <v>111</v>
      </c>
      <c r="AA12" s="771">
        <f>D12/F12</f>
        <v>1</v>
      </c>
      <c r="AB12" s="771">
        <f>D12/H12</f>
        <v>1</v>
      </c>
      <c r="AC12" s="771">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8"/>
      <c r="M13" s="1129"/>
      <c r="N13" s="1129"/>
      <c r="O13" s="1137"/>
      <c r="P13" s="3182"/>
      <c r="Q13" s="1792">
        <f t="shared" si="6"/>
        <v>111</v>
      </c>
      <c r="R13" s="768" t="s">
        <v>17</v>
      </c>
      <c r="S13" s="769">
        <f t="shared" si="0"/>
        <v>100</v>
      </c>
      <c r="T13" s="768" t="s">
        <v>17</v>
      </c>
      <c r="U13" s="769">
        <f t="shared" si="1"/>
        <v>100</v>
      </c>
      <c r="V13" s="768" t="s">
        <v>17</v>
      </c>
      <c r="W13" s="769">
        <f t="shared" si="2"/>
        <v>100</v>
      </c>
      <c r="X13" s="770"/>
      <c r="Y13" s="3006"/>
      <c r="Z13" s="55">
        <f t="shared" si="7"/>
        <v>111</v>
      </c>
      <c r="AA13" s="771">
        <f t="shared" si="3"/>
        <v>1</v>
      </c>
      <c r="AB13" s="771">
        <f t="shared" si="4"/>
        <v>1</v>
      </c>
      <c r="AC13" s="771">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8"/>
      <c r="M14" s="1129"/>
      <c r="N14" s="1129"/>
      <c r="O14" s="1137"/>
      <c r="P14" s="3182"/>
      <c r="Q14" s="1792">
        <f t="shared" si="6"/>
        <v>111</v>
      </c>
      <c r="R14" s="768" t="s">
        <v>17</v>
      </c>
      <c r="S14" s="769">
        <f t="shared" si="0"/>
        <v>100</v>
      </c>
      <c r="T14" s="768" t="s">
        <v>17</v>
      </c>
      <c r="U14" s="769">
        <f t="shared" si="1"/>
        <v>100</v>
      </c>
      <c r="V14" s="768" t="s">
        <v>17</v>
      </c>
      <c r="W14" s="769">
        <f t="shared" si="2"/>
        <v>100</v>
      </c>
      <c r="X14" s="770"/>
      <c r="Y14" s="3006"/>
      <c r="Z14" s="55">
        <f t="shared" si="7"/>
        <v>111</v>
      </c>
      <c r="AA14" s="771">
        <f t="shared" si="3"/>
        <v>1</v>
      </c>
      <c r="AB14" s="771">
        <f t="shared" si="4"/>
        <v>1</v>
      </c>
      <c r="AC14" s="771">
        <f t="shared" si="5"/>
        <v>1</v>
      </c>
    </row>
    <row r="15" spans="1:29" ht="57">
      <c r="A15" s="440" t="s">
        <v>2557</v>
      </c>
      <c r="B15" s="69" t="s">
        <v>2701</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84" t="s">
        <v>2558</v>
      </c>
      <c r="Q15" s="1807" t="str">
        <f t="shared" si="6"/>
        <v>产业集聚程度</v>
      </c>
      <c r="R15" s="772" t="s">
        <v>17</v>
      </c>
      <c r="S15" s="773">
        <f t="shared" si="0"/>
        <v>100</v>
      </c>
      <c r="T15" s="772" t="s">
        <v>17</v>
      </c>
      <c r="U15" s="773">
        <f t="shared" si="1"/>
        <v>100</v>
      </c>
      <c r="V15" s="772" t="s">
        <v>17</v>
      </c>
      <c r="W15" s="773">
        <f t="shared" si="2"/>
        <v>100</v>
      </c>
      <c r="X15" s="1810"/>
      <c r="Y15" s="3184" t="s">
        <v>2558</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185"/>
      <c r="Q16" s="1807"/>
      <c r="R16" s="772"/>
      <c r="S16" s="773"/>
      <c r="T16" s="772"/>
      <c r="U16" s="773"/>
      <c r="V16" s="772"/>
      <c r="W16" s="773"/>
      <c r="X16" s="1810"/>
      <c r="Y16" s="3185"/>
      <c r="Z16" s="1811"/>
      <c r="AA16" s="1808">
        <v>1</v>
      </c>
      <c r="AB16" s="1808">
        <v>1</v>
      </c>
      <c r="AC16" s="1808">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85"/>
      <c r="Q17" s="1807" t="str">
        <f>B17</f>
        <v>交通便捷度</v>
      </c>
      <c r="R17" s="772" t="s">
        <v>17</v>
      </c>
      <c r="S17" s="773">
        <f>F17</f>
        <v>100</v>
      </c>
      <c r="T17" s="772" t="s">
        <v>17</v>
      </c>
      <c r="U17" s="773">
        <f>H17</f>
        <v>100</v>
      </c>
      <c r="V17" s="772" t="s">
        <v>17</v>
      </c>
      <c r="W17" s="773">
        <f>J17</f>
        <v>100</v>
      </c>
      <c r="X17" s="1810"/>
      <c r="Y17" s="3185"/>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8"/>
      <c r="M18" s="1129"/>
      <c r="N18" s="1129"/>
      <c r="O18" s="1137"/>
      <c r="P18" s="3185"/>
      <c r="Q18" s="1807"/>
      <c r="R18" s="772"/>
      <c r="S18" s="773"/>
      <c r="T18" s="772"/>
      <c r="U18" s="773"/>
      <c r="V18" s="772"/>
      <c r="W18" s="773"/>
      <c r="X18" s="1810"/>
      <c r="Y18" s="3185"/>
      <c r="Z18" s="1811"/>
      <c r="AA18" s="1808">
        <v>1</v>
      </c>
      <c r="AB18" s="1808">
        <v>1</v>
      </c>
      <c r="AC18" s="1808">
        <v>1</v>
      </c>
    </row>
    <row r="19" spans="1:29" ht="42.75">
      <c r="A19" s="428"/>
      <c r="B19" s="451" t="s">
        <v>2686</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85"/>
      <c r="Q19" s="1807" t="str">
        <f>B19</f>
        <v>公共配套设施</v>
      </c>
      <c r="R19" s="772" t="s">
        <v>17</v>
      </c>
      <c r="S19" s="773">
        <f>F19</f>
        <v>100</v>
      </c>
      <c r="T19" s="772" t="s">
        <v>17</v>
      </c>
      <c r="U19" s="773">
        <f>H19</f>
        <v>100</v>
      </c>
      <c r="V19" s="772" t="s">
        <v>17</v>
      </c>
      <c r="W19" s="773">
        <f>J19</f>
        <v>100</v>
      </c>
      <c r="X19" s="1810"/>
      <c r="Y19" s="3185"/>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8"/>
      <c r="M20" s="1129"/>
      <c r="N20" s="1129"/>
      <c r="O20" s="1137"/>
      <c r="P20" s="3185"/>
      <c r="Q20" s="1807"/>
      <c r="R20" s="772"/>
      <c r="S20" s="773"/>
      <c r="T20" s="772"/>
      <c r="U20" s="773"/>
      <c r="V20" s="772"/>
      <c r="W20" s="773"/>
      <c r="X20" s="1810"/>
      <c r="Y20" s="3185"/>
      <c r="Z20" s="1811"/>
      <c r="AA20" s="1808">
        <v>1</v>
      </c>
      <c r="AB20" s="1808">
        <v>1</v>
      </c>
      <c r="AC20" s="1808">
        <v>1</v>
      </c>
    </row>
    <row r="21" spans="1:29" ht="28.5">
      <c r="A21" s="428"/>
      <c r="B21" s="1382" t="s">
        <v>2687</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85"/>
      <c r="Q21" s="1807" t="str">
        <f>B21</f>
        <v>基础设施水平</v>
      </c>
      <c r="R21" s="772" t="s">
        <v>17</v>
      </c>
      <c r="S21" s="773">
        <f>F21</f>
        <v>100</v>
      </c>
      <c r="T21" s="772" t="s">
        <v>17</v>
      </c>
      <c r="U21" s="773">
        <f>H21</f>
        <v>100</v>
      </c>
      <c r="V21" s="772" t="s">
        <v>17</v>
      </c>
      <c r="W21" s="773">
        <f>J21</f>
        <v>100</v>
      </c>
      <c r="X21" s="1810"/>
      <c r="Y21" s="3185"/>
      <c r="Z21" s="1811" t="str">
        <f>Q21</f>
        <v>基础设施水平</v>
      </c>
      <c r="AA21" s="1808">
        <f t="shared" ref="AA21" si="8">D21/F21</f>
        <v>1</v>
      </c>
      <c r="AB21" s="1808">
        <f t="shared" ref="AB21" si="9">D21/H21</f>
        <v>1</v>
      </c>
      <c r="AC21" s="1808">
        <f t="shared" ref="AC21" si="10">D21/J21</f>
        <v>1</v>
      </c>
    </row>
    <row r="22" spans="1:29" ht="15">
      <c r="A22" s="428"/>
      <c r="B22" s="1382"/>
      <c r="C22" s="2605"/>
      <c r="D22" s="448"/>
      <c r="E22" s="447"/>
      <c r="F22" s="449"/>
      <c r="G22" s="447"/>
      <c r="H22" s="448"/>
      <c r="I22" s="447"/>
      <c r="J22" s="448"/>
      <c r="K22" s="1381"/>
      <c r="L22" s="1138"/>
      <c r="M22" s="1129"/>
      <c r="N22" s="1129"/>
      <c r="O22" s="1137"/>
      <c r="P22" s="3185"/>
      <c r="Q22" s="1807"/>
      <c r="R22" s="772"/>
      <c r="S22" s="773"/>
      <c r="T22" s="772"/>
      <c r="U22" s="773"/>
      <c r="V22" s="772"/>
      <c r="W22" s="773"/>
      <c r="X22" s="1810"/>
      <c r="Y22" s="3185"/>
      <c r="Z22" s="1811"/>
      <c r="AA22" s="1808">
        <v>1</v>
      </c>
      <c r="AB22" s="1808">
        <v>1</v>
      </c>
      <c r="AC22" s="1808">
        <v>1</v>
      </c>
    </row>
    <row r="23" spans="1:29" ht="71.25">
      <c r="A23" s="428"/>
      <c r="B23" s="451" t="s">
        <v>2688</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85"/>
      <c r="Q23" s="1807" t="str">
        <f>B23</f>
        <v>环境质量</v>
      </c>
      <c r="R23" s="772" t="s">
        <v>17</v>
      </c>
      <c r="S23" s="773">
        <f>F23</f>
        <v>100</v>
      </c>
      <c r="T23" s="772" t="s">
        <v>17</v>
      </c>
      <c r="U23" s="773">
        <f>H23</f>
        <v>100</v>
      </c>
      <c r="V23" s="772" t="s">
        <v>17</v>
      </c>
      <c r="W23" s="773">
        <f>J23</f>
        <v>100</v>
      </c>
      <c r="X23" s="1810"/>
      <c r="Y23" s="3185"/>
      <c r="Z23" s="1811" t="str">
        <f>Q23</f>
        <v>环境质量</v>
      </c>
      <c r="AA23" s="1808">
        <f t="shared" si="3"/>
        <v>1</v>
      </c>
      <c r="AB23" s="1808">
        <f t="shared" si="4"/>
        <v>1</v>
      </c>
      <c r="AC23" s="1808">
        <f t="shared" si="5"/>
        <v>1</v>
      </c>
    </row>
    <row r="24" spans="1:29" ht="15">
      <c r="A24" s="428"/>
      <c r="B24" s="1382"/>
      <c r="C24" s="447"/>
      <c r="D24" s="448"/>
      <c r="E24" s="2602"/>
      <c r="F24" s="449"/>
      <c r="G24" s="2601"/>
      <c r="H24" s="448"/>
      <c r="I24" s="2602"/>
      <c r="J24" s="448"/>
      <c r="K24" s="615"/>
      <c r="L24" s="1138"/>
      <c r="M24" s="1129"/>
      <c r="N24" s="1129"/>
      <c r="O24" s="1137"/>
      <c r="P24" s="3185"/>
      <c r="Q24" s="1807"/>
      <c r="R24" s="772"/>
      <c r="S24" s="773"/>
      <c r="T24" s="772"/>
      <c r="U24" s="773"/>
      <c r="V24" s="772"/>
      <c r="W24" s="773"/>
      <c r="X24" s="1810"/>
      <c r="Y24" s="3185"/>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85"/>
      <c r="Q25" s="1807">
        <f>B25</f>
        <v>111</v>
      </c>
      <c r="R25" s="772" t="s">
        <v>17</v>
      </c>
      <c r="S25" s="773">
        <f>F25</f>
        <v>100</v>
      </c>
      <c r="T25" s="772" t="s">
        <v>17</v>
      </c>
      <c r="U25" s="773">
        <f>H25</f>
        <v>100</v>
      </c>
      <c r="V25" s="772" t="s">
        <v>17</v>
      </c>
      <c r="W25" s="773">
        <f>J25</f>
        <v>100</v>
      </c>
      <c r="X25" s="1810"/>
      <c r="Y25" s="3185"/>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85"/>
      <c r="Q26" s="1807">
        <f t="shared" ref="Q26:Q40" si="11">B26</f>
        <v>111</v>
      </c>
      <c r="R26" s="772" t="s">
        <v>17</v>
      </c>
      <c r="S26" s="773">
        <f>F26</f>
        <v>100</v>
      </c>
      <c r="T26" s="772" t="s">
        <v>17</v>
      </c>
      <c r="U26" s="773">
        <f>H26</f>
        <v>100</v>
      </c>
      <c r="V26" s="772" t="s">
        <v>17</v>
      </c>
      <c r="W26" s="773">
        <f>J26</f>
        <v>100</v>
      </c>
      <c r="X26" s="1810"/>
      <c r="Y26" s="3185"/>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85"/>
      <c r="Q27" s="1792">
        <f t="shared" si="11"/>
        <v>111</v>
      </c>
      <c r="R27" s="768" t="s">
        <v>17</v>
      </c>
      <c r="S27" s="769">
        <f>F27</f>
        <v>100</v>
      </c>
      <c r="T27" s="768" t="s">
        <v>17</v>
      </c>
      <c r="U27" s="769">
        <f>H27</f>
        <v>100</v>
      </c>
      <c r="V27" s="768" t="s">
        <v>17</v>
      </c>
      <c r="W27" s="769">
        <f>J27</f>
        <v>100</v>
      </c>
      <c r="X27" s="770"/>
      <c r="Y27" s="3185"/>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85"/>
      <c r="Q28" s="1807">
        <f t="shared" si="11"/>
        <v>111</v>
      </c>
      <c r="R28" s="772" t="s">
        <v>17</v>
      </c>
      <c r="S28" s="773">
        <f t="shared" ref="S28:S40" si="12">F28</f>
        <v>100</v>
      </c>
      <c r="T28" s="772" t="s">
        <v>17</v>
      </c>
      <c r="U28" s="773">
        <f t="shared" ref="U28:U40" si="13">H28</f>
        <v>100</v>
      </c>
      <c r="V28" s="772" t="s">
        <v>17</v>
      </c>
      <c r="W28" s="773">
        <f t="shared" ref="W28:W40" si="14">J28</f>
        <v>100</v>
      </c>
      <c r="X28" s="1810"/>
      <c r="Y28" s="3185"/>
      <c r="Z28" s="1811">
        <f t="shared" ref="Z28:Z40" si="15">Q28</f>
        <v>111</v>
      </c>
      <c r="AA28" s="1808">
        <f t="shared" si="3"/>
        <v>1</v>
      </c>
      <c r="AB28" s="1808">
        <f t="shared" si="4"/>
        <v>1</v>
      </c>
      <c r="AC28" s="1808">
        <f t="shared" si="5"/>
        <v>1</v>
      </c>
    </row>
    <row r="29" spans="1:29" ht="28.5">
      <c r="A29" s="466" t="s">
        <v>2561</v>
      </c>
      <c r="B29" s="71" t="s">
        <v>2691</v>
      </c>
      <c r="C29" s="2676"/>
      <c r="D29" s="467">
        <v>100</v>
      </c>
      <c r="E29" s="2676"/>
      <c r="F29" s="461">
        <f>SUMIF(88:88,E29,89:89)-SUMIF(88:88,C29,89:89)+100</f>
        <v>100</v>
      </c>
      <c r="G29" s="2676"/>
      <c r="H29" s="435">
        <f>SUMIF(88:88,G29,89:89)-SUMIF(88:88,C29,89:89)+100</f>
        <v>100</v>
      </c>
      <c r="I29" s="2676"/>
      <c r="J29" s="467">
        <f>SUMIF(88:88,I29,89:89)-SUMIF(88:88,C29,89:89)+100</f>
        <v>100</v>
      </c>
      <c r="K29" s="612"/>
      <c r="L29" s="1138"/>
      <c r="M29" s="1129"/>
      <c r="N29" s="1129"/>
      <c r="O29" s="1137"/>
      <c r="P29" s="3242" t="s">
        <v>2563</v>
      </c>
      <c r="Q29" s="1807" t="str">
        <f t="shared" si="11"/>
        <v>建筑类型</v>
      </c>
      <c r="R29" s="772" t="s">
        <v>17</v>
      </c>
      <c r="S29" s="773">
        <f t="shared" si="12"/>
        <v>100</v>
      </c>
      <c r="T29" s="772" t="s">
        <v>17</v>
      </c>
      <c r="U29" s="773">
        <f t="shared" si="13"/>
        <v>100</v>
      </c>
      <c r="V29" s="772" t="s">
        <v>17</v>
      </c>
      <c r="W29" s="773">
        <f t="shared" si="14"/>
        <v>100</v>
      </c>
      <c r="X29" s="1810"/>
      <c r="Y29" s="3189" t="s">
        <v>2563</v>
      </c>
      <c r="Z29" s="1811" t="str">
        <f t="shared" si="15"/>
        <v>建筑类型</v>
      </c>
      <c r="AA29" s="1808">
        <f t="shared" si="3"/>
        <v>1</v>
      </c>
      <c r="AB29" s="1808">
        <f t="shared" si="4"/>
        <v>1</v>
      </c>
      <c r="AC29" s="1808">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89"/>
      <c r="Q30" s="774" t="str">
        <f t="shared" si="11"/>
        <v>项目建筑规模</v>
      </c>
      <c r="R30" s="775" t="s">
        <v>17</v>
      </c>
      <c r="S30" s="776" t="e">
        <f t="shared" si="12"/>
        <v>#N/A</v>
      </c>
      <c r="T30" s="775" t="s">
        <v>17</v>
      </c>
      <c r="U30" s="776" t="e">
        <f t="shared" si="13"/>
        <v>#N/A</v>
      </c>
      <c r="V30" s="775" t="s">
        <v>17</v>
      </c>
      <c r="W30" s="776" t="e">
        <f t="shared" si="14"/>
        <v>#N/A</v>
      </c>
      <c r="X30" s="777"/>
      <c r="Y30" s="3189"/>
      <c r="Z30" s="778" t="str">
        <f t="shared" si="15"/>
        <v>项目建筑规模</v>
      </c>
      <c r="AA30" s="1808" t="e">
        <f t="shared" si="3"/>
        <v>#N/A</v>
      </c>
      <c r="AB30" s="1808" t="e">
        <f t="shared" si="4"/>
        <v>#N/A</v>
      </c>
      <c r="AC30" s="1808"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89"/>
      <c r="Q31" s="1807" t="str">
        <f t="shared" si="11"/>
        <v>建筑结构</v>
      </c>
      <c r="R31" s="772" t="s">
        <v>17</v>
      </c>
      <c r="S31" s="773">
        <f t="shared" si="12"/>
        <v>100</v>
      </c>
      <c r="T31" s="772" t="s">
        <v>17</v>
      </c>
      <c r="U31" s="773">
        <f t="shared" si="13"/>
        <v>100</v>
      </c>
      <c r="V31" s="772" t="s">
        <v>17</v>
      </c>
      <c r="W31" s="773">
        <f t="shared" si="14"/>
        <v>100</v>
      </c>
      <c r="X31" s="1810"/>
      <c r="Y31" s="3189"/>
      <c r="Z31" s="1811" t="str">
        <f t="shared" si="15"/>
        <v>建筑结构</v>
      </c>
      <c r="AA31" s="1808">
        <f t="shared" si="3"/>
        <v>1</v>
      </c>
      <c r="AB31" s="1808">
        <f t="shared" si="4"/>
        <v>1</v>
      </c>
      <c r="AC31" s="1808">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89"/>
      <c r="Q32" s="1807" t="str">
        <f t="shared" si="11"/>
        <v>公共部分装修</v>
      </c>
      <c r="R32" s="772" t="s">
        <v>17</v>
      </c>
      <c r="S32" s="773">
        <f t="shared" si="12"/>
        <v>100</v>
      </c>
      <c r="T32" s="772" t="s">
        <v>17</v>
      </c>
      <c r="U32" s="773">
        <f t="shared" si="13"/>
        <v>100</v>
      </c>
      <c r="V32" s="772" t="s">
        <v>17</v>
      </c>
      <c r="W32" s="773">
        <f t="shared" si="14"/>
        <v>100</v>
      </c>
      <c r="X32" s="1810"/>
      <c r="Y32" s="3189"/>
      <c r="Z32" s="1811" t="str">
        <f t="shared" si="15"/>
        <v>公共部分装修</v>
      </c>
      <c r="AA32" s="1808">
        <f t="shared" si="3"/>
        <v>1</v>
      </c>
      <c r="AB32" s="1808">
        <f t="shared" si="4"/>
        <v>1</v>
      </c>
      <c r="AC32" s="1808">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89"/>
      <c r="Q33" s="1807" t="str">
        <f t="shared" si="11"/>
        <v>成新度</v>
      </c>
      <c r="R33" s="772" t="s">
        <v>17</v>
      </c>
      <c r="S33" s="773" t="e">
        <f t="shared" si="12"/>
        <v>#N/A</v>
      </c>
      <c r="T33" s="772" t="s">
        <v>17</v>
      </c>
      <c r="U33" s="773" t="e">
        <f t="shared" si="13"/>
        <v>#N/A</v>
      </c>
      <c r="V33" s="772" t="s">
        <v>17</v>
      </c>
      <c r="W33" s="773" t="e">
        <f t="shared" si="14"/>
        <v>#N/A</v>
      </c>
      <c r="X33" s="1810"/>
      <c r="Y33" s="3189"/>
      <c r="Z33" s="1811" t="str">
        <f t="shared" si="15"/>
        <v>成新度</v>
      </c>
      <c r="AA33" s="1808" t="e">
        <f t="shared" si="3"/>
        <v>#N/A</v>
      </c>
      <c r="AB33" s="1808" t="e">
        <f t="shared" si="4"/>
        <v>#N/A</v>
      </c>
      <c r="AC33" s="1808"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89"/>
      <c r="Q34" s="1792" t="str">
        <f t="shared" si="11"/>
        <v>物业管理</v>
      </c>
      <c r="R34" s="768" t="s">
        <v>17</v>
      </c>
      <c r="S34" s="769">
        <f t="shared" si="12"/>
        <v>100</v>
      </c>
      <c r="T34" s="768" t="s">
        <v>17</v>
      </c>
      <c r="U34" s="769">
        <f t="shared" si="13"/>
        <v>100</v>
      </c>
      <c r="V34" s="768" t="s">
        <v>17</v>
      </c>
      <c r="W34" s="769">
        <f t="shared" si="14"/>
        <v>100</v>
      </c>
      <c r="X34" s="770"/>
      <c r="Y34" s="3189"/>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89" t="s">
        <v>2563</v>
      </c>
      <c r="Q35" s="1807" t="str">
        <f t="shared" si="11"/>
        <v>市政基础设施</v>
      </c>
      <c r="R35" s="772" t="s">
        <v>17</v>
      </c>
      <c r="S35" s="773">
        <f t="shared" si="12"/>
        <v>100</v>
      </c>
      <c r="T35" s="772" t="s">
        <v>17</v>
      </c>
      <c r="U35" s="773">
        <f t="shared" si="13"/>
        <v>100</v>
      </c>
      <c r="V35" s="772" t="s">
        <v>17</v>
      </c>
      <c r="W35" s="773">
        <f t="shared" si="14"/>
        <v>100</v>
      </c>
      <c r="X35" s="1810"/>
      <c r="Y35" s="3189" t="s">
        <v>2563</v>
      </c>
      <c r="Z35" s="1811" t="str">
        <f t="shared" si="15"/>
        <v>市政基础设施</v>
      </c>
      <c r="AA35" s="1808">
        <f t="shared" si="3"/>
        <v>1</v>
      </c>
      <c r="AB35" s="1808">
        <f t="shared" si="4"/>
        <v>1</v>
      </c>
      <c r="AC35" s="1808">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89"/>
      <c r="Q36" s="1807" t="str">
        <f t="shared" si="11"/>
        <v>内部装修</v>
      </c>
      <c r="R36" s="772" t="s">
        <v>17</v>
      </c>
      <c r="S36" s="773">
        <f t="shared" si="12"/>
        <v>100</v>
      </c>
      <c r="T36" s="772" t="s">
        <v>17</v>
      </c>
      <c r="U36" s="773">
        <f t="shared" si="13"/>
        <v>100</v>
      </c>
      <c r="V36" s="772" t="s">
        <v>17</v>
      </c>
      <c r="W36" s="773">
        <f t="shared" si="14"/>
        <v>100</v>
      </c>
      <c r="X36" s="1810"/>
      <c r="Y36" s="3189"/>
      <c r="Z36" s="1811" t="str">
        <f t="shared" si="15"/>
        <v>内部装修</v>
      </c>
      <c r="AA36" s="1808">
        <f t="shared" si="3"/>
        <v>1</v>
      </c>
      <c r="AB36" s="1808">
        <f t="shared" si="4"/>
        <v>1</v>
      </c>
      <c r="AC36" s="1808">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89"/>
      <c r="Q37" s="1807" t="str">
        <f t="shared" si="11"/>
        <v>内部装修状况</v>
      </c>
      <c r="R37" s="772" t="s">
        <v>17</v>
      </c>
      <c r="S37" s="773">
        <f t="shared" si="12"/>
        <v>100</v>
      </c>
      <c r="T37" s="772" t="s">
        <v>17</v>
      </c>
      <c r="U37" s="773">
        <f t="shared" si="13"/>
        <v>100</v>
      </c>
      <c r="V37" s="772" t="s">
        <v>17</v>
      </c>
      <c r="W37" s="773">
        <f t="shared" si="14"/>
        <v>100</v>
      </c>
      <c r="X37" s="1810"/>
      <c r="Y37" s="3189"/>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89"/>
      <c r="Q38" s="774">
        <f t="shared" si="11"/>
        <v>111</v>
      </c>
      <c r="R38" s="775" t="s">
        <v>17</v>
      </c>
      <c r="S38" s="776">
        <f t="shared" si="12"/>
        <v>100</v>
      </c>
      <c r="T38" s="775" t="s">
        <v>17</v>
      </c>
      <c r="U38" s="776">
        <f t="shared" si="13"/>
        <v>100</v>
      </c>
      <c r="V38" s="775" t="s">
        <v>17</v>
      </c>
      <c r="W38" s="776">
        <f t="shared" si="14"/>
        <v>100</v>
      </c>
      <c r="X38" s="777"/>
      <c r="Y38" s="3189"/>
      <c r="Z38" s="778">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89"/>
      <c r="Q39" s="1807">
        <f t="shared" si="11"/>
        <v>111</v>
      </c>
      <c r="R39" s="772" t="s">
        <v>17</v>
      </c>
      <c r="S39" s="773">
        <f t="shared" si="12"/>
        <v>100</v>
      </c>
      <c r="T39" s="772" t="s">
        <v>17</v>
      </c>
      <c r="U39" s="773">
        <f t="shared" si="13"/>
        <v>100</v>
      </c>
      <c r="V39" s="772" t="s">
        <v>17</v>
      </c>
      <c r="W39" s="773">
        <f t="shared" si="14"/>
        <v>100</v>
      </c>
      <c r="X39" s="1810"/>
      <c r="Y39" s="3189"/>
      <c r="Z39" s="1811">
        <f t="shared" si="15"/>
        <v>111</v>
      </c>
      <c r="AA39" s="1808">
        <f t="shared" si="3"/>
        <v>1</v>
      </c>
      <c r="AB39" s="1808">
        <f t="shared" si="4"/>
        <v>1</v>
      </c>
      <c r="AC39" s="1808">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90"/>
      <c r="Q40" s="1807">
        <f t="shared" si="11"/>
        <v>111</v>
      </c>
      <c r="R40" s="772" t="s">
        <v>17</v>
      </c>
      <c r="S40" s="773">
        <f t="shared" si="12"/>
        <v>100</v>
      </c>
      <c r="T40" s="772" t="s">
        <v>17</v>
      </c>
      <c r="U40" s="773">
        <f t="shared" si="13"/>
        <v>100</v>
      </c>
      <c r="V40" s="772" t="s">
        <v>17</v>
      </c>
      <c r="W40" s="773">
        <f t="shared" si="14"/>
        <v>100</v>
      </c>
      <c r="X40" s="1810"/>
      <c r="Y40" s="3190"/>
      <c r="Z40" s="1811">
        <f t="shared" si="15"/>
        <v>111</v>
      </c>
      <c r="AA40" s="1808">
        <f t="shared" si="3"/>
        <v>1</v>
      </c>
      <c r="AB40" s="1808">
        <f t="shared" si="4"/>
        <v>1</v>
      </c>
      <c r="AC40" s="1808">
        <f t="shared" si="5"/>
        <v>1</v>
      </c>
    </row>
    <row r="41" spans="1:29" ht="15">
      <c r="A41" s="479" t="s">
        <v>2575</v>
      </c>
      <c r="B41" s="480"/>
      <c r="C41" s="1405" t="s">
        <v>1</v>
      </c>
      <c r="D41" s="1406"/>
      <c r="E41" s="1407"/>
      <c r="F41" s="1408"/>
      <c r="G41" s="1409"/>
      <c r="H41" s="1410"/>
      <c r="I41" s="1407"/>
      <c r="J41" s="1410"/>
      <c r="K41" s="781"/>
      <c r="L41" s="1141"/>
      <c r="M41" s="1142"/>
      <c r="N41" s="1129"/>
      <c r="O41" s="1142"/>
      <c r="P41" s="3182" t="str">
        <f>A41</f>
        <v>成交单价（元/平方米）</v>
      </c>
      <c r="Q41" s="3182"/>
      <c r="R41" s="3183">
        <f>E41</f>
        <v>0</v>
      </c>
      <c r="S41" s="3183"/>
      <c r="T41" s="3183">
        <f>G41</f>
        <v>0</v>
      </c>
      <c r="U41" s="3183"/>
      <c r="V41" s="3183">
        <f>I41</f>
        <v>0</v>
      </c>
      <c r="W41" s="3183"/>
      <c r="X41" s="757"/>
      <c r="Y41" s="779"/>
      <c r="Z41" s="757"/>
      <c r="AA41" s="757"/>
      <c r="AB41" s="757"/>
      <c r="AC41" s="757"/>
    </row>
    <row r="42" spans="1:29" ht="15.75" thickBot="1">
      <c r="A42" s="486" t="s">
        <v>2667</v>
      </c>
      <c r="B42" s="487"/>
      <c r="C42" s="1411" t="e">
        <f>R43</f>
        <v>#DIV/0!</v>
      </c>
      <c r="D42" s="1412"/>
      <c r="E42" s="1413" t="e">
        <f>R42</f>
        <v>#DIV/0!</v>
      </c>
      <c r="F42" s="1413"/>
      <c r="G42" s="1411" t="e">
        <f>T42</f>
        <v>#DIV/0!</v>
      </c>
      <c r="H42" s="1412"/>
      <c r="I42" s="1413" t="e">
        <f>V42</f>
        <v>#DIV/0!</v>
      </c>
      <c r="J42" s="1412"/>
      <c r="K42" s="782"/>
      <c r="L42" s="1141"/>
      <c r="M42" s="1142"/>
      <c r="N42" s="1129"/>
      <c r="O42" s="1142"/>
      <c r="P42" s="3182" t="str">
        <f>A42</f>
        <v>比较价值（元/平方米）</v>
      </c>
      <c r="Q42" s="3182"/>
      <c r="R42" s="3183" t="e">
        <f>IF(F1="售价",ROUND(PRODUCT(R41,AA7:AA40),0),ROUND(PRODUCT(R41,AA7:AA40),1))</f>
        <v>#DIV/0!</v>
      </c>
      <c r="S42" s="3183"/>
      <c r="T42" s="3183" t="e">
        <f>IF(F1="售价",ROUND(PRODUCT(T41,AB7:AB40),0),ROUND(PRODUCT(T41,AB7:AB40),1))</f>
        <v>#DIV/0!</v>
      </c>
      <c r="U42" s="3183"/>
      <c r="V42" s="3183" t="e">
        <f>IF(F1="售价",ROUND(PRODUCT(V41,AC7:AC40),0),ROUND(PRODUCT(V41,AC7:AC40),1))</f>
        <v>#DIV/0!</v>
      </c>
      <c r="W42" s="3183"/>
      <c r="X42" s="757"/>
      <c r="Y42" s="757"/>
      <c r="Z42" s="757"/>
      <c r="AA42" s="757"/>
      <c r="AB42" s="757"/>
      <c r="AC42" s="757"/>
    </row>
    <row r="43" spans="1:29" ht="15.75" thickBot="1">
      <c r="A43" s="492" t="s">
        <v>2668</v>
      </c>
      <c r="B43" s="493"/>
      <c r="C43" s="1415" t="e">
        <f>R43</f>
        <v>#DIV/0!</v>
      </c>
      <c r="D43" s="1415"/>
      <c r="E43" s="1415"/>
      <c r="F43" s="1415"/>
      <c r="G43" s="1415"/>
      <c r="H43" s="1415"/>
      <c r="I43" s="1415"/>
      <c r="J43" s="1415"/>
      <c r="K43" s="783"/>
      <c r="L43" s="1141"/>
      <c r="M43" s="1142"/>
      <c r="N43" s="1142"/>
      <c r="O43" s="1142"/>
      <c r="P43" s="3179" t="str">
        <f>A43</f>
        <v>估价对象XX用房的比较价值（楼面单价，元/平方米）</v>
      </c>
      <c r="Q43" s="3180"/>
      <c r="R43" s="3181" t="e">
        <f>IF(F1="售价",ROUND(AVERAGE(R42:V42),0),ROUND(AVERAGE(R42:V42),1))</f>
        <v>#DIV/0!</v>
      </c>
      <c r="S43" s="3181"/>
      <c r="T43" s="3181"/>
      <c r="U43" s="3181"/>
      <c r="V43" s="3181"/>
      <c r="W43" s="3181"/>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2672</v>
      </c>
      <c r="B51" s="757"/>
      <c r="C51" s="762"/>
      <c r="D51" s="762"/>
      <c r="E51" s="762"/>
      <c r="F51" s="763"/>
      <c r="G51" s="763"/>
      <c r="H51" s="762"/>
      <c r="I51" s="762"/>
      <c r="J51" s="762"/>
      <c r="K51" s="1158"/>
      <c r="L51" s="1159"/>
      <c r="M51" s="1157"/>
      <c r="N51" s="1157"/>
      <c r="O51" s="1157"/>
      <c r="P51" s="503"/>
      <c r="Q51" s="504"/>
    </row>
    <row r="52" spans="1:17" s="508" customFormat="1" ht="15">
      <c r="A52" s="505" t="s">
        <v>2546</v>
      </c>
      <c r="B52" s="506"/>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2586</v>
      </c>
      <c r="B57" s="528" t="s">
        <v>2552</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3"/>
      <c r="B87" s="569"/>
      <c r="C87" s="570"/>
      <c r="D87" s="570"/>
      <c r="E87" s="570"/>
      <c r="F87" s="570"/>
      <c r="G87" s="591"/>
      <c r="H87" s="591"/>
      <c r="I87" s="591"/>
      <c r="J87" s="591"/>
      <c r="K87" s="591"/>
      <c r="L87" s="591"/>
      <c r="M87" s="592"/>
      <c r="N87" s="1151"/>
      <c r="O87" s="1151"/>
      <c r="P87" s="45"/>
      <c r="Q87" s="504"/>
    </row>
    <row r="88" spans="1:17">
      <c r="A88" s="527" t="s">
        <v>2561</v>
      </c>
      <c r="B88" s="528" t="s">
        <v>2610</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2612</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2614</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2615</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2616</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2618</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3"/>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0"/>
      <c r="F1" s="2581"/>
      <c r="G1" s="1621" t="s">
        <v>2641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2325</v>
      </c>
      <c r="B2" s="1416" t="e">
        <f ca="1">IF(C2="——",IF(B37="元/平方米",ROUND(C39*D3/10000,0),ROUND(F3*C39/10000,0)),IF(B37="元/平方米",ROUND(C39*D3/10000,0),ROUND(F3*C39/10000,0))-D2)</f>
        <v>#DIV/0!</v>
      </c>
      <c r="C2" s="2583"/>
      <c r="D2" s="1122" t="e">
        <f ca="1">SUMIF(INDIRECT("'"&amp;F2&amp;"'"&amp;"!A:A"),"承租人权益价值",INDIRECT("'"&amp;F2&amp;"'"&amp;"!c:c"))</f>
        <v>#REF!</v>
      </c>
      <c r="E2" s="2584" t="s">
        <v>2326</v>
      </c>
      <c r="F2" s="2585"/>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2643</v>
      </c>
      <c r="B4" s="402"/>
      <c r="C4" s="3197" t="s">
        <v>2644</v>
      </c>
      <c r="D4" s="3198"/>
      <c r="E4" s="3199" t="s">
        <v>2645</v>
      </c>
      <c r="F4" s="3200"/>
      <c r="G4" s="3197" t="s">
        <v>2646</v>
      </c>
      <c r="H4" s="3198"/>
      <c r="I4" s="3197" t="s">
        <v>2647</v>
      </c>
      <c r="J4" s="3198"/>
      <c r="K4" s="610" t="s">
        <v>2648</v>
      </c>
      <c r="L4" s="1128"/>
      <c r="M4" s="1129"/>
      <c r="N4" s="1129"/>
      <c r="O4" s="1129"/>
      <c r="P4" s="3201" t="s">
        <v>2649</v>
      </c>
      <c r="Q4" s="3202"/>
      <c r="R4" s="3207" t="s">
        <v>2645</v>
      </c>
      <c r="S4" s="3208"/>
      <c r="T4" s="3207" t="s">
        <v>2646</v>
      </c>
      <c r="U4" s="3208"/>
      <c r="V4" s="3213" t="s">
        <v>2647</v>
      </c>
      <c r="W4" s="3213"/>
      <c r="X4" s="1810"/>
      <c r="Y4" s="3207" t="s">
        <v>2649</v>
      </c>
      <c r="Z4" s="3208"/>
      <c r="AA4" s="3194" t="s">
        <v>2645</v>
      </c>
      <c r="AB4" s="3195" t="s">
        <v>2646</v>
      </c>
      <c r="AC4" s="3194" t="s">
        <v>2647</v>
      </c>
    </row>
    <row r="5" spans="1:29" ht="15">
      <c r="A5" s="404"/>
      <c r="B5" s="405"/>
      <c r="C5" s="3216" t="s">
        <v>2540</v>
      </c>
      <c r="D5" s="3217"/>
      <c r="E5" s="3223" t="s">
        <v>2541</v>
      </c>
      <c r="F5" s="3224"/>
      <c r="G5" s="3216" t="s">
        <v>2542</v>
      </c>
      <c r="H5" s="3217"/>
      <c r="I5" s="3216" t="s">
        <v>2543</v>
      </c>
      <c r="J5" s="3217"/>
      <c r="K5" s="610"/>
      <c r="L5" s="1128"/>
      <c r="M5" s="1129"/>
      <c r="N5" s="1129"/>
      <c r="O5" s="1129"/>
      <c r="P5" s="3203"/>
      <c r="Q5" s="3204"/>
      <c r="R5" s="3209"/>
      <c r="S5" s="3210"/>
      <c r="T5" s="3209"/>
      <c r="U5" s="3210"/>
      <c r="V5" s="3213"/>
      <c r="W5" s="3213"/>
      <c r="X5" s="1810"/>
      <c r="Y5" s="3209"/>
      <c r="Z5" s="3210"/>
      <c r="AA5" s="3195"/>
      <c r="AB5" s="3195"/>
      <c r="AC5" s="3195"/>
    </row>
    <row r="6" spans="1:29" ht="15.75" thickBot="1">
      <c r="A6" s="406"/>
      <c r="B6" s="407"/>
      <c r="C6" s="3214" t="s">
        <v>2544</v>
      </c>
      <c r="D6" s="3215"/>
      <c r="E6" s="3221" t="s">
        <v>2544</v>
      </c>
      <c r="F6" s="3222"/>
      <c r="G6" s="3214" t="s">
        <v>2544</v>
      </c>
      <c r="H6" s="3215"/>
      <c r="I6" s="3214" t="s">
        <v>2544</v>
      </c>
      <c r="J6" s="3215"/>
      <c r="K6" s="610" t="s">
        <v>2545</v>
      </c>
      <c r="L6" s="1128"/>
      <c r="M6" s="1129"/>
      <c r="N6" s="1129"/>
      <c r="O6" s="1129"/>
      <c r="P6" s="3205"/>
      <c r="Q6" s="3206"/>
      <c r="R6" s="3209"/>
      <c r="S6" s="3210"/>
      <c r="T6" s="3211"/>
      <c r="U6" s="3212"/>
      <c r="V6" s="3213"/>
      <c r="W6" s="3213"/>
      <c r="X6" s="1810"/>
      <c r="Y6" s="3211"/>
      <c r="Z6" s="3212"/>
      <c r="AA6" s="3196"/>
      <c r="AB6" s="3196"/>
      <c r="AC6" s="3196"/>
    </row>
    <row r="7" spans="1:29" s="117" customFormat="1" ht="15.75" thickBot="1">
      <c r="A7" s="408" t="s">
        <v>2546</v>
      </c>
      <c r="B7" s="409"/>
      <c r="C7" s="410">
        <f>'数据-取费表'!B2</f>
        <v>43672</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18" t="s">
        <v>2547</v>
      </c>
      <c r="Q7" s="3220"/>
      <c r="R7" s="768" t="s">
        <v>17</v>
      </c>
      <c r="S7" s="769">
        <f t="shared" ref="S7:S14" si="0">F7</f>
        <v>0</v>
      </c>
      <c r="T7" s="768" t="s">
        <v>17</v>
      </c>
      <c r="U7" s="769">
        <f t="shared" ref="U7:U14" si="1">H7</f>
        <v>0</v>
      </c>
      <c r="V7" s="768" t="s">
        <v>17</v>
      </c>
      <c r="W7" s="769">
        <f t="shared" ref="W7:W14" si="2">J7</f>
        <v>0</v>
      </c>
      <c r="X7" s="770"/>
      <c r="Y7" s="3218" t="s">
        <v>2547</v>
      </c>
      <c r="Z7" s="3219"/>
      <c r="AA7" s="771" t="e">
        <f>D7/F7</f>
        <v>#DIV/0!</v>
      </c>
      <c r="AB7" s="771" t="e">
        <f>D7/H7</f>
        <v>#DIV/0!</v>
      </c>
      <c r="AC7" s="771"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18" t="s">
        <v>2550</v>
      </c>
      <c r="Q8" s="3219"/>
      <c r="R8" s="768" t="s">
        <v>17</v>
      </c>
      <c r="S8" s="769">
        <f t="shared" si="0"/>
        <v>0</v>
      </c>
      <c r="T8" s="768" t="s">
        <v>17</v>
      </c>
      <c r="U8" s="769">
        <f t="shared" si="1"/>
        <v>0</v>
      </c>
      <c r="V8" s="768" t="s">
        <v>17</v>
      </c>
      <c r="W8" s="769">
        <f t="shared" si="2"/>
        <v>0</v>
      </c>
      <c r="X8" s="770"/>
      <c r="Y8" s="3218" t="s">
        <v>2550</v>
      </c>
      <c r="Z8" s="3219"/>
      <c r="AA8" s="771" t="e">
        <f t="shared" ref="AA8:AA36" si="3">D8/F8</f>
        <v>#DIV/0!</v>
      </c>
      <c r="AB8" s="771" t="e">
        <f t="shared" ref="AB8:AB36" si="4">D8/H8</f>
        <v>#DIV/0!</v>
      </c>
      <c r="AC8" s="771"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82" t="s">
        <v>2553</v>
      </c>
      <c r="Q9" s="1792" t="str">
        <f t="shared" ref="Q9:Q14" si="6">B9</f>
        <v>用途</v>
      </c>
      <c r="R9" s="768" t="s">
        <v>17</v>
      </c>
      <c r="S9" s="769">
        <f t="shared" si="0"/>
        <v>100</v>
      </c>
      <c r="T9" s="768" t="s">
        <v>17</v>
      </c>
      <c r="U9" s="769">
        <f t="shared" si="1"/>
        <v>100</v>
      </c>
      <c r="V9" s="768" t="s">
        <v>17</v>
      </c>
      <c r="W9" s="769">
        <f t="shared" si="2"/>
        <v>100</v>
      </c>
      <c r="X9" s="770"/>
      <c r="Y9" s="3006" t="s">
        <v>2554</v>
      </c>
      <c r="Z9" s="55" t="str">
        <f t="shared" ref="Z9:Z14" si="7">Q9</f>
        <v>用途</v>
      </c>
      <c r="AA9" s="771">
        <f t="shared" si="3"/>
        <v>1</v>
      </c>
      <c r="AB9" s="771">
        <f t="shared" si="4"/>
        <v>1</v>
      </c>
      <c r="AC9" s="771">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82"/>
      <c r="Q10" s="1792" t="str">
        <f t="shared" si="6"/>
        <v>土地使用年限（年）</v>
      </c>
      <c r="R10" s="768" t="s">
        <v>17</v>
      </c>
      <c r="S10" s="769">
        <f t="shared" si="0"/>
        <v>100</v>
      </c>
      <c r="T10" s="768" t="s">
        <v>17</v>
      </c>
      <c r="U10" s="769">
        <f t="shared" si="1"/>
        <v>100</v>
      </c>
      <c r="V10" s="768" t="s">
        <v>17</v>
      </c>
      <c r="W10" s="769">
        <f t="shared" si="2"/>
        <v>100</v>
      </c>
      <c r="X10" s="770"/>
      <c r="Y10" s="3006"/>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82"/>
      <c r="Q11" s="1792">
        <f t="shared" si="6"/>
        <v>111</v>
      </c>
      <c r="R11" s="768" t="s">
        <v>17</v>
      </c>
      <c r="S11" s="769">
        <f t="shared" si="0"/>
        <v>100</v>
      </c>
      <c r="T11" s="768" t="s">
        <v>17</v>
      </c>
      <c r="U11" s="769">
        <f t="shared" si="1"/>
        <v>100</v>
      </c>
      <c r="V11" s="768" t="s">
        <v>17</v>
      </c>
      <c r="W11" s="769">
        <f t="shared" si="2"/>
        <v>100</v>
      </c>
      <c r="X11" s="770"/>
      <c r="Y11" s="3006"/>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82"/>
      <c r="Q12" s="1792">
        <f t="shared" si="6"/>
        <v>111</v>
      </c>
      <c r="R12" s="768" t="s">
        <v>17</v>
      </c>
      <c r="S12" s="769">
        <f t="shared" si="0"/>
        <v>100</v>
      </c>
      <c r="T12" s="768" t="s">
        <v>17</v>
      </c>
      <c r="U12" s="769">
        <f t="shared" si="1"/>
        <v>100</v>
      </c>
      <c r="V12" s="768" t="s">
        <v>17</v>
      </c>
      <c r="W12" s="769">
        <f t="shared" si="2"/>
        <v>100</v>
      </c>
      <c r="X12" s="770"/>
      <c r="Y12" s="3006"/>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82"/>
      <c r="Q13" s="1792">
        <f t="shared" si="6"/>
        <v>111</v>
      </c>
      <c r="R13" s="768" t="s">
        <v>17</v>
      </c>
      <c r="S13" s="769">
        <f t="shared" si="0"/>
        <v>100</v>
      </c>
      <c r="T13" s="768" t="s">
        <v>17</v>
      </c>
      <c r="U13" s="769">
        <f t="shared" si="1"/>
        <v>100</v>
      </c>
      <c r="V13" s="768" t="s">
        <v>17</v>
      </c>
      <c r="W13" s="769">
        <f t="shared" si="2"/>
        <v>100</v>
      </c>
      <c r="X13" s="770"/>
      <c r="Y13" s="3006"/>
      <c r="Z13" s="55">
        <f t="shared" si="7"/>
        <v>111</v>
      </c>
      <c r="AA13" s="771">
        <f t="shared" si="3"/>
        <v>1</v>
      </c>
      <c r="AB13" s="771">
        <f t="shared" si="4"/>
        <v>1</v>
      </c>
      <c r="AC13" s="771">
        <f t="shared" si="5"/>
        <v>1</v>
      </c>
    </row>
    <row r="14" spans="1:29" ht="85.5">
      <c r="A14" s="401" t="s">
        <v>2557</v>
      </c>
      <c r="B14" s="629" t="s">
        <v>2707</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84" t="s">
        <v>2558</v>
      </c>
      <c r="Q14" s="1807" t="str">
        <f t="shared" si="6"/>
        <v>交通便捷度</v>
      </c>
      <c r="R14" s="772" t="s">
        <v>17</v>
      </c>
      <c r="S14" s="773">
        <f t="shared" si="0"/>
        <v>100</v>
      </c>
      <c r="T14" s="772" t="s">
        <v>17</v>
      </c>
      <c r="U14" s="773">
        <f t="shared" si="1"/>
        <v>100</v>
      </c>
      <c r="V14" s="772" t="s">
        <v>17</v>
      </c>
      <c r="W14" s="773">
        <f t="shared" si="2"/>
        <v>100</v>
      </c>
      <c r="X14" s="1810"/>
      <c r="Y14" s="3184" t="s">
        <v>2558</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8"/>
      <c r="M15" s="1129"/>
      <c r="N15" s="1129"/>
      <c r="O15" s="1129"/>
      <c r="P15" s="3185"/>
      <c r="Q15" s="1807"/>
      <c r="R15" s="772"/>
      <c r="S15" s="773"/>
      <c r="T15" s="772"/>
      <c r="U15" s="773"/>
      <c r="V15" s="772"/>
      <c r="W15" s="773"/>
      <c r="X15" s="1810"/>
      <c r="Y15" s="3185"/>
      <c r="Z15" s="1811"/>
      <c r="AA15" s="1808">
        <v>1</v>
      </c>
      <c r="AB15" s="1808">
        <v>1</v>
      </c>
      <c r="AC15" s="1808">
        <v>1</v>
      </c>
    </row>
    <row r="16" spans="1:29" ht="42.75">
      <c r="A16" s="404"/>
      <c r="B16" s="631" t="s">
        <v>2686</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85"/>
      <c r="Q16" s="1807" t="str">
        <f>B16</f>
        <v>公共配套设施</v>
      </c>
      <c r="R16" s="772" t="s">
        <v>17</v>
      </c>
      <c r="S16" s="773">
        <f>F16</f>
        <v>100</v>
      </c>
      <c r="T16" s="772" t="s">
        <v>17</v>
      </c>
      <c r="U16" s="773">
        <f>H16</f>
        <v>100</v>
      </c>
      <c r="V16" s="772" t="s">
        <v>17</v>
      </c>
      <c r="W16" s="773">
        <f>J16</f>
        <v>100</v>
      </c>
      <c r="X16" s="1810"/>
      <c r="Y16" s="3185"/>
      <c r="Z16" s="1811" t="str">
        <f>Q16</f>
        <v>公共配套设施</v>
      </c>
      <c r="AA16" s="1808">
        <f t="shared" si="3"/>
        <v>1</v>
      </c>
      <c r="AB16" s="1808">
        <f t="shared" si="4"/>
        <v>1</v>
      </c>
      <c r="AC16" s="1808">
        <f t="shared" si="5"/>
        <v>1</v>
      </c>
    </row>
    <row r="17" spans="1:29" ht="15">
      <c r="A17" s="404"/>
      <c r="B17" s="632"/>
      <c r="C17" s="2605"/>
      <c r="D17" s="448"/>
      <c r="E17" s="447"/>
      <c r="F17" s="449"/>
      <c r="G17" s="447"/>
      <c r="H17" s="448"/>
      <c r="I17" s="447"/>
      <c r="J17" s="448"/>
      <c r="K17" s="615"/>
      <c r="L17" s="1138"/>
      <c r="M17" s="1129"/>
      <c r="N17" s="1129"/>
      <c r="O17" s="1129"/>
      <c r="P17" s="3185"/>
      <c r="Q17" s="1807"/>
      <c r="R17" s="772"/>
      <c r="S17" s="773"/>
      <c r="T17" s="772"/>
      <c r="U17" s="773"/>
      <c r="V17" s="772"/>
      <c r="W17" s="773"/>
      <c r="X17" s="1810"/>
      <c r="Y17" s="3185"/>
      <c r="Z17" s="1811"/>
      <c r="AA17" s="1808">
        <v>1</v>
      </c>
      <c r="AB17" s="1808">
        <v>1</v>
      </c>
      <c r="AC17" s="1808">
        <v>1</v>
      </c>
    </row>
    <row r="18" spans="1:29" ht="28.5">
      <c r="A18" s="404"/>
      <c r="B18" s="633" t="s">
        <v>2687</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85"/>
      <c r="Q18" s="1807" t="str">
        <f>B18</f>
        <v>基础设施水平</v>
      </c>
      <c r="R18" s="772" t="s">
        <v>17</v>
      </c>
      <c r="S18" s="773">
        <f>F18</f>
        <v>100</v>
      </c>
      <c r="T18" s="772" t="s">
        <v>17</v>
      </c>
      <c r="U18" s="773">
        <f>H18</f>
        <v>100</v>
      </c>
      <c r="V18" s="772" t="s">
        <v>17</v>
      </c>
      <c r="W18" s="773">
        <f>J18</f>
        <v>100</v>
      </c>
      <c r="X18" s="1810"/>
      <c r="Y18" s="3185"/>
      <c r="Z18" s="1811" t="str">
        <f>Q18</f>
        <v>基础设施水平</v>
      </c>
      <c r="AA18" s="1808">
        <f t="shared" ref="AA18" si="8">D18/F18</f>
        <v>1</v>
      </c>
      <c r="AB18" s="1808">
        <f t="shared" ref="AB18" si="9">D18/H18</f>
        <v>1</v>
      </c>
      <c r="AC18" s="1808">
        <f t="shared" ref="AC18" si="10">D18/J18</f>
        <v>1</v>
      </c>
    </row>
    <row r="19" spans="1:29" ht="15">
      <c r="A19" s="404"/>
      <c r="B19" s="633"/>
      <c r="C19" s="2605"/>
      <c r="D19" s="450"/>
      <c r="E19" s="2605"/>
      <c r="F19" s="453"/>
      <c r="G19" s="2605"/>
      <c r="H19" s="448"/>
      <c r="I19" s="447"/>
      <c r="J19" s="448"/>
      <c r="K19" s="1381"/>
      <c r="L19" s="1138"/>
      <c r="M19" s="1129"/>
      <c r="N19" s="1129"/>
      <c r="O19" s="1129"/>
      <c r="P19" s="3185"/>
      <c r="Q19" s="1807"/>
      <c r="R19" s="772"/>
      <c r="S19" s="773"/>
      <c r="T19" s="772"/>
      <c r="U19" s="773"/>
      <c r="V19" s="772"/>
      <c r="W19" s="773"/>
      <c r="X19" s="1810"/>
      <c r="Y19" s="3185"/>
      <c r="Z19" s="1811"/>
      <c r="AA19" s="1808">
        <v>1</v>
      </c>
      <c r="AB19" s="1808">
        <v>1</v>
      </c>
      <c r="AC19" s="1808">
        <v>1</v>
      </c>
    </row>
    <row r="20" spans="1:29" ht="57">
      <c r="A20" s="404"/>
      <c r="B20" s="631" t="s">
        <v>2708</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85"/>
      <c r="Q20" s="1807" t="str">
        <f>B20</f>
        <v>自然及人文环境</v>
      </c>
      <c r="R20" s="772" t="s">
        <v>17</v>
      </c>
      <c r="S20" s="773">
        <f>F20</f>
        <v>100</v>
      </c>
      <c r="T20" s="772" t="s">
        <v>17</v>
      </c>
      <c r="U20" s="773">
        <f>H20</f>
        <v>100</v>
      </c>
      <c r="V20" s="772" t="s">
        <v>17</v>
      </c>
      <c r="W20" s="773">
        <f>J20</f>
        <v>100</v>
      </c>
      <c r="X20" s="1810"/>
      <c r="Y20" s="3185"/>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8"/>
      <c r="M21" s="1129"/>
      <c r="N21" s="1129"/>
      <c r="O21" s="1129"/>
      <c r="P21" s="3185"/>
      <c r="Q21" s="1807"/>
      <c r="R21" s="772"/>
      <c r="S21" s="773"/>
      <c r="T21" s="772"/>
      <c r="U21" s="773"/>
      <c r="V21" s="772"/>
      <c r="W21" s="773"/>
      <c r="X21" s="1810"/>
      <c r="Y21" s="3185"/>
      <c r="Z21" s="1811"/>
      <c r="AA21" s="1808">
        <v>1</v>
      </c>
      <c r="AB21" s="1808">
        <v>1</v>
      </c>
      <c r="AC21" s="1808">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85"/>
      <c r="Q22" s="1807" t="str">
        <f>B22</f>
        <v>楼层</v>
      </c>
      <c r="R22" s="772" t="s">
        <v>17</v>
      </c>
      <c r="S22" s="773">
        <f>F22</f>
        <v>100</v>
      </c>
      <c r="T22" s="772" t="s">
        <v>17</v>
      </c>
      <c r="U22" s="773">
        <f>H22</f>
        <v>100</v>
      </c>
      <c r="V22" s="772" t="s">
        <v>17</v>
      </c>
      <c r="W22" s="773">
        <f>J22</f>
        <v>100</v>
      </c>
      <c r="X22" s="1810"/>
      <c r="Y22" s="3185"/>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85"/>
      <c r="Q23" s="1807">
        <f>B23</f>
        <v>111</v>
      </c>
      <c r="R23" s="772" t="s">
        <v>17</v>
      </c>
      <c r="S23" s="773">
        <f>F23</f>
        <v>100</v>
      </c>
      <c r="T23" s="772" t="s">
        <v>17</v>
      </c>
      <c r="U23" s="773">
        <f>H23</f>
        <v>100</v>
      </c>
      <c r="V23" s="772" t="s">
        <v>17</v>
      </c>
      <c r="W23" s="773">
        <f>J23</f>
        <v>100</v>
      </c>
      <c r="X23" s="1810"/>
      <c r="Y23" s="3185"/>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85"/>
      <c r="Q24" s="1807">
        <f t="shared" ref="Q24:Q36" si="11">B24</f>
        <v>111</v>
      </c>
      <c r="R24" s="772" t="s">
        <v>17</v>
      </c>
      <c r="S24" s="773">
        <f>F24</f>
        <v>100</v>
      </c>
      <c r="T24" s="772" t="s">
        <v>17</v>
      </c>
      <c r="U24" s="773">
        <f>H24</f>
        <v>100</v>
      </c>
      <c r="V24" s="772" t="s">
        <v>17</v>
      </c>
      <c r="W24" s="773">
        <f>J24</f>
        <v>100</v>
      </c>
      <c r="X24" s="1810"/>
      <c r="Y24" s="3185"/>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85"/>
      <c r="Q25" s="1792">
        <f t="shared" si="11"/>
        <v>111</v>
      </c>
      <c r="R25" s="768" t="s">
        <v>17</v>
      </c>
      <c r="S25" s="769">
        <f>F25</f>
        <v>100</v>
      </c>
      <c r="T25" s="768" t="s">
        <v>17</v>
      </c>
      <c r="U25" s="769">
        <f>H25</f>
        <v>100</v>
      </c>
      <c r="V25" s="768" t="s">
        <v>17</v>
      </c>
      <c r="W25" s="769">
        <f>J25</f>
        <v>100</v>
      </c>
      <c r="X25" s="770"/>
      <c r="Y25" s="3185"/>
      <c r="Z25" s="55">
        <f>Q25</f>
        <v>111</v>
      </c>
      <c r="AA25" s="1808">
        <f>D25/F25</f>
        <v>1</v>
      </c>
      <c r="AB25" s="1808">
        <f>D25/H25</f>
        <v>1</v>
      </c>
      <c r="AC25" s="1808">
        <f>D25/J25</f>
        <v>1</v>
      </c>
    </row>
    <row r="26" spans="1:29" ht="28.5">
      <c r="A26" s="652" t="s">
        <v>2561</v>
      </c>
      <c r="B26" s="70" t="s">
        <v>2710</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42" t="s">
        <v>2563</v>
      </c>
      <c r="Q26" s="1807" t="str">
        <f t="shared" si="11"/>
        <v>配套类型</v>
      </c>
      <c r="R26" s="772" t="s">
        <v>17</v>
      </c>
      <c r="S26" s="773">
        <f t="shared" ref="S26:S36" si="12">F26</f>
        <v>100</v>
      </c>
      <c r="T26" s="772" t="s">
        <v>17</v>
      </c>
      <c r="U26" s="773">
        <f t="shared" ref="U26:U36" si="13">H26</f>
        <v>100</v>
      </c>
      <c r="V26" s="772" t="s">
        <v>17</v>
      </c>
      <c r="W26" s="773">
        <f t="shared" ref="W26:W36" si="14">J26</f>
        <v>100</v>
      </c>
      <c r="X26" s="1810"/>
      <c r="Y26" s="3189" t="s">
        <v>2563</v>
      </c>
      <c r="Z26" s="1811" t="str">
        <f t="shared" ref="Z26:Z36" si="15">Q26</f>
        <v>配套类型</v>
      </c>
      <c r="AA26" s="1808">
        <f t="shared" si="3"/>
        <v>1</v>
      </c>
      <c r="AB26" s="1808">
        <f t="shared" si="4"/>
        <v>1</v>
      </c>
      <c r="AC26" s="1808">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89"/>
      <c r="Q27" s="774" t="str">
        <f t="shared" si="11"/>
        <v>项目停车位配比</v>
      </c>
      <c r="R27" s="775" t="s">
        <v>17</v>
      </c>
      <c r="S27" s="776">
        <f t="shared" si="12"/>
        <v>100</v>
      </c>
      <c r="T27" s="775" t="s">
        <v>17</v>
      </c>
      <c r="U27" s="776">
        <f t="shared" si="13"/>
        <v>100</v>
      </c>
      <c r="V27" s="775" t="s">
        <v>17</v>
      </c>
      <c r="W27" s="776">
        <f t="shared" si="14"/>
        <v>100</v>
      </c>
      <c r="X27" s="777"/>
      <c r="Y27" s="3189"/>
      <c r="Z27" s="778" t="str">
        <f t="shared" si="15"/>
        <v>项目停车位配比</v>
      </c>
      <c r="AA27" s="1808">
        <f t="shared" si="3"/>
        <v>1</v>
      </c>
      <c r="AB27" s="1808">
        <f t="shared" si="4"/>
        <v>1</v>
      </c>
      <c r="AC27" s="1808">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89"/>
      <c r="Q28" s="1807" t="str">
        <f t="shared" si="11"/>
        <v>公共部分装修</v>
      </c>
      <c r="R28" s="772" t="s">
        <v>17</v>
      </c>
      <c r="S28" s="773">
        <f t="shared" si="12"/>
        <v>100</v>
      </c>
      <c r="T28" s="772" t="s">
        <v>17</v>
      </c>
      <c r="U28" s="773">
        <f t="shared" si="13"/>
        <v>100</v>
      </c>
      <c r="V28" s="772" t="s">
        <v>17</v>
      </c>
      <c r="W28" s="773">
        <f t="shared" si="14"/>
        <v>100</v>
      </c>
      <c r="X28" s="1810"/>
      <c r="Y28" s="3189"/>
      <c r="Z28" s="1811" t="str">
        <f t="shared" si="15"/>
        <v>公共部分装修</v>
      </c>
      <c r="AA28" s="1808">
        <f t="shared" si="3"/>
        <v>1</v>
      </c>
      <c r="AB28" s="1808">
        <f t="shared" si="4"/>
        <v>1</v>
      </c>
      <c r="AC28" s="1808">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89"/>
      <c r="Q29" s="1807" t="str">
        <f t="shared" si="11"/>
        <v>成新率</v>
      </c>
      <c r="R29" s="772" t="s">
        <v>17</v>
      </c>
      <c r="S29" s="773" t="e">
        <f t="shared" si="12"/>
        <v>#N/A</v>
      </c>
      <c r="T29" s="772" t="s">
        <v>17</v>
      </c>
      <c r="U29" s="773" t="e">
        <f t="shared" si="13"/>
        <v>#N/A</v>
      </c>
      <c r="V29" s="772" t="s">
        <v>17</v>
      </c>
      <c r="W29" s="773" t="e">
        <f t="shared" si="14"/>
        <v>#N/A</v>
      </c>
      <c r="X29" s="1810"/>
      <c r="Y29" s="3189"/>
      <c r="Z29" s="1811" t="str">
        <f t="shared" si="15"/>
        <v>成新率</v>
      </c>
      <c r="AA29" s="1808" t="e">
        <f t="shared" si="3"/>
        <v>#N/A</v>
      </c>
      <c r="AB29" s="1808" t="e">
        <f t="shared" si="4"/>
        <v>#N/A</v>
      </c>
      <c r="AC29" s="1808"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89"/>
      <c r="Q30" s="1807" t="str">
        <f t="shared" si="11"/>
        <v>物业等级</v>
      </c>
      <c r="R30" s="772" t="s">
        <v>17</v>
      </c>
      <c r="S30" s="773">
        <f t="shared" si="12"/>
        <v>100</v>
      </c>
      <c r="T30" s="772" t="s">
        <v>17</v>
      </c>
      <c r="U30" s="773">
        <f t="shared" si="13"/>
        <v>100</v>
      </c>
      <c r="V30" s="772" t="s">
        <v>17</v>
      </c>
      <c r="W30" s="773">
        <f t="shared" si="14"/>
        <v>100</v>
      </c>
      <c r="X30" s="1810"/>
      <c r="Y30" s="3189"/>
      <c r="Z30" s="1811" t="str">
        <f t="shared" si="15"/>
        <v>物业等级</v>
      </c>
      <c r="AA30" s="1808">
        <f t="shared" si="3"/>
        <v>1</v>
      </c>
      <c r="AB30" s="1808">
        <f t="shared" si="4"/>
        <v>1</v>
      </c>
      <c r="AC30" s="1808">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89"/>
      <c r="Q31" s="1792" t="str">
        <f t="shared" si="11"/>
        <v>停车位面积</v>
      </c>
      <c r="R31" s="768" t="s">
        <v>17</v>
      </c>
      <c r="S31" s="769" t="e">
        <f t="shared" si="12"/>
        <v>#N/A</v>
      </c>
      <c r="T31" s="768" t="s">
        <v>17</v>
      </c>
      <c r="U31" s="769" t="e">
        <f t="shared" si="13"/>
        <v>#N/A</v>
      </c>
      <c r="V31" s="768" t="s">
        <v>17</v>
      </c>
      <c r="W31" s="769" t="e">
        <f t="shared" si="14"/>
        <v>#N/A</v>
      </c>
      <c r="X31" s="770"/>
      <c r="Y31" s="3189"/>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89" t="s">
        <v>2563</v>
      </c>
      <c r="Q32" s="1807" t="str">
        <f t="shared" si="11"/>
        <v>车位类型</v>
      </c>
      <c r="R32" s="772" t="s">
        <v>17</v>
      </c>
      <c r="S32" s="773">
        <f t="shared" si="12"/>
        <v>100</v>
      </c>
      <c r="T32" s="772" t="s">
        <v>17</v>
      </c>
      <c r="U32" s="773">
        <f t="shared" si="13"/>
        <v>100</v>
      </c>
      <c r="V32" s="772" t="s">
        <v>17</v>
      </c>
      <c r="W32" s="773">
        <f t="shared" si="14"/>
        <v>100</v>
      </c>
      <c r="X32" s="1810"/>
      <c r="Y32" s="3189" t="s">
        <v>2563</v>
      </c>
      <c r="Z32" s="1811" t="str">
        <f t="shared" si="15"/>
        <v>车位类型</v>
      </c>
      <c r="AA32" s="1808">
        <f t="shared" si="3"/>
        <v>1</v>
      </c>
      <c r="AB32" s="1808">
        <f t="shared" si="4"/>
        <v>1</v>
      </c>
      <c r="AC32" s="1808">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89"/>
      <c r="Q33" s="1807" t="str">
        <f t="shared" si="11"/>
        <v>是否直接入户</v>
      </c>
      <c r="R33" s="772" t="s">
        <v>17</v>
      </c>
      <c r="S33" s="773">
        <f t="shared" si="12"/>
        <v>100</v>
      </c>
      <c r="T33" s="772" t="s">
        <v>17</v>
      </c>
      <c r="U33" s="773">
        <f t="shared" si="13"/>
        <v>100</v>
      </c>
      <c r="V33" s="772" t="s">
        <v>17</v>
      </c>
      <c r="W33" s="773">
        <f t="shared" si="14"/>
        <v>100</v>
      </c>
      <c r="X33" s="1810"/>
      <c r="Y33" s="3189"/>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89"/>
      <c r="Q34" s="1807">
        <f t="shared" si="11"/>
        <v>111</v>
      </c>
      <c r="R34" s="772" t="s">
        <v>17</v>
      </c>
      <c r="S34" s="773">
        <f t="shared" si="12"/>
        <v>100</v>
      </c>
      <c r="T34" s="772" t="s">
        <v>17</v>
      </c>
      <c r="U34" s="773">
        <f t="shared" si="13"/>
        <v>100</v>
      </c>
      <c r="V34" s="772" t="s">
        <v>17</v>
      </c>
      <c r="W34" s="773">
        <f t="shared" si="14"/>
        <v>100</v>
      </c>
      <c r="X34" s="1810"/>
      <c r="Y34" s="3189"/>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89"/>
      <c r="Q35" s="774">
        <f t="shared" si="11"/>
        <v>111</v>
      </c>
      <c r="R35" s="775" t="s">
        <v>17</v>
      </c>
      <c r="S35" s="776">
        <f t="shared" si="12"/>
        <v>100</v>
      </c>
      <c r="T35" s="775" t="s">
        <v>17</v>
      </c>
      <c r="U35" s="776">
        <f t="shared" si="13"/>
        <v>100</v>
      </c>
      <c r="V35" s="775" t="s">
        <v>17</v>
      </c>
      <c r="W35" s="776">
        <f t="shared" si="14"/>
        <v>100</v>
      </c>
      <c r="X35" s="777"/>
      <c r="Y35" s="3189"/>
      <c r="Z35" s="778">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89"/>
      <c r="Q36" s="1807">
        <f t="shared" si="11"/>
        <v>111</v>
      </c>
      <c r="R36" s="772" t="s">
        <v>17</v>
      </c>
      <c r="S36" s="773">
        <f t="shared" si="12"/>
        <v>100</v>
      </c>
      <c r="T36" s="772" t="s">
        <v>17</v>
      </c>
      <c r="U36" s="773">
        <f t="shared" si="13"/>
        <v>100</v>
      </c>
      <c r="V36" s="772" t="s">
        <v>17</v>
      </c>
      <c r="W36" s="773">
        <f t="shared" si="14"/>
        <v>100</v>
      </c>
      <c r="X36" s="1810"/>
      <c r="Y36" s="3189"/>
      <c r="Z36" s="1811">
        <f t="shared" si="15"/>
        <v>111</v>
      </c>
      <c r="AA36" s="1808">
        <f t="shared" si="3"/>
        <v>1</v>
      </c>
      <c r="AB36" s="1808">
        <f t="shared" si="4"/>
        <v>1</v>
      </c>
      <c r="AC36" s="1808">
        <f t="shared" si="5"/>
        <v>1</v>
      </c>
    </row>
    <row r="37" spans="1:29" ht="15">
      <c r="A37" s="479" t="s">
        <v>2718</v>
      </c>
      <c r="B37" s="2692" t="s">
        <v>2719</v>
      </c>
      <c r="C37" s="1405" t="s">
        <v>1</v>
      </c>
      <c r="D37" s="1406"/>
      <c r="E37" s="1407"/>
      <c r="F37" s="1408"/>
      <c r="G37" s="1409"/>
      <c r="H37" s="1410"/>
      <c r="I37" s="1407"/>
      <c r="J37" s="1410"/>
      <c r="K37" s="619"/>
      <c r="L37" s="1141"/>
      <c r="M37" s="1142"/>
      <c r="N37" s="1129"/>
      <c r="O37" s="1142"/>
      <c r="P37" s="3182" t="str">
        <f>A37</f>
        <v>成交单价</v>
      </c>
      <c r="Q37" s="3182"/>
      <c r="R37" s="3183">
        <f>E37</f>
        <v>0</v>
      </c>
      <c r="S37" s="3183"/>
      <c r="T37" s="3183">
        <f>G37</f>
        <v>0</v>
      </c>
      <c r="U37" s="3183"/>
      <c r="V37" s="3183">
        <f>I37</f>
        <v>0</v>
      </c>
      <c r="W37" s="3183"/>
      <c r="X37" s="757"/>
      <c r="Y37" s="779"/>
      <c r="Z37" s="757"/>
      <c r="AA37" s="757"/>
      <c r="AB37" s="757"/>
      <c r="AC37" s="757"/>
    </row>
    <row r="38" spans="1:29" ht="15.75" thickBot="1">
      <c r="A38" s="486" t="s">
        <v>2720</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82" t="str">
        <f>A38</f>
        <v>比较价值（元/平方米）</v>
      </c>
      <c r="Q38" s="3182"/>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757"/>
      <c r="Y38" s="757"/>
      <c r="Z38" s="757"/>
      <c r="AA38" s="757"/>
      <c r="AB38" s="757"/>
      <c r="AC38" s="757"/>
    </row>
    <row r="39" spans="1:29" ht="15.75" thickBot="1">
      <c r="A39" s="492" t="s">
        <v>2721</v>
      </c>
      <c r="B39" s="493"/>
      <c r="C39" s="1415" t="e">
        <f>R39</f>
        <v>#DIV/0!</v>
      </c>
      <c r="D39" s="1415"/>
      <c r="E39" s="1415"/>
      <c r="F39" s="1415"/>
      <c r="G39" s="1415"/>
      <c r="H39" s="1415"/>
      <c r="I39" s="1415"/>
      <c r="J39" s="1415"/>
      <c r="K39" s="621"/>
      <c r="L39" s="1141"/>
      <c r="M39" s="1142"/>
      <c r="N39" s="1142"/>
      <c r="O39" s="1142"/>
      <c r="P39" s="3179" t="str">
        <f>A39</f>
        <v>估价对象XX用房的比较价值（楼面单价，元/平方米）</v>
      </c>
      <c r="Q39" s="3180"/>
      <c r="R39" s="3181" t="e">
        <f>IF(F1="售价",ROUND(AVERAGE(R38:V38),0),ROUND(AVERAGE(R38:V38),1))</f>
        <v>#DIV/0!</v>
      </c>
      <c r="S39" s="3181"/>
      <c r="T39" s="3181"/>
      <c r="U39" s="3181"/>
      <c r="V39" s="3181"/>
      <c r="W39" s="3181"/>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2725</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2726</v>
      </c>
      <c r="B48" s="506"/>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2583</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2548</v>
      </c>
      <c r="B51" s="510"/>
      <c r="C51" s="522" t="s">
        <v>2650</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2586</v>
      </c>
      <c r="B53" s="528" t="s">
        <v>2552</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2601</v>
      </c>
      <c r="C65" s="578" t="s">
        <v>2595</v>
      </c>
      <c r="D65" s="578" t="s">
        <v>2596</v>
      </c>
      <c r="E65" s="578" t="s">
        <v>2597</v>
      </c>
      <c r="F65" s="578" t="s">
        <v>2598</v>
      </c>
      <c r="G65" s="578" t="s">
        <v>2599</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2687</v>
      </c>
      <c r="C67" s="660" t="s">
        <v>2673</v>
      </c>
      <c r="D67" s="660" t="s">
        <v>2674</v>
      </c>
      <c r="E67" s="660" t="s">
        <v>2675</v>
      </c>
      <c r="F67" s="660" t="s">
        <v>2676</v>
      </c>
      <c r="G67" s="660" t="s">
        <v>2677</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2607</v>
      </c>
      <c r="C69" s="578" t="s">
        <v>2595</v>
      </c>
      <c r="D69" s="578" t="s">
        <v>2596</v>
      </c>
      <c r="E69" s="578" t="s">
        <v>2597</v>
      </c>
      <c r="F69" s="578" t="s">
        <v>2598</v>
      </c>
      <c r="G69" s="578" t="s">
        <v>2599</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2727</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2561</v>
      </c>
      <c r="B79" s="528" t="s">
        <v>2728</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2729</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2614</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2731</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2733</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2734</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8"/>
      <c r="F1" s="2581"/>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IF(C2="——",ROUND(C37*D3/10000,0),ROUND(C37*D3/10000,0)-D2)</f>
        <v>#DIV/0!</v>
      </c>
      <c r="C2" s="2583"/>
      <c r="D2" s="1122" t="e">
        <f ca="1">SUMIF(INDIRECT("'"&amp;F2&amp;"'"&amp;"!A:A"),"承租人权益价值",INDIRECT("'"&amp;F2&amp;"'"&amp;"!c:c"))</f>
        <v>#REF!</v>
      </c>
      <c r="E2" s="2584" t="s">
        <v>2326</v>
      </c>
      <c r="F2" s="2585"/>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97" t="s">
        <v>2644</v>
      </c>
      <c r="D4" s="3198"/>
      <c r="E4" s="3199" t="s">
        <v>2645</v>
      </c>
      <c r="F4" s="3200"/>
      <c r="G4" s="3197" t="s">
        <v>2646</v>
      </c>
      <c r="H4" s="3198"/>
      <c r="I4" s="3197" t="s">
        <v>2647</v>
      </c>
      <c r="J4" s="3198"/>
      <c r="K4" s="610" t="s">
        <v>2648</v>
      </c>
      <c r="L4" s="1128"/>
      <c r="M4" s="1129"/>
      <c r="N4" s="1129"/>
      <c r="O4" s="1129"/>
      <c r="P4" s="3201" t="s">
        <v>2649</v>
      </c>
      <c r="Q4" s="3202"/>
      <c r="R4" s="3207" t="s">
        <v>2645</v>
      </c>
      <c r="S4" s="3208"/>
      <c r="T4" s="3207" t="s">
        <v>2646</v>
      </c>
      <c r="U4" s="3208"/>
      <c r="V4" s="3213" t="s">
        <v>2647</v>
      </c>
      <c r="W4" s="3213"/>
      <c r="X4" s="1810"/>
      <c r="Y4" s="3207" t="s">
        <v>2649</v>
      </c>
      <c r="Z4" s="3208"/>
      <c r="AA4" s="3194" t="s">
        <v>2645</v>
      </c>
      <c r="AB4" s="3195" t="s">
        <v>2646</v>
      </c>
      <c r="AC4" s="3194" t="s">
        <v>2647</v>
      </c>
    </row>
    <row r="5" spans="1:29" ht="15">
      <c r="A5" s="404"/>
      <c r="B5" s="405"/>
      <c r="C5" s="3216" t="s">
        <v>2540</v>
      </c>
      <c r="D5" s="3217"/>
      <c r="E5" s="3223" t="s">
        <v>2541</v>
      </c>
      <c r="F5" s="3224"/>
      <c r="G5" s="3216" t="s">
        <v>2542</v>
      </c>
      <c r="H5" s="3217"/>
      <c r="I5" s="3216" t="s">
        <v>2543</v>
      </c>
      <c r="J5" s="3217"/>
      <c r="K5" s="610"/>
      <c r="L5" s="1128"/>
      <c r="M5" s="1129"/>
      <c r="N5" s="1129"/>
      <c r="O5" s="1129"/>
      <c r="P5" s="3203"/>
      <c r="Q5" s="3204"/>
      <c r="R5" s="3209"/>
      <c r="S5" s="3210"/>
      <c r="T5" s="3209"/>
      <c r="U5" s="3210"/>
      <c r="V5" s="3213"/>
      <c r="W5" s="3213"/>
      <c r="X5" s="1810"/>
      <c r="Y5" s="3209"/>
      <c r="Z5" s="3210"/>
      <c r="AA5" s="3195"/>
      <c r="AB5" s="3195"/>
      <c r="AC5" s="3195"/>
    </row>
    <row r="6" spans="1:29" ht="15.75" thickBot="1">
      <c r="A6" s="406"/>
      <c r="B6" s="407"/>
      <c r="C6" s="3214" t="s">
        <v>2544</v>
      </c>
      <c r="D6" s="3215"/>
      <c r="E6" s="3221" t="s">
        <v>2544</v>
      </c>
      <c r="F6" s="3222"/>
      <c r="G6" s="3214" t="s">
        <v>2544</v>
      </c>
      <c r="H6" s="3215"/>
      <c r="I6" s="3214" t="s">
        <v>2544</v>
      </c>
      <c r="J6" s="3215"/>
      <c r="K6" s="610" t="s">
        <v>2545</v>
      </c>
      <c r="L6" s="1128"/>
      <c r="M6" s="1129"/>
      <c r="N6" s="1129"/>
      <c r="O6" s="1129"/>
      <c r="P6" s="3205"/>
      <c r="Q6" s="3206"/>
      <c r="R6" s="3209"/>
      <c r="S6" s="3210"/>
      <c r="T6" s="3211"/>
      <c r="U6" s="3212"/>
      <c r="V6" s="3213"/>
      <c r="W6" s="3213"/>
      <c r="X6" s="1810"/>
      <c r="Y6" s="3211"/>
      <c r="Z6" s="3212"/>
      <c r="AA6" s="3196"/>
      <c r="AB6" s="3196"/>
      <c r="AC6" s="3196"/>
    </row>
    <row r="7" spans="1:29" s="117" customFormat="1" ht="15.75" thickBot="1">
      <c r="A7" s="408" t="s">
        <v>2546</v>
      </c>
      <c r="B7" s="409"/>
      <c r="C7" s="410">
        <f>'数据-取费表'!B2</f>
        <v>43672</v>
      </c>
      <c r="D7" s="411">
        <v>100</v>
      </c>
      <c r="E7" s="412"/>
      <c r="F7" s="413">
        <f>SUMIF(46:46,YEAR(E7)&amp;"-"&amp;MONTH(E7),47:47)</f>
        <v>0</v>
      </c>
      <c r="G7" s="2693"/>
      <c r="H7" s="411">
        <f>SUMIF(46:46,YEAR(G7)&amp;"-"&amp;MONTH(G7),47:47)</f>
        <v>0</v>
      </c>
      <c r="I7" s="412"/>
      <c r="J7" s="411">
        <f>SUMIF(46:46,YEAR(I7)&amp;"-"&amp;MONTH(I7),47:47)</f>
        <v>0</v>
      </c>
      <c r="K7" s="611"/>
      <c r="L7" s="1130"/>
      <c r="M7" s="1131"/>
      <c r="N7" s="1131"/>
      <c r="O7" s="1131"/>
      <c r="P7" s="3218" t="s">
        <v>2547</v>
      </c>
      <c r="Q7" s="3220"/>
      <c r="R7" s="768" t="s">
        <v>17</v>
      </c>
      <c r="S7" s="769">
        <f t="shared" ref="S7:S14" si="0">F7</f>
        <v>0</v>
      </c>
      <c r="T7" s="768" t="s">
        <v>17</v>
      </c>
      <c r="U7" s="769">
        <f t="shared" ref="U7:U14" si="1">H7</f>
        <v>0</v>
      </c>
      <c r="V7" s="768" t="s">
        <v>17</v>
      </c>
      <c r="W7" s="769">
        <f t="shared" ref="W7:W14" si="2">J7</f>
        <v>0</v>
      </c>
      <c r="X7" s="770"/>
      <c r="Y7" s="3218" t="s">
        <v>2547</v>
      </c>
      <c r="Z7" s="3219"/>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18" t="s">
        <v>2550</v>
      </c>
      <c r="Q8" s="3219"/>
      <c r="R8" s="768" t="s">
        <v>17</v>
      </c>
      <c r="S8" s="769">
        <f t="shared" si="0"/>
        <v>0</v>
      </c>
      <c r="T8" s="768" t="s">
        <v>17</v>
      </c>
      <c r="U8" s="769">
        <f t="shared" si="1"/>
        <v>0</v>
      </c>
      <c r="V8" s="768" t="s">
        <v>17</v>
      </c>
      <c r="W8" s="769">
        <f t="shared" si="2"/>
        <v>0</v>
      </c>
      <c r="X8" s="770"/>
      <c r="Y8" s="3218" t="s">
        <v>2550</v>
      </c>
      <c r="Z8" s="3219"/>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82" t="s">
        <v>2553</v>
      </c>
      <c r="Q9" s="1792" t="str">
        <f t="shared" ref="Q9:Q14" si="6">B9</f>
        <v>用途</v>
      </c>
      <c r="R9" s="768" t="s">
        <v>17</v>
      </c>
      <c r="S9" s="769">
        <f t="shared" si="0"/>
        <v>100</v>
      </c>
      <c r="T9" s="768" t="s">
        <v>17</v>
      </c>
      <c r="U9" s="769">
        <f t="shared" si="1"/>
        <v>100</v>
      </c>
      <c r="V9" s="768" t="s">
        <v>17</v>
      </c>
      <c r="W9" s="769">
        <f t="shared" si="2"/>
        <v>100</v>
      </c>
      <c r="X9" s="770"/>
      <c r="Y9" s="3006"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82"/>
      <c r="Q10" s="1792" t="str">
        <f t="shared" si="6"/>
        <v>土地使用年限（年）</v>
      </c>
      <c r="R10" s="768" t="s">
        <v>17</v>
      </c>
      <c r="S10" s="769">
        <f t="shared" si="0"/>
        <v>100</v>
      </c>
      <c r="T10" s="768" t="s">
        <v>17</v>
      </c>
      <c r="U10" s="769">
        <f t="shared" si="1"/>
        <v>100</v>
      </c>
      <c r="V10" s="768" t="s">
        <v>17</v>
      </c>
      <c r="W10" s="769">
        <f t="shared" si="2"/>
        <v>100</v>
      </c>
      <c r="X10" s="770"/>
      <c r="Y10" s="3006"/>
      <c r="Z10" s="55" t="str">
        <f t="shared" si="7"/>
        <v>土地使用年限（年）</v>
      </c>
      <c r="AA10" s="771">
        <f t="shared" si="3"/>
        <v>1</v>
      </c>
      <c r="AB10" s="771">
        <f t="shared" si="4"/>
        <v>1</v>
      </c>
      <c r="AC10" s="771">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82"/>
      <c r="Q11" s="1792">
        <f t="shared" si="6"/>
        <v>111</v>
      </c>
      <c r="R11" s="768" t="s">
        <v>17</v>
      </c>
      <c r="S11" s="769">
        <f t="shared" si="0"/>
        <v>100</v>
      </c>
      <c r="T11" s="768" t="s">
        <v>17</v>
      </c>
      <c r="U11" s="769">
        <f t="shared" si="1"/>
        <v>100</v>
      </c>
      <c r="V11" s="768" t="s">
        <v>17</v>
      </c>
      <c r="W11" s="769">
        <f t="shared" si="2"/>
        <v>100</v>
      </c>
      <c r="X11" s="770"/>
      <c r="Y11" s="3006"/>
      <c r="Z11" s="55">
        <f t="shared" si="7"/>
        <v>111</v>
      </c>
      <c r="AA11" s="771">
        <f t="shared" si="3"/>
        <v>1</v>
      </c>
      <c r="AB11" s="771">
        <f t="shared" si="4"/>
        <v>1</v>
      </c>
      <c r="AC11" s="771">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82"/>
      <c r="Q12" s="1792">
        <f t="shared" si="6"/>
        <v>111</v>
      </c>
      <c r="R12" s="768" t="s">
        <v>17</v>
      </c>
      <c r="S12" s="769">
        <f t="shared" si="0"/>
        <v>100</v>
      </c>
      <c r="T12" s="768" t="s">
        <v>17</v>
      </c>
      <c r="U12" s="769">
        <f t="shared" si="1"/>
        <v>100</v>
      </c>
      <c r="V12" s="768" t="s">
        <v>17</v>
      </c>
      <c r="W12" s="769">
        <f t="shared" si="2"/>
        <v>100</v>
      </c>
      <c r="X12" s="770"/>
      <c r="Y12" s="3006"/>
      <c r="Z12" s="55">
        <f t="shared" si="7"/>
        <v>111</v>
      </c>
      <c r="AA12" s="771">
        <f>D12/F12</f>
        <v>1</v>
      </c>
      <c r="AB12" s="771">
        <f>D12/H12</f>
        <v>1</v>
      </c>
      <c r="AC12" s="771">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8"/>
      <c r="M13" s="1129"/>
      <c r="N13" s="1129"/>
      <c r="O13" s="1137"/>
      <c r="P13" s="3182"/>
      <c r="Q13" s="1792">
        <f t="shared" si="6"/>
        <v>111</v>
      </c>
      <c r="R13" s="768" t="s">
        <v>17</v>
      </c>
      <c r="S13" s="769">
        <f t="shared" si="0"/>
        <v>100</v>
      </c>
      <c r="T13" s="768" t="s">
        <v>17</v>
      </c>
      <c r="U13" s="769">
        <f t="shared" si="1"/>
        <v>100</v>
      </c>
      <c r="V13" s="768" t="s">
        <v>17</v>
      </c>
      <c r="W13" s="769">
        <f t="shared" si="2"/>
        <v>100</v>
      </c>
      <c r="X13" s="770"/>
      <c r="Y13" s="3006"/>
      <c r="Z13" s="55">
        <f t="shared" si="7"/>
        <v>111</v>
      </c>
      <c r="AA13" s="771">
        <f t="shared" si="3"/>
        <v>1</v>
      </c>
      <c r="AB13" s="771">
        <f t="shared" si="4"/>
        <v>1</v>
      </c>
      <c r="AC13" s="771">
        <f t="shared" si="5"/>
        <v>1</v>
      </c>
    </row>
    <row r="14" spans="1:29" ht="85.5">
      <c r="A14" s="440" t="s">
        <v>2557</v>
      </c>
      <c r="B14" s="69" t="s">
        <v>2707</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84" t="s">
        <v>2558</v>
      </c>
      <c r="Q14" s="1807" t="str">
        <f t="shared" si="6"/>
        <v>交通便捷度</v>
      </c>
      <c r="R14" s="772" t="s">
        <v>17</v>
      </c>
      <c r="S14" s="773">
        <f t="shared" si="0"/>
        <v>100</v>
      </c>
      <c r="T14" s="772" t="s">
        <v>17</v>
      </c>
      <c r="U14" s="773">
        <f t="shared" si="1"/>
        <v>100</v>
      </c>
      <c r="V14" s="772" t="s">
        <v>17</v>
      </c>
      <c r="W14" s="773">
        <f t="shared" si="2"/>
        <v>100</v>
      </c>
      <c r="X14" s="1810"/>
      <c r="Y14" s="3184" t="s">
        <v>2558</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185"/>
      <c r="Q15" s="1807"/>
      <c r="R15" s="772"/>
      <c r="S15" s="773"/>
      <c r="T15" s="772"/>
      <c r="U15" s="773"/>
      <c r="V15" s="772"/>
      <c r="W15" s="773"/>
      <c r="X15" s="1810"/>
      <c r="Y15" s="3185"/>
      <c r="Z15" s="1811"/>
      <c r="AA15" s="1808">
        <v>1</v>
      </c>
      <c r="AB15" s="1808">
        <v>1</v>
      </c>
      <c r="AC15" s="1808">
        <v>1</v>
      </c>
    </row>
    <row r="16" spans="1:29" ht="42.75">
      <c r="A16" s="428"/>
      <c r="B16" s="451" t="s">
        <v>2686</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85"/>
      <c r="Q16" s="1807" t="str">
        <f>B16</f>
        <v>公共配套设施</v>
      </c>
      <c r="R16" s="772" t="s">
        <v>17</v>
      </c>
      <c r="S16" s="773">
        <f>F16</f>
        <v>100</v>
      </c>
      <c r="T16" s="772" t="s">
        <v>17</v>
      </c>
      <c r="U16" s="773">
        <f>H16</f>
        <v>100</v>
      </c>
      <c r="V16" s="772" t="s">
        <v>17</v>
      </c>
      <c r="W16" s="773">
        <f>J16</f>
        <v>100</v>
      </c>
      <c r="X16" s="1810"/>
      <c r="Y16" s="3185"/>
      <c r="Z16" s="1811" t="str">
        <f>Q16</f>
        <v>公共配套设施</v>
      </c>
      <c r="AA16" s="1808">
        <f t="shared" si="3"/>
        <v>1</v>
      </c>
      <c r="AB16" s="1808">
        <f t="shared" si="4"/>
        <v>1</v>
      </c>
      <c r="AC16" s="1808">
        <f t="shared" si="5"/>
        <v>1</v>
      </c>
    </row>
    <row r="17" spans="1:29" ht="15">
      <c r="A17" s="428"/>
      <c r="B17" s="456"/>
      <c r="C17" s="2605"/>
      <c r="D17" s="448"/>
      <c r="E17" s="447"/>
      <c r="F17" s="449"/>
      <c r="G17" s="447"/>
      <c r="H17" s="448"/>
      <c r="I17" s="447"/>
      <c r="J17" s="448"/>
      <c r="K17" s="615"/>
      <c r="L17" s="1138"/>
      <c r="M17" s="1129"/>
      <c r="N17" s="1129"/>
      <c r="O17" s="1137"/>
      <c r="P17" s="3185"/>
      <c r="Q17" s="1807"/>
      <c r="R17" s="772"/>
      <c r="S17" s="773"/>
      <c r="T17" s="772"/>
      <c r="U17" s="773"/>
      <c r="V17" s="772"/>
      <c r="W17" s="773"/>
      <c r="X17" s="1810"/>
      <c r="Y17" s="3185"/>
      <c r="Z17" s="1811"/>
      <c r="AA17" s="1808">
        <v>1</v>
      </c>
      <c r="AB17" s="1808">
        <v>1</v>
      </c>
      <c r="AC17" s="1808">
        <v>1</v>
      </c>
    </row>
    <row r="18" spans="1:29" ht="28.5">
      <c r="A18" s="428"/>
      <c r="B18" s="1382" t="s">
        <v>2687</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85"/>
      <c r="Q18" s="1807" t="str">
        <f>B18</f>
        <v>基础设施水平</v>
      </c>
      <c r="R18" s="772" t="s">
        <v>17</v>
      </c>
      <c r="S18" s="773">
        <f>F18</f>
        <v>100</v>
      </c>
      <c r="T18" s="772" t="s">
        <v>17</v>
      </c>
      <c r="U18" s="773">
        <f>H18</f>
        <v>100</v>
      </c>
      <c r="V18" s="772" t="s">
        <v>17</v>
      </c>
      <c r="W18" s="773">
        <f>J18</f>
        <v>100</v>
      </c>
      <c r="X18" s="1810"/>
      <c r="Y18" s="3185"/>
      <c r="Z18" s="1811" t="str">
        <f>Q18</f>
        <v>基础设施水平</v>
      </c>
      <c r="AA18" s="1808">
        <f t="shared" ref="AA18" si="8">D18/F18</f>
        <v>1</v>
      </c>
      <c r="AB18" s="1808">
        <f t="shared" ref="AB18" si="9">D18/H18</f>
        <v>1</v>
      </c>
      <c r="AC18" s="1808">
        <f t="shared" ref="AC18" si="10">D18/J18</f>
        <v>1</v>
      </c>
    </row>
    <row r="19" spans="1:29" ht="15">
      <c r="A19" s="428"/>
      <c r="B19" s="1382"/>
      <c r="C19" s="2605"/>
      <c r="D19" s="450"/>
      <c r="E19" s="2605"/>
      <c r="F19" s="453"/>
      <c r="G19" s="2605"/>
      <c r="H19" s="448"/>
      <c r="I19" s="447"/>
      <c r="J19" s="448"/>
      <c r="K19" s="1381"/>
      <c r="L19" s="1138"/>
      <c r="M19" s="1129"/>
      <c r="N19" s="1129"/>
      <c r="O19" s="1137"/>
      <c r="P19" s="3185"/>
      <c r="Q19" s="1807"/>
      <c r="R19" s="772"/>
      <c r="S19" s="773"/>
      <c r="T19" s="772"/>
      <c r="U19" s="773"/>
      <c r="V19" s="772"/>
      <c r="W19" s="773"/>
      <c r="X19" s="1810"/>
      <c r="Y19" s="3185"/>
      <c r="Z19" s="1811"/>
      <c r="AA19" s="1808">
        <v>1</v>
      </c>
      <c r="AB19" s="1808">
        <v>1</v>
      </c>
      <c r="AC19" s="1808">
        <v>1</v>
      </c>
    </row>
    <row r="20" spans="1:29" ht="57">
      <c r="A20" s="428"/>
      <c r="B20" s="451" t="s">
        <v>2708</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85"/>
      <c r="Q20" s="1807" t="str">
        <f>B20</f>
        <v>自然及人文环境</v>
      </c>
      <c r="R20" s="772" t="s">
        <v>17</v>
      </c>
      <c r="S20" s="773">
        <f>F20</f>
        <v>100</v>
      </c>
      <c r="T20" s="772" t="s">
        <v>17</v>
      </c>
      <c r="U20" s="773">
        <f>H20</f>
        <v>100</v>
      </c>
      <c r="V20" s="772" t="s">
        <v>17</v>
      </c>
      <c r="W20" s="773">
        <f>J20</f>
        <v>100</v>
      </c>
      <c r="X20" s="1810"/>
      <c r="Y20" s="3185"/>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185"/>
      <c r="Q21" s="1807"/>
      <c r="R21" s="772"/>
      <c r="S21" s="773"/>
      <c r="T21" s="772"/>
      <c r="U21" s="773"/>
      <c r="V21" s="772"/>
      <c r="W21" s="773"/>
      <c r="X21" s="1810"/>
      <c r="Y21" s="3185"/>
      <c r="Z21" s="1811"/>
      <c r="AA21" s="1808">
        <v>1</v>
      </c>
      <c r="AB21" s="1808">
        <v>1</v>
      </c>
      <c r="AC21" s="1808">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85"/>
      <c r="Q22" s="1807" t="str">
        <f>B22</f>
        <v>楼层</v>
      </c>
      <c r="R22" s="772" t="s">
        <v>17</v>
      </c>
      <c r="S22" s="773">
        <f>F22</f>
        <v>100</v>
      </c>
      <c r="T22" s="772" t="s">
        <v>17</v>
      </c>
      <c r="U22" s="773">
        <f>H22</f>
        <v>100</v>
      </c>
      <c r="V22" s="772" t="s">
        <v>17</v>
      </c>
      <c r="W22" s="773">
        <f>J22</f>
        <v>100</v>
      </c>
      <c r="X22" s="1810"/>
      <c r="Y22" s="3185"/>
      <c r="Z22" s="1811" t="str">
        <f>Q22</f>
        <v>楼层</v>
      </c>
      <c r="AA22" s="1808">
        <f t="shared" si="3"/>
        <v>1</v>
      </c>
      <c r="AB22" s="1808">
        <f t="shared" si="4"/>
        <v>1</v>
      </c>
      <c r="AC22" s="1808">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85"/>
      <c r="Q23" s="1807">
        <f>B23</f>
        <v>111</v>
      </c>
      <c r="R23" s="772" t="s">
        <v>17</v>
      </c>
      <c r="S23" s="773">
        <f>F23</f>
        <v>100</v>
      </c>
      <c r="T23" s="772" t="s">
        <v>17</v>
      </c>
      <c r="U23" s="773">
        <f>H23</f>
        <v>100</v>
      </c>
      <c r="V23" s="772" t="s">
        <v>17</v>
      </c>
      <c r="W23" s="773">
        <f>J23</f>
        <v>100</v>
      </c>
      <c r="X23" s="1810"/>
      <c r="Y23" s="3185"/>
      <c r="Z23" s="1811">
        <f>Q23</f>
        <v>111</v>
      </c>
      <c r="AA23" s="1808">
        <f t="shared" si="3"/>
        <v>1</v>
      </c>
      <c r="AB23" s="1808">
        <f t="shared" si="4"/>
        <v>1</v>
      </c>
      <c r="AC23" s="1808">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85"/>
      <c r="Q24" s="1807">
        <f t="shared" ref="Q24:Q34" si="11">B24</f>
        <v>111</v>
      </c>
      <c r="R24" s="772" t="s">
        <v>17</v>
      </c>
      <c r="S24" s="773">
        <f>F24</f>
        <v>100</v>
      </c>
      <c r="T24" s="772" t="s">
        <v>17</v>
      </c>
      <c r="U24" s="773">
        <f>H24</f>
        <v>100</v>
      </c>
      <c r="V24" s="772" t="s">
        <v>17</v>
      </c>
      <c r="W24" s="773">
        <f>J24</f>
        <v>100</v>
      </c>
      <c r="X24" s="1810"/>
      <c r="Y24" s="3185"/>
      <c r="Z24" s="1811">
        <f>Q24</f>
        <v>111</v>
      </c>
      <c r="AA24" s="1808">
        <f t="shared" si="3"/>
        <v>1</v>
      </c>
      <c r="AB24" s="1808">
        <f t="shared" si="4"/>
        <v>1</v>
      </c>
      <c r="AC24" s="1808">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0"/>
      <c r="M25" s="1131"/>
      <c r="N25" s="1131"/>
      <c r="O25" s="1132"/>
      <c r="P25" s="3185"/>
      <c r="Q25" s="1792">
        <f t="shared" si="11"/>
        <v>111</v>
      </c>
      <c r="R25" s="768" t="s">
        <v>17</v>
      </c>
      <c r="S25" s="769">
        <f>F25</f>
        <v>100</v>
      </c>
      <c r="T25" s="768" t="s">
        <v>17</v>
      </c>
      <c r="U25" s="769">
        <f>H25</f>
        <v>100</v>
      </c>
      <c r="V25" s="768" t="s">
        <v>17</v>
      </c>
      <c r="W25" s="769">
        <f>J25</f>
        <v>100</v>
      </c>
      <c r="X25" s="770"/>
      <c r="Y25" s="3185"/>
      <c r="Z25" s="55">
        <f>Q25</f>
        <v>111</v>
      </c>
      <c r="AA25" s="1808">
        <f>D25/F25</f>
        <v>1</v>
      </c>
      <c r="AB25" s="1808">
        <f>D25/H25</f>
        <v>1</v>
      </c>
      <c r="AC25" s="1808">
        <f>D25/J25</f>
        <v>1</v>
      </c>
    </row>
    <row r="26" spans="1:29" ht="28.5">
      <c r="A26" s="466" t="s">
        <v>2561</v>
      </c>
      <c r="B26" s="71" t="s">
        <v>2712</v>
      </c>
      <c r="C26" s="2676"/>
      <c r="D26" s="467">
        <v>100</v>
      </c>
      <c r="E26" s="2676"/>
      <c r="F26" s="667">
        <f>SUMIF(77:77,E26,78:78)-SUMIF(77:77,C26,78:78)+100</f>
        <v>100</v>
      </c>
      <c r="G26" s="2676"/>
      <c r="H26" s="467">
        <f>SUMIF(77:77,G26,78:78)-SUMIF(77:77,C26,78:78)+100</f>
        <v>100</v>
      </c>
      <c r="I26" s="2676"/>
      <c r="J26" s="467">
        <f>SUMIF(77:77,I26,78:78)-SUMIF(77:77,C26,78:78)+100</f>
        <v>100</v>
      </c>
      <c r="K26" s="612"/>
      <c r="L26" s="1138"/>
      <c r="M26" s="1129"/>
      <c r="N26" s="1129"/>
      <c r="O26" s="1137"/>
      <c r="P26" s="3242" t="s">
        <v>2563</v>
      </c>
      <c r="Q26" s="1807" t="str">
        <f t="shared" si="11"/>
        <v>公共部分装修</v>
      </c>
      <c r="R26" s="772" t="s">
        <v>17</v>
      </c>
      <c r="S26" s="773">
        <f t="shared" ref="S26:S34" si="12">F26</f>
        <v>100</v>
      </c>
      <c r="T26" s="772" t="s">
        <v>17</v>
      </c>
      <c r="U26" s="773">
        <f t="shared" ref="U26:U34" si="13">H26</f>
        <v>100</v>
      </c>
      <c r="V26" s="772" t="s">
        <v>17</v>
      </c>
      <c r="W26" s="773">
        <f t="shared" ref="W26:W34" si="14">J26</f>
        <v>100</v>
      </c>
      <c r="X26" s="1810"/>
      <c r="Y26" s="3189" t="s">
        <v>2563</v>
      </c>
      <c r="Z26" s="1811" t="str">
        <f t="shared" ref="Z26:Z34" si="15">Q26</f>
        <v>公共部分装修</v>
      </c>
      <c r="AA26" s="1808">
        <f t="shared" si="3"/>
        <v>1</v>
      </c>
      <c r="AB26" s="1808">
        <f t="shared" si="4"/>
        <v>1</v>
      </c>
      <c r="AC26" s="1808">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89"/>
      <c r="Q27" s="774" t="str">
        <f t="shared" si="11"/>
        <v>成新率</v>
      </c>
      <c r="R27" s="775" t="s">
        <v>17</v>
      </c>
      <c r="S27" s="776" t="e">
        <f t="shared" si="12"/>
        <v>#N/A</v>
      </c>
      <c r="T27" s="775" t="s">
        <v>17</v>
      </c>
      <c r="U27" s="776" t="e">
        <f t="shared" si="13"/>
        <v>#N/A</v>
      </c>
      <c r="V27" s="775" t="s">
        <v>17</v>
      </c>
      <c r="W27" s="776" t="e">
        <f t="shared" si="14"/>
        <v>#N/A</v>
      </c>
      <c r="X27" s="777"/>
      <c r="Y27" s="3189"/>
      <c r="Z27" s="778" t="str">
        <f t="shared" si="15"/>
        <v>成新率</v>
      </c>
      <c r="AA27" s="1808" t="e">
        <f t="shared" si="3"/>
        <v>#N/A</v>
      </c>
      <c r="AB27" s="1808" t="e">
        <f t="shared" si="4"/>
        <v>#N/A</v>
      </c>
      <c r="AC27" s="1808"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89"/>
      <c r="Q28" s="1807" t="str">
        <f t="shared" si="11"/>
        <v>物业等级</v>
      </c>
      <c r="R28" s="772" t="s">
        <v>17</v>
      </c>
      <c r="S28" s="773">
        <f t="shared" si="12"/>
        <v>100</v>
      </c>
      <c r="T28" s="772" t="s">
        <v>17</v>
      </c>
      <c r="U28" s="773">
        <f t="shared" si="13"/>
        <v>100</v>
      </c>
      <c r="V28" s="772" t="s">
        <v>17</v>
      </c>
      <c r="W28" s="773">
        <f t="shared" si="14"/>
        <v>100</v>
      </c>
      <c r="X28" s="1810"/>
      <c r="Y28" s="3189"/>
      <c r="Z28" s="1811" t="str">
        <f t="shared" si="15"/>
        <v>物业等级</v>
      </c>
      <c r="AA28" s="1808">
        <f t="shared" si="3"/>
        <v>1</v>
      </c>
      <c r="AB28" s="1808">
        <f t="shared" si="4"/>
        <v>1</v>
      </c>
      <c r="AC28" s="1808">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89"/>
      <c r="Q29" s="1807" t="str">
        <f t="shared" si="11"/>
        <v>有无电梯</v>
      </c>
      <c r="R29" s="772" t="s">
        <v>17</v>
      </c>
      <c r="S29" s="773">
        <f t="shared" si="12"/>
        <v>100</v>
      </c>
      <c r="T29" s="772" t="s">
        <v>17</v>
      </c>
      <c r="U29" s="773">
        <f t="shared" si="13"/>
        <v>100</v>
      </c>
      <c r="V29" s="772" t="s">
        <v>17</v>
      </c>
      <c r="W29" s="773">
        <f t="shared" si="14"/>
        <v>100</v>
      </c>
      <c r="X29" s="1810"/>
      <c r="Y29" s="3189"/>
      <c r="Z29" s="1811" t="str">
        <f t="shared" si="15"/>
        <v>有无电梯</v>
      </c>
      <c r="AA29" s="1808">
        <f t="shared" si="3"/>
        <v>1</v>
      </c>
      <c r="AB29" s="1808">
        <f t="shared" si="4"/>
        <v>1</v>
      </c>
      <c r="AC29" s="1808">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89"/>
      <c r="Q30" s="1807" t="str">
        <f t="shared" si="11"/>
        <v>建筑面积</v>
      </c>
      <c r="R30" s="772" t="s">
        <v>17</v>
      </c>
      <c r="S30" s="773" t="e">
        <f t="shared" si="12"/>
        <v>#N/A</v>
      </c>
      <c r="T30" s="772" t="s">
        <v>17</v>
      </c>
      <c r="U30" s="773" t="e">
        <f t="shared" si="13"/>
        <v>#N/A</v>
      </c>
      <c r="V30" s="772" t="s">
        <v>17</v>
      </c>
      <c r="W30" s="773" t="e">
        <f t="shared" si="14"/>
        <v>#N/A</v>
      </c>
      <c r="X30" s="1810"/>
      <c r="Y30" s="3189"/>
      <c r="Z30" s="1811" t="str">
        <f t="shared" si="15"/>
        <v>建筑面积</v>
      </c>
      <c r="AA30" s="1808" t="e">
        <f t="shared" si="3"/>
        <v>#N/A</v>
      </c>
      <c r="AB30" s="1808" t="e">
        <f t="shared" si="4"/>
        <v>#N/A</v>
      </c>
      <c r="AC30" s="1808"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89"/>
      <c r="Q31" s="1792" t="str">
        <f t="shared" si="11"/>
        <v>是否封闭</v>
      </c>
      <c r="R31" s="768" t="s">
        <v>17</v>
      </c>
      <c r="S31" s="769">
        <f t="shared" si="12"/>
        <v>100</v>
      </c>
      <c r="T31" s="768" t="s">
        <v>17</v>
      </c>
      <c r="U31" s="769">
        <f t="shared" si="13"/>
        <v>100</v>
      </c>
      <c r="V31" s="768" t="s">
        <v>17</v>
      </c>
      <c r="W31" s="769">
        <f t="shared" si="14"/>
        <v>100</v>
      </c>
      <c r="X31" s="770"/>
      <c r="Y31" s="3189"/>
      <c r="Z31" s="55" t="str">
        <f t="shared" si="15"/>
        <v>是否封闭</v>
      </c>
      <c r="AA31" s="771">
        <f t="shared" si="3"/>
        <v>1</v>
      </c>
      <c r="AB31" s="771">
        <f t="shared" si="4"/>
        <v>1</v>
      </c>
      <c r="AC31" s="771">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89" t="s">
        <v>2563</v>
      </c>
      <c r="Q32" s="1807">
        <f t="shared" si="11"/>
        <v>111</v>
      </c>
      <c r="R32" s="772" t="s">
        <v>17</v>
      </c>
      <c r="S32" s="773">
        <f t="shared" si="12"/>
        <v>100</v>
      </c>
      <c r="T32" s="772" t="s">
        <v>17</v>
      </c>
      <c r="U32" s="773">
        <f t="shared" si="13"/>
        <v>100</v>
      </c>
      <c r="V32" s="772" t="s">
        <v>17</v>
      </c>
      <c r="W32" s="773">
        <f t="shared" si="14"/>
        <v>100</v>
      </c>
      <c r="X32" s="1810"/>
      <c r="Y32" s="3189" t="s">
        <v>2563</v>
      </c>
      <c r="Z32" s="1811">
        <f t="shared" si="15"/>
        <v>111</v>
      </c>
      <c r="AA32" s="1808">
        <f t="shared" si="3"/>
        <v>1</v>
      </c>
      <c r="AB32" s="1808">
        <f t="shared" si="4"/>
        <v>1</v>
      </c>
      <c r="AC32" s="1808">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89"/>
      <c r="Q33" s="1807">
        <f t="shared" si="11"/>
        <v>111</v>
      </c>
      <c r="R33" s="772" t="s">
        <v>17</v>
      </c>
      <c r="S33" s="773">
        <f t="shared" si="12"/>
        <v>100</v>
      </c>
      <c r="T33" s="772" t="s">
        <v>17</v>
      </c>
      <c r="U33" s="773">
        <f t="shared" si="13"/>
        <v>100</v>
      </c>
      <c r="V33" s="772" t="s">
        <v>17</v>
      </c>
      <c r="W33" s="773">
        <f t="shared" si="14"/>
        <v>100</v>
      </c>
      <c r="X33" s="1810"/>
      <c r="Y33" s="3189"/>
      <c r="Z33" s="1811">
        <f t="shared" si="15"/>
        <v>111</v>
      </c>
      <c r="AA33" s="1808">
        <f t="shared" si="3"/>
        <v>1</v>
      </c>
      <c r="AB33" s="1808">
        <f t="shared" si="4"/>
        <v>1</v>
      </c>
      <c r="AC33" s="1808">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8"/>
      <c r="M34" s="1129"/>
      <c r="N34" s="1129"/>
      <c r="O34" s="1137"/>
      <c r="P34" s="3189"/>
      <c r="Q34" s="1807">
        <f t="shared" si="11"/>
        <v>111</v>
      </c>
      <c r="R34" s="772" t="s">
        <v>17</v>
      </c>
      <c r="S34" s="773">
        <f t="shared" si="12"/>
        <v>100</v>
      </c>
      <c r="T34" s="772" t="s">
        <v>17</v>
      </c>
      <c r="U34" s="773">
        <f t="shared" si="13"/>
        <v>100</v>
      </c>
      <c r="V34" s="772" t="s">
        <v>17</v>
      </c>
      <c r="W34" s="773">
        <f t="shared" si="14"/>
        <v>100</v>
      </c>
      <c r="X34" s="1810"/>
      <c r="Y34" s="3189"/>
      <c r="Z34" s="1811">
        <f t="shared" si="15"/>
        <v>111</v>
      </c>
      <c r="AA34" s="1808">
        <f t="shared" si="3"/>
        <v>1</v>
      </c>
      <c r="AB34" s="1808">
        <f t="shared" si="4"/>
        <v>1</v>
      </c>
      <c r="AC34" s="1808">
        <f t="shared" si="5"/>
        <v>1</v>
      </c>
    </row>
    <row r="35" spans="1:29" ht="15">
      <c r="A35" s="479" t="s">
        <v>2575</v>
      </c>
      <c r="B35" s="480"/>
      <c r="C35" s="1405" t="s">
        <v>1</v>
      </c>
      <c r="D35" s="1406"/>
      <c r="E35" s="1407"/>
      <c r="F35" s="1408"/>
      <c r="G35" s="1409"/>
      <c r="H35" s="1410"/>
      <c r="I35" s="1407"/>
      <c r="J35" s="1410"/>
      <c r="K35" s="781"/>
      <c r="L35" s="1141"/>
      <c r="M35" s="1142"/>
      <c r="N35" s="1129"/>
      <c r="O35" s="1142"/>
      <c r="P35" s="3182" t="str">
        <f>A35</f>
        <v>成交单价（元/平方米）</v>
      </c>
      <c r="Q35" s="3182"/>
      <c r="R35" s="3183">
        <f>E35</f>
        <v>0</v>
      </c>
      <c r="S35" s="3183"/>
      <c r="T35" s="3183">
        <f>G35</f>
        <v>0</v>
      </c>
      <c r="U35" s="3183"/>
      <c r="V35" s="3183">
        <f>I35</f>
        <v>0</v>
      </c>
      <c r="W35" s="3183"/>
      <c r="X35" s="757"/>
      <c r="Y35" s="779"/>
      <c r="Z35" s="757"/>
      <c r="AA35" s="757"/>
      <c r="AB35" s="757"/>
      <c r="AC35" s="757"/>
    </row>
    <row r="36" spans="1:29" ht="15.75" thickBot="1">
      <c r="A36" s="486" t="s">
        <v>2667</v>
      </c>
      <c r="B36" s="487"/>
      <c r="C36" s="1411" t="e">
        <f>R37</f>
        <v>#DIV/0!</v>
      </c>
      <c r="D36" s="1412"/>
      <c r="E36" s="1413" t="e">
        <f>R36</f>
        <v>#DIV/0!</v>
      </c>
      <c r="F36" s="1413"/>
      <c r="G36" s="1411" t="e">
        <f>T36</f>
        <v>#DIV/0!</v>
      </c>
      <c r="H36" s="1412"/>
      <c r="I36" s="1413" t="e">
        <f>V36</f>
        <v>#DIV/0!</v>
      </c>
      <c r="J36" s="1412"/>
      <c r="K36" s="782"/>
      <c r="L36" s="1141"/>
      <c r="M36" s="1142"/>
      <c r="N36" s="1129"/>
      <c r="O36" s="1142"/>
      <c r="P36" s="3182" t="str">
        <f>A36</f>
        <v>比较价值（元/平方米）</v>
      </c>
      <c r="Q36" s="3182"/>
      <c r="R36" s="3183" t="e">
        <f>IF(F1="售价",ROUND(PRODUCT(R35,AA7:AA34),0),ROUND(PRODUCT(R35,AA7:AA34),1))</f>
        <v>#DIV/0!</v>
      </c>
      <c r="S36" s="3183"/>
      <c r="T36" s="3183" t="e">
        <f>IF(F1="售价",ROUND(PRODUCT(T35,AB7:AB34),0),ROUND(PRODUCT(T35,AB7:AB34),1))</f>
        <v>#DIV/0!</v>
      </c>
      <c r="U36" s="3183"/>
      <c r="V36" s="3183" t="e">
        <f>IF(F1="售价",ROUND(PRODUCT(V35,AC7:AC34),0),ROUND(PRODUCT(V35,AC7:AC34),1))</f>
        <v>#DIV/0!</v>
      </c>
      <c r="W36" s="3183"/>
      <c r="X36" s="757"/>
      <c r="Y36" s="757"/>
      <c r="Z36" s="757"/>
      <c r="AA36" s="757"/>
      <c r="AB36" s="757"/>
      <c r="AC36" s="757"/>
    </row>
    <row r="37" spans="1:29" ht="15.75" thickBot="1">
      <c r="A37" s="492" t="s">
        <v>2668</v>
      </c>
      <c r="B37" s="493"/>
      <c r="C37" s="1415" t="e">
        <f>R37</f>
        <v>#DIV/0!</v>
      </c>
      <c r="D37" s="1415"/>
      <c r="E37" s="1415"/>
      <c r="F37" s="1415"/>
      <c r="G37" s="1415"/>
      <c r="H37" s="1415"/>
      <c r="I37" s="1415"/>
      <c r="J37" s="1415"/>
      <c r="K37" s="783"/>
      <c r="L37" s="1141"/>
      <c r="M37" s="1142"/>
      <c r="N37" s="1142"/>
      <c r="O37" s="1142"/>
      <c r="P37" s="3179" t="str">
        <f>A37</f>
        <v>估价对象XX用房的比较价值（楼面单价，元/平方米）</v>
      </c>
      <c r="Q37" s="3180"/>
      <c r="R37" s="3181" t="e">
        <f>IF(F1="售价",ROUND(AVERAGE(R36:V36),0),ROUND(AVERAGE(R36:V36),1))</f>
        <v>#DIV/0!</v>
      </c>
      <c r="S37" s="3181"/>
      <c r="T37" s="3181"/>
      <c r="U37" s="3181"/>
      <c r="V37" s="3181"/>
      <c r="W37" s="3181"/>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2586</v>
      </c>
      <c r="B51" s="528" t="s">
        <v>2552</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2727</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2561</v>
      </c>
      <c r="B77" s="528" t="s">
        <v>2614</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2731</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2739</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2741</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2643</v>
      </c>
      <c r="B4" s="402"/>
      <c r="C4" s="3197" t="s">
        <v>2644</v>
      </c>
      <c r="D4" s="3198"/>
      <c r="E4" s="3199" t="s">
        <v>2645</v>
      </c>
      <c r="F4" s="3200"/>
      <c r="G4" s="3197" t="s">
        <v>2646</v>
      </c>
      <c r="H4" s="3198"/>
      <c r="I4" s="3197" t="s">
        <v>2647</v>
      </c>
      <c r="J4" s="3198"/>
      <c r="K4" s="610" t="s">
        <v>2648</v>
      </c>
      <c r="L4" s="1128"/>
      <c r="M4" s="1129"/>
      <c r="N4" s="1129"/>
      <c r="O4" s="1129"/>
      <c r="P4" s="3201" t="s">
        <v>2649</v>
      </c>
      <c r="Q4" s="3202"/>
      <c r="R4" s="3207" t="s">
        <v>2645</v>
      </c>
      <c r="S4" s="3208"/>
      <c r="T4" s="3207" t="s">
        <v>2646</v>
      </c>
      <c r="U4" s="3208"/>
      <c r="V4" s="3213" t="s">
        <v>2647</v>
      </c>
      <c r="W4" s="3213"/>
      <c r="X4" s="1810"/>
      <c r="Y4" s="3207" t="s">
        <v>2649</v>
      </c>
      <c r="Z4" s="3208"/>
      <c r="AA4" s="3194" t="s">
        <v>2645</v>
      </c>
      <c r="AB4" s="3195" t="s">
        <v>2646</v>
      </c>
      <c r="AC4" s="3194" t="s">
        <v>2647</v>
      </c>
    </row>
    <row r="5" spans="1:30" ht="15">
      <c r="A5" s="404"/>
      <c r="B5" s="405"/>
      <c r="C5" s="3216" t="s">
        <v>2540</v>
      </c>
      <c r="D5" s="3217"/>
      <c r="E5" s="3223" t="s">
        <v>2541</v>
      </c>
      <c r="F5" s="3224"/>
      <c r="G5" s="3216" t="s">
        <v>2542</v>
      </c>
      <c r="H5" s="3217"/>
      <c r="I5" s="3216" t="s">
        <v>2543</v>
      </c>
      <c r="J5" s="3217"/>
      <c r="K5" s="610"/>
      <c r="L5" s="1128"/>
      <c r="M5" s="1129"/>
      <c r="N5" s="1129"/>
      <c r="O5" s="1129"/>
      <c r="P5" s="3203"/>
      <c r="Q5" s="3204"/>
      <c r="R5" s="3209"/>
      <c r="S5" s="3210"/>
      <c r="T5" s="3209"/>
      <c r="U5" s="3210"/>
      <c r="V5" s="3213"/>
      <c r="W5" s="3213"/>
      <c r="X5" s="1810"/>
      <c r="Y5" s="3209"/>
      <c r="Z5" s="3210"/>
      <c r="AA5" s="3195"/>
      <c r="AB5" s="3195"/>
      <c r="AC5" s="3195"/>
    </row>
    <row r="6" spans="1:30" ht="15.75" thickBot="1">
      <c r="A6" s="406"/>
      <c r="B6" s="407"/>
      <c r="C6" s="3214" t="s">
        <v>2544</v>
      </c>
      <c r="D6" s="3215"/>
      <c r="E6" s="3221" t="s">
        <v>2544</v>
      </c>
      <c r="F6" s="3222"/>
      <c r="G6" s="3214" t="s">
        <v>2544</v>
      </c>
      <c r="H6" s="3215"/>
      <c r="I6" s="3214" t="s">
        <v>2544</v>
      </c>
      <c r="J6" s="3215"/>
      <c r="K6" s="610" t="s">
        <v>2545</v>
      </c>
      <c r="L6" s="1128"/>
      <c r="M6" s="1129"/>
      <c r="N6" s="1129"/>
      <c r="O6" s="1129"/>
      <c r="P6" s="3205"/>
      <c r="Q6" s="3206"/>
      <c r="R6" s="3209"/>
      <c r="S6" s="3210"/>
      <c r="T6" s="3211"/>
      <c r="U6" s="3212"/>
      <c r="V6" s="3213"/>
      <c r="W6" s="3213"/>
      <c r="X6" s="1810"/>
      <c r="Y6" s="3211"/>
      <c r="Z6" s="3212"/>
      <c r="AA6" s="3196"/>
      <c r="AB6" s="3196"/>
      <c r="AC6" s="3196"/>
    </row>
    <row r="7" spans="1:30" s="117" customFormat="1" ht="15.75" thickBot="1">
      <c r="A7" s="408" t="s">
        <v>2546</v>
      </c>
      <c r="B7" s="409"/>
      <c r="C7" s="410">
        <f>'数据-取费表'!B2</f>
        <v>43672</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0"/>
      <c r="M7" s="1131"/>
      <c r="N7" s="1131"/>
      <c r="O7" s="1131"/>
      <c r="P7" s="3218" t="s">
        <v>2547</v>
      </c>
      <c r="Q7" s="3220"/>
      <c r="R7" s="768" t="s">
        <v>17</v>
      </c>
      <c r="S7" s="769">
        <f t="shared" ref="S7:S15" si="0">F7</f>
        <v>0</v>
      </c>
      <c r="T7" s="768" t="s">
        <v>17</v>
      </c>
      <c r="U7" s="769">
        <f t="shared" ref="U7:U15" si="1">H7</f>
        <v>0</v>
      </c>
      <c r="V7" s="768" t="s">
        <v>17</v>
      </c>
      <c r="W7" s="769">
        <f t="shared" ref="W7:W15" si="2">J7</f>
        <v>0</v>
      </c>
      <c r="X7" s="770"/>
      <c r="Y7" s="3218" t="s">
        <v>2547</v>
      </c>
      <c r="Z7" s="3219"/>
      <c r="AA7" s="771" t="e">
        <f>D7/F7</f>
        <v>#DIV/0!</v>
      </c>
      <c r="AB7" s="771" t="e">
        <f>D7/H7</f>
        <v>#DIV/0!</v>
      </c>
      <c r="AC7" s="771"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18" t="s">
        <v>2550</v>
      </c>
      <c r="Q8" s="3219"/>
      <c r="R8" s="768" t="s">
        <v>17</v>
      </c>
      <c r="S8" s="769">
        <f t="shared" si="0"/>
        <v>0</v>
      </c>
      <c r="T8" s="768" t="s">
        <v>17</v>
      </c>
      <c r="U8" s="769">
        <f t="shared" si="1"/>
        <v>0</v>
      </c>
      <c r="V8" s="768" t="s">
        <v>17</v>
      </c>
      <c r="W8" s="769">
        <f t="shared" si="2"/>
        <v>0</v>
      </c>
      <c r="X8" s="770"/>
      <c r="Y8" s="3218" t="s">
        <v>2550</v>
      </c>
      <c r="Z8" s="3219"/>
      <c r="AA8" s="771" t="e">
        <f t="shared" ref="AA8:AA45" si="3">D8/F8</f>
        <v>#DIV/0!</v>
      </c>
      <c r="AB8" s="771" t="e">
        <f t="shared" ref="AB8:AB45" si="4">D8/H8</f>
        <v>#DIV/0!</v>
      </c>
      <c r="AC8" s="771" t="e">
        <f t="shared" ref="AC8:AC45" si="5">D8/J8</f>
        <v>#DIV/0!</v>
      </c>
    </row>
    <row r="9" spans="1:30" s="117" customFormat="1">
      <c r="A9" s="415" t="s">
        <v>2551</v>
      </c>
      <c r="B9" s="71" t="s">
        <v>2552</v>
      </c>
      <c r="C9" s="2696"/>
      <c r="D9" s="135">
        <v>100</v>
      </c>
      <c r="E9" s="2696"/>
      <c r="F9" s="135">
        <f>SUMIF(75:75,E9,76:76)-SUMIF(75:75,C9,76:76)+100</f>
        <v>100</v>
      </c>
      <c r="G9" s="2696"/>
      <c r="H9" s="135">
        <f>SUMIF(75:75,G9,76:76)-SUMIF(75:75,C9,76:76)+100</f>
        <v>100</v>
      </c>
      <c r="I9" s="2696"/>
      <c r="J9" s="135">
        <f>SUMIF(75:75,I9,76:76)-SUMIF(75:75,C9,76:76)+100</f>
        <v>100</v>
      </c>
      <c r="K9" s="611"/>
      <c r="L9" s="1130"/>
      <c r="M9" s="1131"/>
      <c r="N9" s="1131"/>
      <c r="O9" s="1132"/>
      <c r="P9" s="3182" t="s">
        <v>2553</v>
      </c>
      <c r="Q9" s="1792" t="str">
        <f t="shared" ref="Q9:Q15" si="6">B9</f>
        <v>用途</v>
      </c>
      <c r="R9" s="768" t="s">
        <v>17</v>
      </c>
      <c r="S9" s="769">
        <f t="shared" si="0"/>
        <v>100</v>
      </c>
      <c r="T9" s="768" t="s">
        <v>17</v>
      </c>
      <c r="U9" s="769">
        <f t="shared" si="1"/>
        <v>100</v>
      </c>
      <c r="V9" s="768" t="s">
        <v>17</v>
      </c>
      <c r="W9" s="769">
        <f t="shared" si="2"/>
        <v>100</v>
      </c>
      <c r="X9" s="770"/>
      <c r="Y9" s="3006" t="s">
        <v>2554</v>
      </c>
      <c r="Z9" s="55" t="str">
        <f t="shared" ref="Z9:Z15" si="7">Q9</f>
        <v>用途</v>
      </c>
      <c r="AA9" s="771">
        <f t="shared" si="3"/>
        <v>1</v>
      </c>
      <c r="AB9" s="771">
        <f t="shared" si="4"/>
        <v>1</v>
      </c>
      <c r="AC9" s="771">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2"/>
      <c r="L10" s="1133"/>
      <c r="M10" s="1134"/>
      <c r="N10" s="1134"/>
      <c r="O10" s="1135"/>
      <c r="P10" s="3182"/>
      <c r="Q10" s="1792" t="str">
        <f t="shared" si="6"/>
        <v>土地使用年限（年）</v>
      </c>
      <c r="R10" s="768" t="s">
        <v>17</v>
      </c>
      <c r="S10" s="769">
        <f t="shared" si="0"/>
        <v>104</v>
      </c>
      <c r="T10" s="768" t="s">
        <v>17</v>
      </c>
      <c r="U10" s="769">
        <f t="shared" si="1"/>
        <v>104</v>
      </c>
      <c r="V10" s="768" t="s">
        <v>17</v>
      </c>
      <c r="W10" s="769">
        <f t="shared" si="2"/>
        <v>104</v>
      </c>
      <c r="X10" s="770"/>
      <c r="Y10" s="3006"/>
      <c r="Z10" s="55" t="str">
        <f t="shared" si="7"/>
        <v>土地使用年限（年）</v>
      </c>
      <c r="AA10" s="771">
        <f t="shared" si="3"/>
        <v>0.96153846153846156</v>
      </c>
      <c r="AB10" s="771">
        <f t="shared" si="4"/>
        <v>0.96153846153846156</v>
      </c>
      <c r="AC10" s="771">
        <f t="shared" si="5"/>
        <v>0.96153846153846156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82"/>
      <c r="Q11" s="1792" t="str">
        <f t="shared" si="6"/>
        <v>容积率</v>
      </c>
      <c r="R11" s="768" t="s">
        <v>17</v>
      </c>
      <c r="S11" s="769" t="e">
        <f t="shared" si="0"/>
        <v>#N/A</v>
      </c>
      <c r="T11" s="768" t="s">
        <v>17</v>
      </c>
      <c r="U11" s="769" t="e">
        <f t="shared" si="1"/>
        <v>#N/A</v>
      </c>
      <c r="V11" s="768" t="s">
        <v>17</v>
      </c>
      <c r="W11" s="769" t="e">
        <f t="shared" si="2"/>
        <v>#N/A</v>
      </c>
      <c r="X11" s="770"/>
      <c r="Y11" s="3006"/>
      <c r="Z11" s="55" t="str">
        <f t="shared" si="7"/>
        <v>容积率</v>
      </c>
      <c r="AA11" s="771" t="e">
        <f t="shared" si="3"/>
        <v>#N/A</v>
      </c>
      <c r="AB11" s="771" t="e">
        <f t="shared" si="4"/>
        <v>#N/A</v>
      </c>
      <c r="AC11" s="771" t="e">
        <f t="shared" si="5"/>
        <v>#N/A</v>
      </c>
    </row>
    <row r="12" spans="1:30" s="117" customFormat="1" ht="15">
      <c r="A12" s="431"/>
      <c r="B12" s="2597" t="s">
        <v>2745</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82"/>
      <c r="Q12" s="1792" t="str">
        <f t="shared" si="6"/>
        <v>配建</v>
      </c>
      <c r="R12" s="768" t="s">
        <v>17</v>
      </c>
      <c r="S12" s="769">
        <f t="shared" si="0"/>
        <v>100</v>
      </c>
      <c r="T12" s="768" t="s">
        <v>17</v>
      </c>
      <c r="U12" s="769">
        <f t="shared" si="1"/>
        <v>100</v>
      </c>
      <c r="V12" s="768" t="s">
        <v>17</v>
      </c>
      <c r="W12" s="769">
        <f t="shared" si="2"/>
        <v>100</v>
      </c>
      <c r="X12" s="770"/>
      <c r="Y12" s="3006"/>
      <c r="Z12" s="55" t="str">
        <f t="shared" si="7"/>
        <v>配建</v>
      </c>
      <c r="AA12" s="771">
        <f>D12/F12</f>
        <v>1</v>
      </c>
      <c r="AB12" s="771">
        <f>D12/H12</f>
        <v>1</v>
      </c>
      <c r="AC12" s="771">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82"/>
      <c r="Q13" s="1792">
        <f t="shared" si="6"/>
        <v>111</v>
      </c>
      <c r="R13" s="768" t="s">
        <v>17</v>
      </c>
      <c r="S13" s="769">
        <f t="shared" si="0"/>
        <v>100</v>
      </c>
      <c r="T13" s="768" t="s">
        <v>17</v>
      </c>
      <c r="U13" s="769">
        <f t="shared" si="1"/>
        <v>100</v>
      </c>
      <c r="V13" s="768" t="s">
        <v>17</v>
      </c>
      <c r="W13" s="769">
        <f t="shared" si="2"/>
        <v>100</v>
      </c>
      <c r="X13" s="770"/>
      <c r="Y13" s="3006"/>
      <c r="Z13" s="55">
        <f t="shared" si="7"/>
        <v>111</v>
      </c>
      <c r="AA13" s="771">
        <f>D13/F13</f>
        <v>1</v>
      </c>
      <c r="AB13" s="771">
        <f>D13/H13</f>
        <v>1</v>
      </c>
      <c r="AC13" s="771">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82"/>
      <c r="Q14" s="1792">
        <f t="shared" si="6"/>
        <v>111</v>
      </c>
      <c r="R14" s="768" t="s">
        <v>17</v>
      </c>
      <c r="S14" s="769">
        <f t="shared" si="0"/>
        <v>100</v>
      </c>
      <c r="T14" s="768" t="s">
        <v>17</v>
      </c>
      <c r="U14" s="769">
        <f t="shared" si="1"/>
        <v>100</v>
      </c>
      <c r="V14" s="768" t="s">
        <v>17</v>
      </c>
      <c r="W14" s="769">
        <f t="shared" si="2"/>
        <v>100</v>
      </c>
      <c r="X14" s="770"/>
      <c r="Y14" s="3006"/>
      <c r="Z14" s="55">
        <f t="shared" si="7"/>
        <v>111</v>
      </c>
      <c r="AA14" s="771">
        <f>D14/F14</f>
        <v>1</v>
      </c>
      <c r="AB14" s="771">
        <f>D14/H14</f>
        <v>1</v>
      </c>
      <c r="AC14" s="771">
        <f>D14/J14</f>
        <v>1</v>
      </c>
    </row>
    <row r="15" spans="1:30" ht="99.75">
      <c r="A15" s="440" t="s">
        <v>2557</v>
      </c>
      <c r="B15" s="69" t="s">
        <v>2081</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84" t="s">
        <v>2558</v>
      </c>
      <c r="Q15" s="1807" t="str">
        <f t="shared" si="6"/>
        <v>居住社区成熟度</v>
      </c>
      <c r="R15" s="772" t="s">
        <v>17</v>
      </c>
      <c r="S15" s="773">
        <f t="shared" si="0"/>
        <v>100</v>
      </c>
      <c r="T15" s="772" t="s">
        <v>17</v>
      </c>
      <c r="U15" s="773">
        <f t="shared" si="1"/>
        <v>100</v>
      </c>
      <c r="V15" s="772" t="s">
        <v>17</v>
      </c>
      <c r="W15" s="773">
        <f t="shared" si="2"/>
        <v>100</v>
      </c>
      <c r="X15" s="1810"/>
      <c r="Y15" s="3184" t="s">
        <v>2558</v>
      </c>
      <c r="Z15" s="1811" t="str">
        <f t="shared" si="7"/>
        <v>居住社区成熟度</v>
      </c>
      <c r="AA15" s="1808">
        <f t="shared" si="3"/>
        <v>1</v>
      </c>
      <c r="AB15" s="1808">
        <f t="shared" si="4"/>
        <v>1</v>
      </c>
      <c r="AC15" s="1808">
        <f t="shared" si="5"/>
        <v>1</v>
      </c>
    </row>
    <row r="16" spans="1:30" ht="15">
      <c r="A16" s="428"/>
      <c r="B16" s="446"/>
      <c r="C16" s="447"/>
      <c r="D16" s="448"/>
      <c r="E16" s="2602"/>
      <c r="F16" s="448"/>
      <c r="G16" s="2602"/>
      <c r="H16" s="450"/>
      <c r="I16" s="2601"/>
      <c r="J16" s="448"/>
      <c r="K16" s="672"/>
      <c r="L16" s="1138"/>
      <c r="M16" s="1129"/>
      <c r="N16" s="1129"/>
      <c r="O16" s="1137"/>
      <c r="P16" s="3185"/>
      <c r="Q16" s="1807"/>
      <c r="R16" s="772"/>
      <c r="S16" s="773"/>
      <c r="T16" s="772"/>
      <c r="U16" s="773"/>
      <c r="V16" s="772"/>
      <c r="W16" s="773"/>
      <c r="X16" s="1810"/>
      <c r="Y16" s="3185"/>
      <c r="Z16" s="1811"/>
      <c r="AA16" s="1808">
        <v>1</v>
      </c>
      <c r="AB16" s="1808">
        <v>1</v>
      </c>
      <c r="AC16" s="1808">
        <v>1</v>
      </c>
    </row>
    <row r="17" spans="1:29" ht="71.25">
      <c r="A17" s="428"/>
      <c r="B17" s="451" t="s">
        <v>2651</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85"/>
      <c r="Q17" s="1807" t="str">
        <f>B17</f>
        <v>商业繁华度</v>
      </c>
      <c r="R17" s="772" t="s">
        <v>17</v>
      </c>
      <c r="S17" s="773">
        <f>F17</f>
        <v>100</v>
      </c>
      <c r="T17" s="772" t="s">
        <v>17</v>
      </c>
      <c r="U17" s="773">
        <f>H17</f>
        <v>100</v>
      </c>
      <c r="V17" s="772" t="s">
        <v>17</v>
      </c>
      <c r="W17" s="773">
        <f>J17</f>
        <v>100</v>
      </c>
      <c r="X17" s="1810"/>
      <c r="Y17" s="3185"/>
      <c r="Z17" s="1811" t="str">
        <f>Q17</f>
        <v>商业繁华度</v>
      </c>
      <c r="AA17" s="1808">
        <f t="shared" si="3"/>
        <v>1</v>
      </c>
      <c r="AB17" s="1808">
        <f t="shared" si="4"/>
        <v>1</v>
      </c>
      <c r="AC17" s="1808">
        <f t="shared" si="5"/>
        <v>1</v>
      </c>
    </row>
    <row r="18" spans="1:29" ht="15">
      <c r="A18" s="428"/>
      <c r="B18" s="456"/>
      <c r="C18" s="2605"/>
      <c r="D18" s="450"/>
      <c r="E18" s="2607"/>
      <c r="F18" s="450"/>
      <c r="G18" s="2607"/>
      <c r="H18" s="448"/>
      <c r="I18" s="2606"/>
      <c r="J18" s="448"/>
      <c r="K18" s="672"/>
      <c r="L18" s="1138"/>
      <c r="M18" s="1129"/>
      <c r="N18" s="1129"/>
      <c r="O18" s="1137"/>
      <c r="P18" s="3185"/>
      <c r="Q18" s="1807"/>
      <c r="R18" s="772"/>
      <c r="S18" s="773"/>
      <c r="T18" s="772"/>
      <c r="U18" s="773"/>
      <c r="V18" s="772"/>
      <c r="W18" s="773"/>
      <c r="X18" s="1810"/>
      <c r="Y18" s="3185"/>
      <c r="Z18" s="1811"/>
      <c r="AA18" s="1808">
        <v>1</v>
      </c>
      <c r="AB18" s="1808">
        <v>1</v>
      </c>
      <c r="AC18" s="1808">
        <v>1</v>
      </c>
    </row>
    <row r="19" spans="1:29" ht="71.25">
      <c r="A19" s="428"/>
      <c r="B19" s="451" t="s">
        <v>2685</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85"/>
      <c r="Q19" s="1807" t="str">
        <f>B19</f>
        <v>办公集聚程度</v>
      </c>
      <c r="R19" s="772" t="s">
        <v>17</v>
      </c>
      <c r="S19" s="773">
        <f>F19</f>
        <v>100</v>
      </c>
      <c r="T19" s="772" t="s">
        <v>17</v>
      </c>
      <c r="U19" s="773">
        <f>H19</f>
        <v>100</v>
      </c>
      <c r="V19" s="772" t="s">
        <v>17</v>
      </c>
      <c r="W19" s="773">
        <f>J19</f>
        <v>100</v>
      </c>
      <c r="X19" s="1810"/>
      <c r="Y19" s="3185"/>
      <c r="Z19" s="1811" t="str">
        <f>Q19</f>
        <v>办公集聚程度</v>
      </c>
      <c r="AA19" s="1808">
        <f t="shared" si="3"/>
        <v>1</v>
      </c>
      <c r="AB19" s="1808">
        <f t="shared" si="4"/>
        <v>1</v>
      </c>
      <c r="AC19" s="1808">
        <f t="shared" si="5"/>
        <v>1</v>
      </c>
    </row>
    <row r="20" spans="1:29" ht="15">
      <c r="A20" s="428"/>
      <c r="B20" s="456"/>
      <c r="C20" s="447"/>
      <c r="D20" s="448"/>
      <c r="E20" s="2602"/>
      <c r="F20" s="448"/>
      <c r="G20" s="2602"/>
      <c r="H20" s="448"/>
      <c r="I20" s="2601"/>
      <c r="J20" s="448"/>
      <c r="K20" s="672"/>
      <c r="L20" s="1138"/>
      <c r="M20" s="1129"/>
      <c r="N20" s="1129"/>
      <c r="O20" s="1137"/>
      <c r="P20" s="3185"/>
      <c r="Q20" s="1807"/>
      <c r="R20" s="772"/>
      <c r="S20" s="773"/>
      <c r="T20" s="772"/>
      <c r="U20" s="773"/>
      <c r="V20" s="772"/>
      <c r="W20" s="773"/>
      <c r="X20" s="1810"/>
      <c r="Y20" s="3185"/>
      <c r="Z20" s="1811"/>
      <c r="AA20" s="1808">
        <v>1</v>
      </c>
      <c r="AB20" s="1808">
        <v>1</v>
      </c>
      <c r="AC20" s="1808">
        <v>1</v>
      </c>
    </row>
    <row r="21" spans="1:29" ht="85.5">
      <c r="A21" s="428"/>
      <c r="B21" s="451" t="s">
        <v>2707</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85"/>
      <c r="Q21" s="1807" t="str">
        <f>B21</f>
        <v>交通便捷度</v>
      </c>
      <c r="R21" s="772" t="s">
        <v>17</v>
      </c>
      <c r="S21" s="773">
        <f>F21</f>
        <v>100</v>
      </c>
      <c r="T21" s="772" t="s">
        <v>17</v>
      </c>
      <c r="U21" s="773">
        <f>H21</f>
        <v>100</v>
      </c>
      <c r="V21" s="772" t="s">
        <v>17</v>
      </c>
      <c r="W21" s="773">
        <f>J21</f>
        <v>100</v>
      </c>
      <c r="X21" s="1810"/>
      <c r="Y21" s="3185"/>
      <c r="Z21" s="1811" t="str">
        <f>Q21</f>
        <v>交通便捷度</v>
      </c>
      <c r="AA21" s="1808">
        <f t="shared" si="3"/>
        <v>1</v>
      </c>
      <c r="AB21" s="1808">
        <f t="shared" si="4"/>
        <v>1</v>
      </c>
      <c r="AC21" s="1808">
        <f t="shared" si="5"/>
        <v>1</v>
      </c>
    </row>
    <row r="22" spans="1:29" ht="15">
      <c r="A22" s="428"/>
      <c r="B22" s="1382"/>
      <c r="C22" s="447"/>
      <c r="D22" s="450"/>
      <c r="E22" s="2602"/>
      <c r="F22" s="448"/>
      <c r="G22" s="2602"/>
      <c r="H22" s="448"/>
      <c r="I22" s="2601"/>
      <c r="J22" s="448"/>
      <c r="K22" s="672"/>
      <c r="L22" s="1138"/>
      <c r="M22" s="1129"/>
      <c r="N22" s="1129"/>
      <c r="O22" s="1137"/>
      <c r="P22" s="3185"/>
      <c r="Q22" s="1807"/>
      <c r="R22" s="772"/>
      <c r="S22" s="773"/>
      <c r="T22" s="772"/>
      <c r="U22" s="773"/>
      <c r="V22" s="772"/>
      <c r="W22" s="773"/>
      <c r="X22" s="1810"/>
      <c r="Y22" s="3185"/>
      <c r="Z22" s="1811"/>
      <c r="AA22" s="1808">
        <v>1</v>
      </c>
      <c r="AB22" s="1808">
        <v>1</v>
      </c>
      <c r="AC22" s="1808">
        <v>1</v>
      </c>
    </row>
    <row r="23" spans="1:29" ht="15">
      <c r="A23" s="404"/>
      <c r="B23" s="451" t="s">
        <v>2746</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85"/>
      <c r="Q23" s="1807" t="str">
        <f t="shared" ref="Q23:Q37" si="8">B23</f>
        <v>区域土地利用方向</v>
      </c>
      <c r="R23" s="772" t="s">
        <v>17</v>
      </c>
      <c r="S23" s="773">
        <f>F23</f>
        <v>100</v>
      </c>
      <c r="T23" s="772" t="s">
        <v>17</v>
      </c>
      <c r="U23" s="773">
        <f>H23</f>
        <v>100</v>
      </c>
      <c r="V23" s="772" t="s">
        <v>17</v>
      </c>
      <c r="W23" s="773">
        <f>J23</f>
        <v>100</v>
      </c>
      <c r="X23" s="1810"/>
      <c r="Y23" s="3185"/>
      <c r="Z23" s="1811" t="str">
        <f>Q23</f>
        <v>区域土地利用方向</v>
      </c>
      <c r="AA23" s="1808">
        <f t="shared" si="3"/>
        <v>1</v>
      </c>
      <c r="AB23" s="1808">
        <f t="shared" si="4"/>
        <v>1</v>
      </c>
      <c r="AC23" s="1808">
        <f t="shared" si="5"/>
        <v>1</v>
      </c>
    </row>
    <row r="24" spans="1:29" ht="15">
      <c r="A24" s="404"/>
      <c r="B24" s="456"/>
      <c r="C24" s="616"/>
      <c r="D24" s="448"/>
      <c r="E24" s="2602"/>
      <c r="F24" s="448"/>
      <c r="G24" s="2601"/>
      <c r="H24" s="448"/>
      <c r="I24" s="2601"/>
      <c r="J24" s="448"/>
      <c r="K24" s="810"/>
      <c r="L24" s="1138"/>
      <c r="M24" s="1129"/>
      <c r="N24" s="1129"/>
      <c r="O24" s="1137"/>
      <c r="P24" s="3185"/>
      <c r="Q24" s="1807"/>
      <c r="R24" s="772"/>
      <c r="S24" s="773"/>
      <c r="T24" s="772"/>
      <c r="U24" s="773"/>
      <c r="V24" s="772"/>
      <c r="W24" s="773"/>
      <c r="X24" s="1810"/>
      <c r="Y24" s="3185"/>
      <c r="Z24" s="1811"/>
      <c r="AA24" s="1808"/>
      <c r="AB24" s="1808"/>
      <c r="AC24" s="1808"/>
    </row>
    <row r="25" spans="1:29" ht="57">
      <c r="A25" s="404"/>
      <c r="B25" s="1382" t="s">
        <v>2747</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85"/>
      <c r="Q25" s="1807" t="str">
        <f t="shared" si="8"/>
        <v>自然及人文环境状况</v>
      </c>
      <c r="R25" s="772" t="s">
        <v>17</v>
      </c>
      <c r="S25" s="773">
        <f>F25</f>
        <v>100</v>
      </c>
      <c r="T25" s="772" t="s">
        <v>17</v>
      </c>
      <c r="U25" s="773">
        <f>H25</f>
        <v>100</v>
      </c>
      <c r="V25" s="772" t="s">
        <v>17</v>
      </c>
      <c r="W25" s="773">
        <f>J25</f>
        <v>100</v>
      </c>
      <c r="X25" s="1810"/>
      <c r="Y25" s="3185"/>
      <c r="Z25" s="1811" t="str">
        <f>Q25</f>
        <v>自然及人文环境状况</v>
      </c>
      <c r="AA25" s="1808">
        <f t="shared" si="3"/>
        <v>1</v>
      </c>
      <c r="AB25" s="1808">
        <f t="shared" si="4"/>
        <v>1</v>
      </c>
      <c r="AC25" s="1808">
        <f t="shared" si="5"/>
        <v>1</v>
      </c>
    </row>
    <row r="26" spans="1:29" ht="15">
      <c r="A26" s="404"/>
      <c r="B26" s="456"/>
      <c r="C26" s="447"/>
      <c r="D26" s="448"/>
      <c r="E26" s="2608"/>
      <c r="F26" s="448"/>
      <c r="G26" s="2608"/>
      <c r="H26" s="448"/>
      <c r="I26" s="447"/>
      <c r="J26" s="448"/>
      <c r="K26" s="672"/>
      <c r="L26" s="1138"/>
      <c r="M26" s="1129"/>
      <c r="N26" s="1129"/>
      <c r="O26" s="1137"/>
      <c r="P26" s="3185"/>
      <c r="Q26" s="1807"/>
      <c r="R26" s="772"/>
      <c r="S26" s="773"/>
      <c r="T26" s="772"/>
      <c r="U26" s="773"/>
      <c r="V26" s="772"/>
      <c r="W26" s="773"/>
      <c r="X26" s="1810"/>
      <c r="Y26" s="3185"/>
      <c r="Z26" s="1811"/>
      <c r="AA26" s="1808">
        <v>1</v>
      </c>
      <c r="AB26" s="1808">
        <v>1</v>
      </c>
      <c r="AC26" s="1808">
        <v>1</v>
      </c>
    </row>
    <row r="27" spans="1:29" s="117" customFormat="1" ht="42.75">
      <c r="A27" s="649"/>
      <c r="B27" s="1382" t="s">
        <v>2652</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85"/>
      <c r="Q27" s="1792" t="str">
        <f t="shared" si="8"/>
        <v>公共配套设施</v>
      </c>
      <c r="R27" s="768" t="s">
        <v>17</v>
      </c>
      <c r="S27" s="769">
        <f>F27</f>
        <v>100</v>
      </c>
      <c r="T27" s="768" t="s">
        <v>17</v>
      </c>
      <c r="U27" s="769">
        <f>H27</f>
        <v>100</v>
      </c>
      <c r="V27" s="768" t="s">
        <v>17</v>
      </c>
      <c r="W27" s="769">
        <f>J27</f>
        <v>100</v>
      </c>
      <c r="X27" s="770"/>
      <c r="Y27" s="3185"/>
      <c r="Z27" s="55" t="str">
        <f>Q27</f>
        <v>公共配套设施</v>
      </c>
      <c r="AA27" s="1808">
        <f>D27/F27</f>
        <v>1</v>
      </c>
      <c r="AB27" s="1808">
        <f>D27/H27</f>
        <v>1</v>
      </c>
      <c r="AC27" s="1808">
        <f>D27/J27</f>
        <v>1</v>
      </c>
    </row>
    <row r="28" spans="1:29" s="117" customFormat="1" ht="15">
      <c r="A28" s="649"/>
      <c r="B28" s="456"/>
      <c r="C28" s="2697"/>
      <c r="D28" s="448"/>
      <c r="E28" s="2608"/>
      <c r="F28" s="448"/>
      <c r="G28" s="2608"/>
      <c r="H28" s="448"/>
      <c r="I28" s="447"/>
      <c r="J28" s="448"/>
      <c r="K28" s="672"/>
      <c r="L28" s="1130"/>
      <c r="M28" s="1131"/>
      <c r="N28" s="1131"/>
      <c r="O28" s="1132"/>
      <c r="P28" s="3185"/>
      <c r="Q28" s="1792"/>
      <c r="R28" s="768"/>
      <c r="S28" s="769"/>
      <c r="T28" s="768"/>
      <c r="U28" s="769"/>
      <c r="V28" s="768"/>
      <c r="W28" s="769"/>
      <c r="X28" s="770"/>
      <c r="Y28" s="3185"/>
      <c r="Z28" s="55"/>
      <c r="AA28" s="1808">
        <v>1</v>
      </c>
      <c r="AB28" s="1808">
        <v>1</v>
      </c>
      <c r="AC28" s="1808">
        <v>1</v>
      </c>
    </row>
    <row r="29" spans="1:29" s="117" customFormat="1" ht="28.5">
      <c r="A29" s="649"/>
      <c r="B29" s="1382" t="s">
        <v>2653</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85"/>
      <c r="Q29" s="1792" t="str">
        <f t="shared" ref="Q29" si="9">B29</f>
        <v>基础设施水平</v>
      </c>
      <c r="R29" s="768" t="s">
        <v>17</v>
      </c>
      <c r="S29" s="769">
        <f>F29</f>
        <v>100</v>
      </c>
      <c r="T29" s="768" t="s">
        <v>17</v>
      </c>
      <c r="U29" s="769">
        <f>H29</f>
        <v>100</v>
      </c>
      <c r="V29" s="768" t="s">
        <v>17</v>
      </c>
      <c r="W29" s="769">
        <f>J29</f>
        <v>100</v>
      </c>
      <c r="X29" s="770"/>
      <c r="Y29" s="3185"/>
      <c r="Z29" s="55" t="str">
        <f>Q29</f>
        <v>基础设施水平</v>
      </c>
      <c r="AA29" s="1808">
        <f>D29/F29</f>
        <v>1</v>
      </c>
      <c r="AB29" s="1808">
        <f>D29/H29</f>
        <v>1</v>
      </c>
      <c r="AC29" s="1808">
        <f>D29/J29</f>
        <v>1</v>
      </c>
    </row>
    <row r="30" spans="1:29" s="117" customFormat="1" ht="15">
      <c r="A30" s="649"/>
      <c r="B30" s="456"/>
      <c r="C30" s="2697"/>
      <c r="D30" s="448"/>
      <c r="E30" s="2698"/>
      <c r="F30" s="448"/>
      <c r="G30" s="2698"/>
      <c r="H30" s="448"/>
      <c r="I30" s="2698"/>
      <c r="J30" s="448"/>
      <c r="K30" s="672"/>
      <c r="L30" s="1130"/>
      <c r="M30" s="1131"/>
      <c r="N30" s="1131"/>
      <c r="O30" s="1132"/>
      <c r="P30" s="3185"/>
      <c r="Q30" s="1792"/>
      <c r="R30" s="768"/>
      <c r="S30" s="769"/>
      <c r="T30" s="768"/>
      <c r="U30" s="769"/>
      <c r="V30" s="768"/>
      <c r="W30" s="769"/>
      <c r="X30" s="770"/>
      <c r="Y30" s="3185"/>
      <c r="Z30" s="55"/>
      <c r="AA30" s="1808">
        <v>1</v>
      </c>
      <c r="AB30" s="1808">
        <v>1</v>
      </c>
      <c r="AC30" s="1808">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85"/>
      <c r="Q31" s="1807" t="str">
        <f t="shared" si="8"/>
        <v>临街状况</v>
      </c>
      <c r="R31" s="772" t="s">
        <v>17</v>
      </c>
      <c r="S31" s="773">
        <f t="shared" ref="S31:S45" si="10">F31</f>
        <v>100</v>
      </c>
      <c r="T31" s="772" t="s">
        <v>17</v>
      </c>
      <c r="U31" s="773">
        <f t="shared" ref="U31:U45" si="11">H31</f>
        <v>100</v>
      </c>
      <c r="V31" s="772" t="s">
        <v>17</v>
      </c>
      <c r="W31" s="773">
        <f t="shared" ref="W31:W45" si="12">J31</f>
        <v>100</v>
      </c>
      <c r="X31" s="1810"/>
      <c r="Y31" s="3185"/>
      <c r="Z31" s="1811" t="str">
        <f t="shared" ref="Z31:Z45" si="13">Q31</f>
        <v>临街状况</v>
      </c>
      <c r="AA31" s="1808">
        <f t="shared" si="3"/>
        <v>1</v>
      </c>
      <c r="AB31" s="1808">
        <f t="shared" si="4"/>
        <v>1</v>
      </c>
      <c r="AC31" s="1808">
        <f t="shared" si="5"/>
        <v>1</v>
      </c>
    </row>
    <row r="32" spans="1:29" ht="27">
      <c r="A32" s="428"/>
      <c r="B32" s="1382"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85"/>
      <c r="Q32" s="1807" t="str">
        <f t="shared" si="8"/>
        <v>毗邻道路的类型与等级</v>
      </c>
      <c r="R32" s="772" t="s">
        <v>17</v>
      </c>
      <c r="S32" s="773">
        <f t="shared" si="10"/>
        <v>100</v>
      </c>
      <c r="T32" s="772" t="s">
        <v>17</v>
      </c>
      <c r="U32" s="773">
        <f t="shared" si="11"/>
        <v>100</v>
      </c>
      <c r="V32" s="772" t="s">
        <v>17</v>
      </c>
      <c r="W32" s="773">
        <f t="shared" si="12"/>
        <v>100</v>
      </c>
      <c r="X32" s="1810"/>
      <c r="Y32" s="3185"/>
      <c r="Z32" s="1811" t="str">
        <f t="shared" si="13"/>
        <v>毗邻道路的类型与等级</v>
      </c>
      <c r="AA32" s="1808">
        <f t="shared" si="3"/>
        <v>1</v>
      </c>
      <c r="AB32" s="1808">
        <f t="shared" si="4"/>
        <v>1</v>
      </c>
      <c r="AC32" s="1808">
        <f t="shared" si="5"/>
        <v>1</v>
      </c>
    </row>
    <row r="33" spans="1:29" ht="15">
      <c r="A33" s="428"/>
      <c r="B33" s="456"/>
      <c r="C33" s="447"/>
      <c r="D33" s="448"/>
      <c r="E33" s="2608"/>
      <c r="F33" s="448"/>
      <c r="G33" s="2608"/>
      <c r="H33" s="448"/>
      <c r="I33" s="447"/>
      <c r="J33" s="448"/>
      <c r="K33" s="613"/>
      <c r="L33" s="1138"/>
      <c r="M33" s="1129"/>
      <c r="N33" s="1129"/>
      <c r="O33" s="1137"/>
      <c r="P33" s="3185"/>
      <c r="Q33" s="1807"/>
      <c r="R33" s="772"/>
      <c r="S33" s="773"/>
      <c r="T33" s="772"/>
      <c r="U33" s="773"/>
      <c r="V33" s="772"/>
      <c r="W33" s="773"/>
      <c r="X33" s="1810"/>
      <c r="Y33" s="3185"/>
      <c r="Z33" s="1811"/>
      <c r="AA33" s="1808">
        <v>1</v>
      </c>
      <c r="AB33" s="1808">
        <v>1</v>
      </c>
      <c r="AC33" s="1808">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85"/>
      <c r="Q34" s="1807" t="str">
        <f t="shared" si="8"/>
        <v>土地级别</v>
      </c>
      <c r="R34" s="772" t="s">
        <v>17</v>
      </c>
      <c r="S34" s="773">
        <f t="shared" si="10"/>
        <v>100</v>
      </c>
      <c r="T34" s="772" t="s">
        <v>17</v>
      </c>
      <c r="U34" s="773">
        <f t="shared" si="11"/>
        <v>100</v>
      </c>
      <c r="V34" s="772" t="s">
        <v>17</v>
      </c>
      <c r="W34" s="773">
        <f t="shared" si="12"/>
        <v>100</v>
      </c>
      <c r="X34" s="1810"/>
      <c r="Y34" s="3185"/>
      <c r="Z34" s="1811" t="str">
        <f t="shared" si="13"/>
        <v>土地级别</v>
      </c>
      <c r="AA34" s="1808">
        <f t="shared" si="3"/>
        <v>1</v>
      </c>
      <c r="AB34" s="1808">
        <f t="shared" si="4"/>
        <v>1</v>
      </c>
      <c r="AC34" s="1808">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85"/>
      <c r="Q35" s="1807">
        <f t="shared" si="8"/>
        <v>111</v>
      </c>
      <c r="R35" s="772" t="s">
        <v>17</v>
      </c>
      <c r="S35" s="773">
        <f t="shared" si="10"/>
        <v>100</v>
      </c>
      <c r="T35" s="772" t="s">
        <v>17</v>
      </c>
      <c r="U35" s="773">
        <f t="shared" si="11"/>
        <v>100</v>
      </c>
      <c r="V35" s="772" t="s">
        <v>17</v>
      </c>
      <c r="W35" s="773">
        <f t="shared" si="12"/>
        <v>100</v>
      </c>
      <c r="X35" s="1810"/>
      <c r="Y35" s="3185"/>
      <c r="Z35" s="1811">
        <f t="shared" si="13"/>
        <v>111</v>
      </c>
      <c r="AA35" s="1808">
        <f t="shared" si="3"/>
        <v>1</v>
      </c>
      <c r="AB35" s="1808">
        <f t="shared" si="4"/>
        <v>1</v>
      </c>
      <c r="AC35" s="1808">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42" t="s">
        <v>2563</v>
      </c>
      <c r="Q36" s="1807">
        <f t="shared" si="8"/>
        <v>111</v>
      </c>
      <c r="R36" s="772" t="s">
        <v>17</v>
      </c>
      <c r="S36" s="773">
        <f t="shared" si="10"/>
        <v>100</v>
      </c>
      <c r="T36" s="772" t="s">
        <v>17</v>
      </c>
      <c r="U36" s="773">
        <f t="shared" si="11"/>
        <v>100</v>
      </c>
      <c r="V36" s="772" t="s">
        <v>17</v>
      </c>
      <c r="W36" s="773">
        <f t="shared" si="12"/>
        <v>100</v>
      </c>
      <c r="X36" s="1810"/>
      <c r="Y36" s="3189" t="s">
        <v>2563</v>
      </c>
      <c r="Z36" s="1811">
        <f t="shared" si="13"/>
        <v>111</v>
      </c>
      <c r="AA36" s="1808">
        <f t="shared" si="3"/>
        <v>1</v>
      </c>
      <c r="AB36" s="1808">
        <f t="shared" si="4"/>
        <v>1</v>
      </c>
      <c r="AC36" s="1808">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89"/>
      <c r="Q37" s="1807">
        <f t="shared" si="8"/>
        <v>111</v>
      </c>
      <c r="R37" s="775" t="s">
        <v>17</v>
      </c>
      <c r="S37" s="776">
        <f t="shared" si="10"/>
        <v>100</v>
      </c>
      <c r="T37" s="775" t="s">
        <v>17</v>
      </c>
      <c r="U37" s="776">
        <f t="shared" si="11"/>
        <v>100</v>
      </c>
      <c r="V37" s="775" t="s">
        <v>17</v>
      </c>
      <c r="W37" s="776">
        <f t="shared" si="12"/>
        <v>100</v>
      </c>
      <c r="X37" s="777"/>
      <c r="Y37" s="3189"/>
      <c r="Z37" s="778">
        <f t="shared" si="13"/>
        <v>111</v>
      </c>
      <c r="AA37" s="1808">
        <f t="shared" si="3"/>
        <v>1</v>
      </c>
      <c r="AB37" s="1808">
        <f t="shared" si="4"/>
        <v>1</v>
      </c>
      <c r="AC37" s="1808">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89"/>
      <c r="Q38" s="1807" t="str">
        <f>B38</f>
        <v>宗地面积</v>
      </c>
      <c r="R38" s="772" t="s">
        <v>17</v>
      </c>
      <c r="S38" s="773" t="e">
        <f t="shared" si="10"/>
        <v>#N/A</v>
      </c>
      <c r="T38" s="772" t="s">
        <v>17</v>
      </c>
      <c r="U38" s="773" t="e">
        <f t="shared" si="11"/>
        <v>#N/A</v>
      </c>
      <c r="V38" s="772" t="s">
        <v>17</v>
      </c>
      <c r="W38" s="773" t="e">
        <f t="shared" si="12"/>
        <v>#N/A</v>
      </c>
      <c r="X38" s="1810"/>
      <c r="Y38" s="3189"/>
      <c r="Z38" s="1811" t="str">
        <f t="shared" si="13"/>
        <v>宗地面积</v>
      </c>
      <c r="AA38" s="1808" t="e">
        <f t="shared" si="3"/>
        <v>#N/A</v>
      </c>
      <c r="AB38" s="1808" t="e">
        <f t="shared" si="4"/>
        <v>#N/A</v>
      </c>
      <c r="AC38" s="1808" t="e">
        <f t="shared" si="5"/>
        <v>#N/A</v>
      </c>
    </row>
    <row r="39" spans="1:29" ht="15">
      <c r="A39" s="472"/>
      <c r="B39" s="422" t="s">
        <v>2750</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8"/>
      <c r="M39" s="1129"/>
      <c r="N39" s="1129"/>
      <c r="O39" s="1137"/>
      <c r="P39" s="3189"/>
      <c r="Q39" s="1807" t="str">
        <f t="shared" ref="Q39:Q45" si="14">B39</f>
        <v>宗地形状</v>
      </c>
      <c r="R39" s="772" t="s">
        <v>17</v>
      </c>
      <c r="S39" s="773">
        <f t="shared" si="10"/>
        <v>100</v>
      </c>
      <c r="T39" s="772" t="s">
        <v>17</v>
      </c>
      <c r="U39" s="773">
        <f t="shared" si="11"/>
        <v>100</v>
      </c>
      <c r="V39" s="772" t="s">
        <v>17</v>
      </c>
      <c r="W39" s="773">
        <f t="shared" si="12"/>
        <v>100</v>
      </c>
      <c r="X39" s="1810"/>
      <c r="Y39" s="3189"/>
      <c r="Z39" s="1811" t="str">
        <f t="shared" si="13"/>
        <v>宗地形状</v>
      </c>
      <c r="AA39" s="1808">
        <f t="shared" si="3"/>
        <v>1</v>
      </c>
      <c r="AB39" s="1808">
        <f t="shared" si="4"/>
        <v>1</v>
      </c>
      <c r="AC39" s="1808">
        <f t="shared" si="5"/>
        <v>1</v>
      </c>
    </row>
    <row r="40" spans="1:29" ht="15">
      <c r="A40" s="472"/>
      <c r="B40" s="422" t="s">
        <v>2751</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8"/>
      <c r="M40" s="1129"/>
      <c r="N40" s="1129"/>
      <c r="O40" s="1137"/>
      <c r="P40" s="3189"/>
      <c r="Q40" s="1807" t="str">
        <f t="shared" si="14"/>
        <v>临街宽度及深度</v>
      </c>
      <c r="R40" s="772" t="s">
        <v>17</v>
      </c>
      <c r="S40" s="773">
        <f t="shared" si="10"/>
        <v>100</v>
      </c>
      <c r="T40" s="772" t="s">
        <v>17</v>
      </c>
      <c r="U40" s="773">
        <f t="shared" si="11"/>
        <v>100</v>
      </c>
      <c r="V40" s="772" t="s">
        <v>17</v>
      </c>
      <c r="W40" s="773">
        <f t="shared" si="12"/>
        <v>100</v>
      </c>
      <c r="X40" s="1810"/>
      <c r="Y40" s="3189"/>
      <c r="Z40" s="1811" t="str">
        <f t="shared" si="13"/>
        <v>临街宽度及深度</v>
      </c>
      <c r="AA40" s="1808">
        <f t="shared" si="3"/>
        <v>1</v>
      </c>
      <c r="AB40" s="1808">
        <f t="shared" si="4"/>
        <v>1</v>
      </c>
      <c r="AC40" s="1808">
        <f t="shared" si="5"/>
        <v>1</v>
      </c>
    </row>
    <row r="41" spans="1:29" s="117" customFormat="1" ht="15">
      <c r="A41" s="473"/>
      <c r="B41" s="422" t="s">
        <v>2752</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0"/>
      <c r="M41" s="1131"/>
      <c r="N41" s="1131"/>
      <c r="O41" s="1132"/>
      <c r="P41" s="3189"/>
      <c r="Q41" s="1807" t="str">
        <f t="shared" si="14"/>
        <v>宗地开发程度</v>
      </c>
      <c r="R41" s="768" t="s">
        <v>17</v>
      </c>
      <c r="S41" s="769">
        <f t="shared" si="10"/>
        <v>100</v>
      </c>
      <c r="T41" s="768" t="s">
        <v>17</v>
      </c>
      <c r="U41" s="769">
        <f t="shared" si="11"/>
        <v>100</v>
      </c>
      <c r="V41" s="768" t="s">
        <v>17</v>
      </c>
      <c r="W41" s="769">
        <f t="shared" si="12"/>
        <v>100</v>
      </c>
      <c r="X41" s="770"/>
      <c r="Y41" s="3189"/>
      <c r="Z41" s="55" t="str">
        <f t="shared" si="13"/>
        <v>宗地开发程度</v>
      </c>
      <c r="AA41" s="771">
        <f t="shared" si="3"/>
        <v>1</v>
      </c>
      <c r="AB41" s="771">
        <f t="shared" si="4"/>
        <v>1</v>
      </c>
      <c r="AC41" s="771">
        <f t="shared" si="5"/>
        <v>1</v>
      </c>
    </row>
    <row r="42" spans="1:29" ht="15">
      <c r="A42" s="472"/>
      <c r="B42" s="422" t="s">
        <v>2753</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8"/>
      <c r="M42" s="1129"/>
      <c r="N42" s="1129"/>
      <c r="O42" s="1137"/>
      <c r="P42" s="3189" t="s">
        <v>2563</v>
      </c>
      <c r="Q42" s="1807" t="str">
        <f t="shared" si="14"/>
        <v>工程地质条件</v>
      </c>
      <c r="R42" s="772" t="s">
        <v>17</v>
      </c>
      <c r="S42" s="773">
        <f t="shared" si="10"/>
        <v>100</v>
      </c>
      <c r="T42" s="772" t="s">
        <v>17</v>
      </c>
      <c r="U42" s="773">
        <f t="shared" si="11"/>
        <v>100</v>
      </c>
      <c r="V42" s="772" t="s">
        <v>17</v>
      </c>
      <c r="W42" s="773">
        <f t="shared" si="12"/>
        <v>100</v>
      </c>
      <c r="X42" s="1810"/>
      <c r="Y42" s="3189" t="s">
        <v>2563</v>
      </c>
      <c r="Z42" s="1811" t="str">
        <f t="shared" si="13"/>
        <v>工程地质条件</v>
      </c>
      <c r="AA42" s="1808">
        <f t="shared" si="3"/>
        <v>1</v>
      </c>
      <c r="AB42" s="1808">
        <f t="shared" si="4"/>
        <v>1</v>
      </c>
      <c r="AC42" s="1808">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89"/>
      <c r="Q43" s="1807">
        <f t="shared" si="14"/>
        <v>111</v>
      </c>
      <c r="R43" s="772" t="s">
        <v>17</v>
      </c>
      <c r="S43" s="773">
        <f t="shared" si="10"/>
        <v>100</v>
      </c>
      <c r="T43" s="772" t="s">
        <v>17</v>
      </c>
      <c r="U43" s="773">
        <f t="shared" si="11"/>
        <v>100</v>
      </c>
      <c r="V43" s="772" t="s">
        <v>17</v>
      </c>
      <c r="W43" s="773">
        <f t="shared" si="12"/>
        <v>100</v>
      </c>
      <c r="X43" s="1810"/>
      <c r="Y43" s="3189"/>
      <c r="Z43" s="1811">
        <f t="shared" si="13"/>
        <v>111</v>
      </c>
      <c r="AA43" s="1808">
        <f t="shared" si="3"/>
        <v>1</v>
      </c>
      <c r="AB43" s="1808">
        <f t="shared" si="4"/>
        <v>1</v>
      </c>
      <c r="AC43" s="1808">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89"/>
      <c r="Q44" s="1807">
        <f t="shared" si="14"/>
        <v>111</v>
      </c>
      <c r="R44" s="772" t="s">
        <v>17</v>
      </c>
      <c r="S44" s="773">
        <f t="shared" si="10"/>
        <v>100</v>
      </c>
      <c r="T44" s="772" t="s">
        <v>17</v>
      </c>
      <c r="U44" s="773">
        <f t="shared" si="11"/>
        <v>100</v>
      </c>
      <c r="V44" s="772" t="s">
        <v>17</v>
      </c>
      <c r="W44" s="773">
        <f t="shared" si="12"/>
        <v>100</v>
      </c>
      <c r="X44" s="1810"/>
      <c r="Y44" s="3189"/>
      <c r="Z44" s="1811">
        <f t="shared" si="13"/>
        <v>111</v>
      </c>
      <c r="AA44" s="1808">
        <f t="shared" si="3"/>
        <v>1</v>
      </c>
      <c r="AB44" s="1808">
        <f t="shared" si="4"/>
        <v>1</v>
      </c>
      <c r="AC44" s="1808">
        <f t="shared" si="5"/>
        <v>1</v>
      </c>
    </row>
    <row r="45" spans="1:29" s="471" customFormat="1" ht="15.75" thickBot="1">
      <c r="A45" s="468"/>
      <c r="B45" s="1385">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89"/>
      <c r="Q45" s="1807">
        <f t="shared" si="14"/>
        <v>111</v>
      </c>
      <c r="R45" s="775" t="s">
        <v>17</v>
      </c>
      <c r="S45" s="776">
        <f t="shared" si="10"/>
        <v>100</v>
      </c>
      <c r="T45" s="775" t="s">
        <v>17</v>
      </c>
      <c r="U45" s="776">
        <f t="shared" si="11"/>
        <v>100</v>
      </c>
      <c r="V45" s="775" t="s">
        <v>17</v>
      </c>
      <c r="W45" s="776">
        <f t="shared" si="12"/>
        <v>100</v>
      </c>
      <c r="X45" s="777"/>
      <c r="Y45" s="3189"/>
      <c r="Z45" s="778">
        <f t="shared" si="13"/>
        <v>111</v>
      </c>
      <c r="AA45" s="1808">
        <f t="shared" si="3"/>
        <v>1</v>
      </c>
      <c r="AB45" s="1808">
        <f t="shared" si="4"/>
        <v>1</v>
      </c>
      <c r="AC45" s="1808">
        <f t="shared" si="5"/>
        <v>1</v>
      </c>
    </row>
    <row r="46" spans="1:29" ht="15">
      <c r="A46" s="479" t="s">
        <v>2718</v>
      </c>
      <c r="B46" s="2701" t="s">
        <v>2754</v>
      </c>
      <c r="C46" s="682" t="s">
        <v>1</v>
      </c>
      <c r="D46" s="481"/>
      <c r="E46" s="482"/>
      <c r="F46" s="483"/>
      <c r="G46" s="484"/>
      <c r="H46" s="485"/>
      <c r="I46" s="482"/>
      <c r="J46" s="485"/>
      <c r="K46" s="781"/>
      <c r="L46" s="1141"/>
      <c r="M46" s="1142"/>
      <c r="N46" s="1129"/>
      <c r="O46" s="1142"/>
      <c r="P46" s="3182" t="str">
        <f>A46</f>
        <v>成交单价</v>
      </c>
      <c r="Q46" s="3182"/>
      <c r="R46" s="3213">
        <f>E46</f>
        <v>0</v>
      </c>
      <c r="S46" s="3213"/>
      <c r="T46" s="3213">
        <f>G46</f>
        <v>0</v>
      </c>
      <c r="U46" s="3213"/>
      <c r="V46" s="3213">
        <f>I46</f>
        <v>0</v>
      </c>
      <c r="W46" s="3213"/>
      <c r="X46" s="757"/>
      <c r="Y46" s="779"/>
      <c r="Z46" s="757"/>
      <c r="AA46" s="757"/>
      <c r="AB46" s="757"/>
      <c r="AC46" s="757"/>
    </row>
    <row r="47" spans="1:29" ht="15.75" thickBot="1">
      <c r="A47" s="486" t="s">
        <v>2667</v>
      </c>
      <c r="B47" s="683"/>
      <c r="C47" s="490" t="e">
        <f>R48</f>
        <v>#DIV/0!</v>
      </c>
      <c r="D47" s="489"/>
      <c r="E47" s="490" t="e">
        <f>R47</f>
        <v>#DIV/0!</v>
      </c>
      <c r="F47" s="491"/>
      <c r="G47" s="488" t="e">
        <f>T47</f>
        <v>#DIV/0!</v>
      </c>
      <c r="H47" s="489"/>
      <c r="I47" s="490" t="e">
        <f>V47</f>
        <v>#DIV/0!</v>
      </c>
      <c r="J47" s="489"/>
      <c r="K47" s="782"/>
      <c r="L47" s="1141"/>
      <c r="M47" s="1142"/>
      <c r="N47" s="1142"/>
      <c r="O47" s="1142"/>
      <c r="P47" s="3182" t="str">
        <f>A47</f>
        <v>比较价值（元/平方米）</v>
      </c>
      <c r="Q47" s="3182"/>
      <c r="R47" s="3243" t="e">
        <f>ROUND(PRODUCT(R46,AA7:AA45),0)</f>
        <v>#DIV/0!</v>
      </c>
      <c r="S47" s="3243"/>
      <c r="T47" s="3243" t="e">
        <f>ROUND(PRODUCT(T46,AB7:AB45),0)</f>
        <v>#DIV/0!</v>
      </c>
      <c r="U47" s="3243"/>
      <c r="V47" s="3243" t="e">
        <f>ROUND(PRODUCT(V46,AC7:AC45),0)</f>
        <v>#DIV/0!</v>
      </c>
      <c r="W47" s="3243"/>
      <c r="X47" s="757"/>
      <c r="Y47" s="757"/>
      <c r="Z47" s="757"/>
      <c r="AA47" s="757"/>
      <c r="AB47" s="757"/>
      <c r="AC47" s="757"/>
    </row>
    <row r="48" spans="1:29" ht="15.75" thickBot="1">
      <c r="A48" s="492" t="s">
        <v>2755</v>
      </c>
      <c r="B48" s="493"/>
      <c r="C48" s="494" t="e">
        <f>R48</f>
        <v>#DIV/0!</v>
      </c>
      <c r="D48" s="494"/>
      <c r="E48" s="494"/>
      <c r="F48" s="494"/>
      <c r="G48" s="494"/>
      <c r="H48" s="494"/>
      <c r="I48" s="494"/>
      <c r="J48" s="494"/>
      <c r="K48" s="783"/>
      <c r="L48" s="1141"/>
      <c r="M48" s="1142"/>
      <c r="N48" s="1142"/>
      <c r="O48" s="1142"/>
      <c r="P48" s="3179" t="str">
        <f>A48</f>
        <v>估价对象XX用房的比较价值（楼面单价，元/平方米）</v>
      </c>
      <c r="Q48" s="3180"/>
      <c r="R48" s="3244" t="e">
        <f>ROUND(AVERAGE(R47:V47),0)</f>
        <v>#DIV/0!</v>
      </c>
      <c r="S48" s="3244"/>
      <c r="T48" s="3244"/>
      <c r="U48" s="3244"/>
      <c r="V48" s="3244"/>
      <c r="W48" s="3244"/>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2756</v>
      </c>
      <c r="B55" s="685" t="s">
        <v>2757</v>
      </c>
      <c r="C55" s="2702" t="s">
        <v>2758</v>
      </c>
      <c r="D55" s="2703" t="s">
        <v>2759</v>
      </c>
      <c r="E55" s="686" t="s">
        <v>2760</v>
      </c>
      <c r="F55" s="1105" t="s">
        <v>2761</v>
      </c>
      <c r="G55" s="3197" t="s">
        <v>2762</v>
      </c>
      <c r="H55" s="3245"/>
      <c r="I55" s="144" t="s">
        <v>2763</v>
      </c>
      <c r="J55" s="2704">
        <f>项目基本情况!F35</f>
        <v>0</v>
      </c>
      <c r="K55" s="2705" t="s">
        <v>2764</v>
      </c>
      <c r="L55" s="1104"/>
      <c r="M55" s="1142"/>
      <c r="N55" s="1142"/>
      <c r="O55" s="1142"/>
    </row>
    <row r="56" spans="1:15" s="692" customFormat="1">
      <c r="A56" s="688" t="s">
        <v>2765</v>
      </c>
      <c r="B56" s="689" t="e">
        <f>C48</f>
        <v>#DIV/0!</v>
      </c>
      <c r="C56" s="690">
        <v>1</v>
      </c>
      <c r="D56" s="1161">
        <v>1</v>
      </c>
      <c r="E56" s="690">
        <f>'数据-汇总表'!E8+'数据-汇总表'!E9</f>
        <v>380</v>
      </c>
      <c r="F56" s="1101" t="e">
        <f t="shared" ref="F56:F65" si="15">ROUND(B56*E56/10000,0)</f>
        <v>#DIV/0!</v>
      </c>
      <c r="G56" s="3193"/>
      <c r="H56" s="3182"/>
      <c r="I56" s="1106">
        <v>1</v>
      </c>
      <c r="J56" s="1109">
        <v>1</v>
      </c>
      <c r="K56" s="1143"/>
      <c r="L56" s="939"/>
      <c r="M56" s="939"/>
      <c r="N56" s="939"/>
      <c r="O56" s="939"/>
    </row>
    <row r="57" spans="1:15" s="692" customFormat="1">
      <c r="A57" s="693" t="s">
        <v>2766</v>
      </c>
      <c r="B57" s="262" t="e">
        <f>ROUND($C$48*C57*D57,0)</f>
        <v>#DIV/0!</v>
      </c>
      <c r="C57" s="200">
        <f t="shared" ref="C57:C65" si="16">IF($C$55="北京市系数",I57,J57)</f>
        <v>0</v>
      </c>
      <c r="D57" s="1162">
        <v>0.25</v>
      </c>
      <c r="E57" s="694"/>
      <c r="F57" s="1101" t="e">
        <f t="shared" si="15"/>
        <v>#DIV/0!</v>
      </c>
      <c r="G57" s="3246" t="s">
        <v>2767</v>
      </c>
      <c r="H57" s="1102">
        <f>项目基本情况!B37</f>
        <v>0</v>
      </c>
      <c r="I57" s="1106">
        <f>SUMIF(修正!A45:A56,H57,修正!B45:B56)</f>
        <v>0</v>
      </c>
      <c r="J57" s="1110"/>
      <c r="K57" s="1142"/>
      <c r="L57" s="939"/>
      <c r="M57" s="939"/>
      <c r="N57" s="939"/>
      <c r="O57" s="939"/>
    </row>
    <row r="58" spans="1:15" s="692" customFormat="1">
      <c r="A58" s="693" t="s">
        <v>2768</v>
      </c>
      <c r="B58" s="262" t="e">
        <f t="shared" ref="B58:B65" si="17">ROUND($C$48*C58*D58,0)</f>
        <v>#DIV/0!</v>
      </c>
      <c r="C58" s="200">
        <f t="shared" si="16"/>
        <v>0</v>
      </c>
      <c r="D58" s="1162">
        <v>0.25</v>
      </c>
      <c r="E58" s="694"/>
      <c r="F58" s="1101" t="e">
        <f t="shared" si="15"/>
        <v>#DIV/0!</v>
      </c>
      <c r="G58" s="3246"/>
      <c r="H58" s="1102">
        <f>项目基本情况!B37</f>
        <v>0</v>
      </c>
      <c r="I58" s="1106">
        <f>SUMIF(修正!A45:A56,H58,修正!C45:C56)</f>
        <v>0</v>
      </c>
      <c r="J58" s="1110"/>
      <c r="K58" s="1143"/>
      <c r="L58" s="939"/>
      <c r="M58" s="939"/>
      <c r="N58" s="939"/>
      <c r="O58" s="939"/>
    </row>
    <row r="59" spans="1:15" s="692" customFormat="1">
      <c r="A59" s="693" t="s">
        <v>2769</v>
      </c>
      <c r="B59" s="262" t="e">
        <f t="shared" si="17"/>
        <v>#DIV/0!</v>
      </c>
      <c r="C59" s="200">
        <f t="shared" si="16"/>
        <v>0</v>
      </c>
      <c r="D59" s="1162">
        <v>0.25</v>
      </c>
      <c r="E59" s="694"/>
      <c r="F59" s="1101" t="e">
        <f t="shared" si="15"/>
        <v>#DIV/0!</v>
      </c>
      <c r="G59" s="3246"/>
      <c r="H59" s="1102">
        <f>项目基本情况!B37</f>
        <v>0</v>
      </c>
      <c r="I59" s="1106">
        <f>SUMIF(修正!A45:A56,H59,修正!D45:D56)</f>
        <v>0</v>
      </c>
      <c r="J59" s="1110"/>
      <c r="K59" s="1142"/>
      <c r="L59" s="939"/>
      <c r="M59" s="939"/>
      <c r="N59" s="939"/>
      <c r="O59" s="939"/>
    </row>
    <row r="60" spans="1:15" s="692" customFormat="1">
      <c r="A60" s="693" t="s">
        <v>2770</v>
      </c>
      <c r="B60" s="262" t="e">
        <f t="shared" si="17"/>
        <v>#DIV/0!</v>
      </c>
      <c r="C60" s="200">
        <f t="shared" si="16"/>
        <v>0</v>
      </c>
      <c r="D60" s="1162">
        <v>0.25</v>
      </c>
      <c r="E60" s="694"/>
      <c r="F60" s="1101" t="e">
        <f t="shared" si="15"/>
        <v>#DIV/0!</v>
      </c>
      <c r="G60" s="3246"/>
      <c r="H60" s="1102">
        <f>项目基本情况!B37</f>
        <v>0</v>
      </c>
      <c r="I60" s="1106">
        <f>SUMIF(修正!A45:A56,H60,修正!E45:E56)</f>
        <v>0</v>
      </c>
      <c r="J60" s="1110"/>
      <c r="K60" s="1143"/>
      <c r="L60" s="939"/>
      <c r="M60" s="939"/>
      <c r="N60" s="939"/>
      <c r="O60" s="939"/>
    </row>
    <row r="61" spans="1:15" s="692" customFormat="1">
      <c r="A61" s="693" t="s">
        <v>2771</v>
      </c>
      <c r="B61" s="262" t="e">
        <f t="shared" si="17"/>
        <v>#DIV/0!</v>
      </c>
      <c r="C61" s="200">
        <f t="shared" si="16"/>
        <v>0.25</v>
      </c>
      <c r="D61" s="1162">
        <v>0.25</v>
      </c>
      <c r="E61" s="261">
        <f>'数据-汇总表'!E11</f>
        <v>0</v>
      </c>
      <c r="F61" s="1101" t="e">
        <f t="shared" si="15"/>
        <v>#DIV/0!</v>
      </c>
      <c r="G61" s="2706" t="s">
        <v>2772</v>
      </c>
      <c r="H61" s="1102" t="str">
        <f>项目基本情况!C37</f>
        <v>四级</v>
      </c>
      <c r="I61" s="1106">
        <f>SUMIF(修正!A45:A56,H61,修正!F45:F56)</f>
        <v>0.25</v>
      </c>
      <c r="J61" s="1110"/>
      <c r="K61" s="1142"/>
      <c r="L61" s="939"/>
      <c r="M61" s="939"/>
      <c r="N61" s="939"/>
      <c r="O61" s="939"/>
    </row>
    <row r="62" spans="1:15" s="692" customFormat="1">
      <c r="A62" s="693" t="s">
        <v>2773</v>
      </c>
      <c r="B62" s="262" t="e">
        <f t="shared" si="17"/>
        <v>#DIV/0!</v>
      </c>
      <c r="C62" s="200">
        <f t="shared" si="16"/>
        <v>0.25</v>
      </c>
      <c r="D62" s="1162">
        <v>0.25</v>
      </c>
      <c r="E62" s="261">
        <f>'数据-汇总表'!E12</f>
        <v>0</v>
      </c>
      <c r="F62" s="1101" t="e">
        <f t="shared" si="15"/>
        <v>#DIV/0!</v>
      </c>
      <c r="G62" s="1107" t="s">
        <v>2774</v>
      </c>
      <c r="H62" s="1102" t="str">
        <f>IF(G62="商业",项目基本情况!B37,IF(G62="办公",项目基本情况!C37,IF(G62="住宅",项目基本情况!D37,项目基本情况!E37)))</f>
        <v>四级</v>
      </c>
      <c r="I62" s="1106">
        <f>SUMIF(修正!A45:A56,H62,修正!G45:G56)</f>
        <v>0.25</v>
      </c>
      <c r="J62" s="1110"/>
      <c r="K62" s="1143"/>
      <c r="L62" s="939"/>
      <c r="M62" s="939"/>
      <c r="N62" s="939"/>
      <c r="O62" s="939"/>
    </row>
    <row r="63" spans="1:15" s="692" customFormat="1">
      <c r="A63" s="693" t="s">
        <v>2775</v>
      </c>
      <c r="B63" s="262" t="e">
        <f t="shared" si="17"/>
        <v>#DIV/0!</v>
      </c>
      <c r="C63" s="200">
        <f t="shared" si="16"/>
        <v>0</v>
      </c>
      <c r="D63" s="1162">
        <v>0.25</v>
      </c>
      <c r="E63" s="261">
        <f>'数据-汇总表'!E13</f>
        <v>0</v>
      </c>
      <c r="F63" s="1101" t="e">
        <f t="shared" si="15"/>
        <v>#DIV/0!</v>
      </c>
      <c r="G63" s="1107" t="s">
        <v>2776</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2777</v>
      </c>
      <c r="B64" s="262" t="e">
        <f t="shared" si="17"/>
        <v>#DIV/0!</v>
      </c>
      <c r="C64" s="200">
        <f t="shared" si="16"/>
        <v>0</v>
      </c>
      <c r="D64" s="1162">
        <v>0.25</v>
      </c>
      <c r="E64" s="261">
        <f>'数据-汇总表'!E14</f>
        <v>0</v>
      </c>
      <c r="F64" s="1101" t="e">
        <f t="shared" si="15"/>
        <v>#DIV/0!</v>
      </c>
      <c r="G64" s="2706" t="s">
        <v>2767</v>
      </c>
      <c r="H64" s="1102">
        <f>项目基本情况!B37</f>
        <v>0</v>
      </c>
      <c r="I64" s="1106">
        <f>SUMIF(修正!A45:A56,H64,修正!H45:H56)</f>
        <v>0</v>
      </c>
      <c r="J64" s="1110"/>
      <c r="K64" s="1143"/>
      <c r="L64" s="939"/>
      <c r="M64" s="939"/>
      <c r="N64" s="939"/>
      <c r="O64" s="939"/>
    </row>
    <row r="65" spans="1:17" s="692" customFormat="1" ht="15" thickBot="1">
      <c r="A65" s="693" t="s">
        <v>2778</v>
      </c>
      <c r="B65" s="262" t="e">
        <f t="shared" si="17"/>
        <v>#DIV/0!</v>
      </c>
      <c r="C65" s="200">
        <f t="shared" si="16"/>
        <v>0.2</v>
      </c>
      <c r="D65" s="1162">
        <v>0.25</v>
      </c>
      <c r="E65" s="261">
        <f>'数据-汇总表'!E15</f>
        <v>0</v>
      </c>
      <c r="F65" s="1101" t="e">
        <f t="shared" si="15"/>
        <v>#DIV/0!</v>
      </c>
      <c r="G65" s="2707" t="s">
        <v>2772</v>
      </c>
      <c r="H65" s="1112" t="str">
        <f>项目基本情况!C37</f>
        <v>四级</v>
      </c>
      <c r="I65" s="1108">
        <f>SUMIF(修正!A45:A56,H65,修正!H45:H56)</f>
        <v>0.2</v>
      </c>
      <c r="J65" s="1111"/>
      <c r="K65" s="1142"/>
      <c r="L65" s="939"/>
      <c r="M65" s="939"/>
      <c r="N65" s="939"/>
      <c r="O65" s="939"/>
    </row>
    <row r="66" spans="1:17" s="692" customFormat="1" ht="13.5" thickBot="1">
      <c r="A66" s="695" t="s">
        <v>2779</v>
      </c>
      <c r="B66" s="696" t="s">
        <v>28</v>
      </c>
      <c r="C66" s="696" t="s">
        <v>29</v>
      </c>
      <c r="D66" s="696" t="s">
        <v>1026</v>
      </c>
      <c r="E66" s="696">
        <f>IF(B46="楼面地价",SUM(E56:E65),'数据-汇总表'!D3)</f>
        <v>380</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2019-7-1</v>
      </c>
      <c r="D68" s="759">
        <f>EDATE(C68,-3)</f>
        <v>43556</v>
      </c>
      <c r="E68" s="759">
        <f>EDATE(D68,-3)</f>
        <v>43466</v>
      </c>
      <c r="F68" s="759">
        <f t="shared" ref="F68:O68" si="18">EDATE(E68,-3)</f>
        <v>43374</v>
      </c>
      <c r="G68" s="759">
        <f t="shared" si="18"/>
        <v>43282</v>
      </c>
      <c r="H68" s="759">
        <f t="shared" si="18"/>
        <v>43191</v>
      </c>
      <c r="I68" s="759">
        <f t="shared" si="18"/>
        <v>43101</v>
      </c>
      <c r="J68" s="759">
        <f t="shared" si="18"/>
        <v>43009</v>
      </c>
      <c r="K68" s="759">
        <f t="shared" si="18"/>
        <v>42917</v>
      </c>
      <c r="L68" s="759">
        <f t="shared" si="18"/>
        <v>42826</v>
      </c>
      <c r="M68" s="759">
        <f t="shared" si="18"/>
        <v>42736</v>
      </c>
      <c r="N68" s="759">
        <f t="shared" si="18"/>
        <v>42644</v>
      </c>
      <c r="O68" s="759">
        <f t="shared" si="18"/>
        <v>42552</v>
      </c>
    </row>
    <row r="69" spans="1:17" ht="21.75" thickBot="1">
      <c r="A69" s="761" t="s">
        <v>2672</v>
      </c>
      <c r="B69" s="757"/>
      <c r="C69" s="762"/>
      <c r="D69" s="762"/>
      <c r="E69" s="762"/>
      <c r="F69" s="763"/>
      <c r="G69" s="763"/>
      <c r="H69" s="762"/>
      <c r="I69" s="762"/>
      <c r="J69" s="1157"/>
      <c r="K69" s="1158"/>
      <c r="L69" s="1159"/>
      <c r="M69" s="1157"/>
      <c r="N69" s="1157"/>
      <c r="O69" s="1157"/>
      <c r="P69" s="503"/>
      <c r="Q69" s="504"/>
    </row>
    <row r="70" spans="1:17" s="508" customFormat="1" ht="15">
      <c r="A70" s="2708" t="s">
        <v>2780</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09" t="s">
        <v>2781</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2583</v>
      </c>
      <c r="B72" s="516"/>
      <c r="C72" s="517"/>
      <c r="D72" s="518"/>
      <c r="E72" s="518"/>
      <c r="F72" s="518"/>
      <c r="G72" s="518"/>
      <c r="H72" s="518"/>
      <c r="I72" s="518"/>
      <c r="J72" s="518"/>
      <c r="K72" s="518"/>
      <c r="L72" s="518"/>
      <c r="M72" s="519"/>
      <c r="N72" s="518"/>
      <c r="O72" s="1160"/>
      <c r="P72" s="504"/>
      <c r="Q72" s="504"/>
    </row>
    <row r="73" spans="1:17" s="117" customFormat="1" ht="15">
      <c r="A73" s="521" t="s">
        <v>2548</v>
      </c>
      <c r="B73" s="510"/>
      <c r="C73" s="522" t="s">
        <v>2650</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2586</v>
      </c>
      <c r="B75" s="528" t="s">
        <v>2552</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2555</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2689</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2748</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2790</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2791</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2792</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2793</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97" t="s">
        <v>2644</v>
      </c>
      <c r="D4" s="3198"/>
      <c r="E4" s="3199" t="s">
        <v>2645</v>
      </c>
      <c r="F4" s="3200"/>
      <c r="G4" s="3197" t="s">
        <v>2646</v>
      </c>
      <c r="H4" s="3198"/>
      <c r="I4" s="3197" t="s">
        <v>2647</v>
      </c>
      <c r="J4" s="3198"/>
      <c r="K4" s="610" t="s">
        <v>2648</v>
      </c>
      <c r="L4" s="1128"/>
      <c r="M4" s="1129"/>
      <c r="N4" s="1129"/>
      <c r="O4" s="1129"/>
      <c r="P4" s="3201" t="s">
        <v>2649</v>
      </c>
      <c r="Q4" s="3202"/>
      <c r="R4" s="3207" t="s">
        <v>2645</v>
      </c>
      <c r="S4" s="3208"/>
      <c r="T4" s="3207" t="s">
        <v>2646</v>
      </c>
      <c r="U4" s="3208"/>
      <c r="V4" s="3213" t="s">
        <v>2647</v>
      </c>
      <c r="W4" s="3213"/>
      <c r="X4" s="1810"/>
      <c r="Y4" s="3207" t="s">
        <v>2649</v>
      </c>
      <c r="Z4" s="3208"/>
      <c r="AA4" s="3194" t="s">
        <v>2645</v>
      </c>
      <c r="AB4" s="3195" t="s">
        <v>2646</v>
      </c>
      <c r="AC4" s="3194" t="s">
        <v>2647</v>
      </c>
    </row>
    <row r="5" spans="1:29" ht="15">
      <c r="A5" s="404"/>
      <c r="B5" s="405"/>
      <c r="C5" s="3216" t="s">
        <v>2540</v>
      </c>
      <c r="D5" s="3217"/>
      <c r="E5" s="3223" t="s">
        <v>2541</v>
      </c>
      <c r="F5" s="3224"/>
      <c r="G5" s="3216" t="s">
        <v>2542</v>
      </c>
      <c r="H5" s="3217"/>
      <c r="I5" s="3216" t="s">
        <v>2543</v>
      </c>
      <c r="J5" s="3217"/>
      <c r="K5" s="610"/>
      <c r="L5" s="1128"/>
      <c r="M5" s="1129"/>
      <c r="N5" s="1129"/>
      <c r="O5" s="1129"/>
      <c r="P5" s="3203"/>
      <c r="Q5" s="3204"/>
      <c r="R5" s="3209"/>
      <c r="S5" s="3210"/>
      <c r="T5" s="3209"/>
      <c r="U5" s="3210"/>
      <c r="V5" s="3213"/>
      <c r="W5" s="3213"/>
      <c r="X5" s="1810"/>
      <c r="Y5" s="3209"/>
      <c r="Z5" s="3210"/>
      <c r="AA5" s="3195"/>
      <c r="AB5" s="3195"/>
      <c r="AC5" s="3195"/>
    </row>
    <row r="6" spans="1:29" ht="15.75" thickBot="1">
      <c r="A6" s="406"/>
      <c r="B6" s="407"/>
      <c r="C6" s="3247" t="s">
        <v>2795</v>
      </c>
      <c r="D6" s="3248"/>
      <c r="E6" s="3249" t="s">
        <v>2795</v>
      </c>
      <c r="F6" s="3250"/>
      <c r="G6" s="3247" t="s">
        <v>2795</v>
      </c>
      <c r="H6" s="3248"/>
      <c r="I6" s="3247" t="s">
        <v>2795</v>
      </c>
      <c r="J6" s="3248"/>
      <c r="K6" s="610" t="s">
        <v>2545</v>
      </c>
      <c r="L6" s="1128"/>
      <c r="M6" s="1129"/>
      <c r="N6" s="1129"/>
      <c r="O6" s="1129"/>
      <c r="P6" s="3205"/>
      <c r="Q6" s="3206"/>
      <c r="R6" s="3209"/>
      <c r="S6" s="3210"/>
      <c r="T6" s="3211"/>
      <c r="U6" s="3212"/>
      <c r="V6" s="3213"/>
      <c r="W6" s="3213"/>
      <c r="X6" s="1810"/>
      <c r="Y6" s="3211"/>
      <c r="Z6" s="3212"/>
      <c r="AA6" s="3196"/>
      <c r="AB6" s="3196"/>
      <c r="AC6" s="3196"/>
    </row>
    <row r="7" spans="1:29" s="117" customFormat="1" ht="15.75" thickBot="1">
      <c r="A7" s="408" t="s">
        <v>2546</v>
      </c>
      <c r="B7" s="409"/>
      <c r="C7" s="410">
        <f>'数据-取费表'!B2</f>
        <v>43672</v>
      </c>
      <c r="D7" s="411">
        <v>100</v>
      </c>
      <c r="E7" s="412"/>
      <c r="F7" s="413">
        <f>SUMIF(65:65,YEAR(E7)&amp;"-"&amp;INT((MONTH(E7)+2)/3),66:66)</f>
        <v>0</v>
      </c>
      <c r="G7" s="2693"/>
      <c r="H7" s="411">
        <f>SUMIF(65:65,YEAR(G7)&amp;"-"&amp;INT((MONTH(G7)+2)/3),66:66)</f>
        <v>0</v>
      </c>
      <c r="I7" s="2693"/>
      <c r="J7" s="411">
        <f>SUMIF(65:65,YEAR(I7)&amp;"-"&amp;INT((MONTH(I7)+2)/3),66:66)</f>
        <v>0</v>
      </c>
      <c r="K7" s="611"/>
      <c r="L7" s="1130"/>
      <c r="M7" s="1131"/>
      <c r="N7" s="1131"/>
      <c r="O7" s="1131"/>
      <c r="P7" s="3218" t="s">
        <v>2547</v>
      </c>
      <c r="Q7" s="3220"/>
      <c r="R7" s="768" t="s">
        <v>17</v>
      </c>
      <c r="S7" s="769">
        <f t="shared" ref="S7:S15" si="0">F7</f>
        <v>0</v>
      </c>
      <c r="T7" s="768" t="s">
        <v>17</v>
      </c>
      <c r="U7" s="769">
        <f t="shared" ref="U7:U15" si="1">H7</f>
        <v>0</v>
      </c>
      <c r="V7" s="768" t="s">
        <v>17</v>
      </c>
      <c r="W7" s="769">
        <f t="shared" ref="W7:W15" si="2">J7</f>
        <v>0</v>
      </c>
      <c r="X7" s="770"/>
      <c r="Y7" s="3218" t="s">
        <v>2547</v>
      </c>
      <c r="Z7" s="3219"/>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18" t="s">
        <v>2550</v>
      </c>
      <c r="Q8" s="3219"/>
      <c r="R8" s="768" t="s">
        <v>17</v>
      </c>
      <c r="S8" s="769">
        <f t="shared" si="0"/>
        <v>0</v>
      </c>
      <c r="T8" s="768" t="s">
        <v>17</v>
      </c>
      <c r="U8" s="769">
        <f t="shared" si="1"/>
        <v>0</v>
      </c>
      <c r="V8" s="768" t="s">
        <v>17</v>
      </c>
      <c r="W8" s="769">
        <f t="shared" si="2"/>
        <v>0</v>
      </c>
      <c r="X8" s="770"/>
      <c r="Y8" s="3218" t="s">
        <v>2550</v>
      </c>
      <c r="Z8" s="3219"/>
      <c r="AA8" s="771" t="e">
        <f t="shared" ref="AA8:AA40" si="3">D8/F8</f>
        <v>#DIV/0!</v>
      </c>
      <c r="AB8" s="771" t="e">
        <f t="shared" ref="AB8:AB40" si="4">D8/H8</f>
        <v>#DIV/0!</v>
      </c>
      <c r="AC8" s="771" t="e">
        <f t="shared" ref="AC8:AC40" si="5">D8/J8</f>
        <v>#DIV/0!</v>
      </c>
    </row>
    <row r="9" spans="1:29" s="117" customFormat="1">
      <c r="A9" s="415" t="s">
        <v>2551</v>
      </c>
      <c r="B9" s="71" t="s">
        <v>2552</v>
      </c>
      <c r="C9" s="2696"/>
      <c r="D9" s="135">
        <v>100</v>
      </c>
      <c r="E9" s="2696"/>
      <c r="F9" s="135">
        <f>SUMIF(70:70,E9,71:71)-SUMIF(70:70,C9,71:71)+100</f>
        <v>100</v>
      </c>
      <c r="G9" s="2696"/>
      <c r="H9" s="135">
        <f>SUMIF(70:70,G9,71:71)-SUMIF(70:70,C9,71:71)+100</f>
        <v>100</v>
      </c>
      <c r="I9" s="2696"/>
      <c r="J9" s="135">
        <f>SUMIF(70:70,I9,71:71)-SUMIF(70:70,C9,71:71)+100</f>
        <v>100</v>
      </c>
      <c r="K9" s="611"/>
      <c r="L9" s="1130"/>
      <c r="M9" s="1131"/>
      <c r="N9" s="1131"/>
      <c r="O9" s="1132"/>
      <c r="P9" s="3182" t="s">
        <v>2553</v>
      </c>
      <c r="Q9" s="1792" t="str">
        <f t="shared" ref="Q9:Q15" si="6">B9</f>
        <v>用途</v>
      </c>
      <c r="R9" s="768" t="s">
        <v>17</v>
      </c>
      <c r="S9" s="769">
        <f t="shared" si="0"/>
        <v>100</v>
      </c>
      <c r="T9" s="768" t="s">
        <v>17</v>
      </c>
      <c r="U9" s="769">
        <f t="shared" si="1"/>
        <v>100</v>
      </c>
      <c r="V9" s="768" t="s">
        <v>17</v>
      </c>
      <c r="W9" s="769">
        <f t="shared" si="2"/>
        <v>100</v>
      </c>
      <c r="X9" s="770"/>
      <c r="Y9" s="3006"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2"/>
      <c r="L10" s="1133"/>
      <c r="M10" s="1134"/>
      <c r="N10" s="1134"/>
      <c r="O10" s="1135"/>
      <c r="P10" s="3182"/>
      <c r="Q10" s="1792" t="str">
        <f t="shared" si="6"/>
        <v>土地使用年限（年）</v>
      </c>
      <c r="R10" s="768" t="s">
        <v>17</v>
      </c>
      <c r="S10" s="769">
        <f t="shared" si="0"/>
        <v>104</v>
      </c>
      <c r="T10" s="768" t="s">
        <v>17</v>
      </c>
      <c r="U10" s="769">
        <f t="shared" si="1"/>
        <v>104</v>
      </c>
      <c r="V10" s="768" t="s">
        <v>17</v>
      </c>
      <c r="W10" s="769">
        <f t="shared" si="2"/>
        <v>104</v>
      </c>
      <c r="X10" s="770"/>
      <c r="Y10" s="3006"/>
      <c r="Z10" s="55" t="str">
        <f t="shared" si="7"/>
        <v>土地使用年限（年）</v>
      </c>
      <c r="AA10" s="771">
        <f t="shared" si="3"/>
        <v>0.96153846153846156</v>
      </c>
      <c r="AB10" s="771">
        <f t="shared" si="4"/>
        <v>0.96153846153846156</v>
      </c>
      <c r="AC10" s="771">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82"/>
      <c r="Q11" s="1792" t="str">
        <f t="shared" si="6"/>
        <v>容积率</v>
      </c>
      <c r="R11" s="768" t="s">
        <v>17</v>
      </c>
      <c r="S11" s="769" t="e">
        <f t="shared" si="0"/>
        <v>#N/A</v>
      </c>
      <c r="T11" s="768" t="s">
        <v>17</v>
      </c>
      <c r="U11" s="769" t="e">
        <f t="shared" si="1"/>
        <v>#N/A</v>
      </c>
      <c r="V11" s="768" t="s">
        <v>17</v>
      </c>
      <c r="W11" s="769" t="e">
        <f t="shared" si="2"/>
        <v>#N/A</v>
      </c>
      <c r="X11" s="770"/>
      <c r="Y11" s="3006"/>
      <c r="Z11" s="55" t="str">
        <f t="shared" si="7"/>
        <v>容积率</v>
      </c>
      <c r="AA11" s="771" t="e">
        <f t="shared" si="3"/>
        <v>#N/A</v>
      </c>
      <c r="AB11" s="771" t="e">
        <f t="shared" si="4"/>
        <v>#N/A</v>
      </c>
      <c r="AC11" s="771"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82"/>
      <c r="Q12" s="1792">
        <f t="shared" si="6"/>
        <v>111</v>
      </c>
      <c r="R12" s="768" t="s">
        <v>17</v>
      </c>
      <c r="S12" s="769">
        <f t="shared" si="0"/>
        <v>100</v>
      </c>
      <c r="T12" s="768" t="s">
        <v>17</v>
      </c>
      <c r="U12" s="769">
        <f t="shared" si="1"/>
        <v>100</v>
      </c>
      <c r="V12" s="768" t="s">
        <v>17</v>
      </c>
      <c r="W12" s="769">
        <f t="shared" si="2"/>
        <v>100</v>
      </c>
      <c r="X12" s="770"/>
      <c r="Y12" s="3006"/>
      <c r="Z12" s="55">
        <f t="shared" si="7"/>
        <v>111</v>
      </c>
      <c r="AA12" s="771">
        <f>D12/F12</f>
        <v>1</v>
      </c>
      <c r="AB12" s="771">
        <f>D12/H12</f>
        <v>1</v>
      </c>
      <c r="AC12" s="771">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82"/>
      <c r="Q13" s="1792">
        <f t="shared" si="6"/>
        <v>111</v>
      </c>
      <c r="R13" s="768" t="s">
        <v>17</v>
      </c>
      <c r="S13" s="769">
        <f t="shared" si="0"/>
        <v>100</v>
      </c>
      <c r="T13" s="768" t="s">
        <v>17</v>
      </c>
      <c r="U13" s="769">
        <f t="shared" si="1"/>
        <v>100</v>
      </c>
      <c r="V13" s="768" t="s">
        <v>17</v>
      </c>
      <c r="W13" s="769">
        <f t="shared" si="2"/>
        <v>100</v>
      </c>
      <c r="X13" s="770"/>
      <c r="Y13" s="3006"/>
      <c r="Z13" s="55">
        <f t="shared" si="7"/>
        <v>111</v>
      </c>
      <c r="AA13" s="771">
        <f t="shared" si="3"/>
        <v>1</v>
      </c>
      <c r="AB13" s="771">
        <f t="shared" si="4"/>
        <v>1</v>
      </c>
      <c r="AC13" s="771">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82"/>
      <c r="Q14" s="1792">
        <f t="shared" si="6"/>
        <v>111</v>
      </c>
      <c r="R14" s="768" t="s">
        <v>17</v>
      </c>
      <c r="S14" s="769">
        <f t="shared" si="0"/>
        <v>100</v>
      </c>
      <c r="T14" s="768" t="s">
        <v>17</v>
      </c>
      <c r="U14" s="769">
        <f t="shared" si="1"/>
        <v>100</v>
      </c>
      <c r="V14" s="768" t="s">
        <v>17</v>
      </c>
      <c r="W14" s="769">
        <f t="shared" si="2"/>
        <v>100</v>
      </c>
      <c r="X14" s="770"/>
      <c r="Y14" s="3006"/>
      <c r="Z14" s="55">
        <f t="shared" si="7"/>
        <v>111</v>
      </c>
      <c r="AA14" s="771">
        <f t="shared" si="3"/>
        <v>1</v>
      </c>
      <c r="AB14" s="771">
        <f t="shared" si="4"/>
        <v>1</v>
      </c>
      <c r="AC14" s="771">
        <f t="shared" si="5"/>
        <v>1</v>
      </c>
    </row>
    <row r="15" spans="1:29" ht="57">
      <c r="A15" s="440" t="s">
        <v>2557</v>
      </c>
      <c r="B15" s="629" t="s">
        <v>2796</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84" t="s">
        <v>2558</v>
      </c>
      <c r="Q15" s="1807" t="str">
        <f t="shared" si="6"/>
        <v>产业集聚程度</v>
      </c>
      <c r="R15" s="772" t="s">
        <v>17</v>
      </c>
      <c r="S15" s="773">
        <f t="shared" si="0"/>
        <v>100</v>
      </c>
      <c r="T15" s="772" t="s">
        <v>17</v>
      </c>
      <c r="U15" s="773">
        <f t="shared" si="1"/>
        <v>100</v>
      </c>
      <c r="V15" s="772" t="s">
        <v>17</v>
      </c>
      <c r="W15" s="773">
        <f t="shared" si="2"/>
        <v>100</v>
      </c>
      <c r="X15" s="1810"/>
      <c r="Y15" s="3184" t="s">
        <v>2558</v>
      </c>
      <c r="Z15" s="1811" t="str">
        <f t="shared" si="7"/>
        <v>产业集聚程度</v>
      </c>
      <c r="AA15" s="1808">
        <f t="shared" si="3"/>
        <v>1</v>
      </c>
      <c r="AB15" s="1808">
        <f t="shared" si="4"/>
        <v>1</v>
      </c>
      <c r="AC15" s="1808">
        <f t="shared" si="5"/>
        <v>1</v>
      </c>
    </row>
    <row r="16" spans="1:29" ht="15">
      <c r="A16" s="428"/>
      <c r="B16" s="630"/>
      <c r="C16" s="447"/>
      <c r="D16" s="448"/>
      <c r="E16" s="2608"/>
      <c r="F16" s="448"/>
      <c r="G16" s="2608"/>
      <c r="H16" s="450"/>
      <c r="I16" s="2608"/>
      <c r="J16" s="448"/>
      <c r="K16" s="672"/>
      <c r="L16" s="1138"/>
      <c r="M16" s="1129"/>
      <c r="N16" s="1129"/>
      <c r="O16" s="1137"/>
      <c r="P16" s="3185"/>
      <c r="Q16" s="1807"/>
      <c r="R16" s="772"/>
      <c r="S16" s="773"/>
      <c r="T16" s="772"/>
      <c r="U16" s="773"/>
      <c r="V16" s="772"/>
      <c r="W16" s="773"/>
      <c r="X16" s="1810"/>
      <c r="Y16" s="3185"/>
      <c r="Z16" s="1811"/>
      <c r="AA16" s="1808">
        <v>1</v>
      </c>
      <c r="AB16" s="1808">
        <v>1</v>
      </c>
      <c r="AC16" s="1808">
        <v>1</v>
      </c>
    </row>
    <row r="17" spans="1:29" ht="85.5">
      <c r="A17" s="428"/>
      <c r="B17" s="631" t="s">
        <v>2707</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85"/>
      <c r="Q17" s="1807" t="str">
        <f>B17</f>
        <v>交通便捷度</v>
      </c>
      <c r="R17" s="772" t="s">
        <v>17</v>
      </c>
      <c r="S17" s="773">
        <f>F17</f>
        <v>100</v>
      </c>
      <c r="T17" s="772" t="s">
        <v>17</v>
      </c>
      <c r="U17" s="773">
        <f>H17</f>
        <v>100</v>
      </c>
      <c r="V17" s="772" t="s">
        <v>17</v>
      </c>
      <c r="W17" s="773">
        <f>J17</f>
        <v>100</v>
      </c>
      <c r="X17" s="1810"/>
      <c r="Y17" s="3185"/>
      <c r="Z17" s="1811" t="str">
        <f>Q17</f>
        <v>交通便捷度</v>
      </c>
      <c r="AA17" s="1808">
        <f t="shared" si="3"/>
        <v>1</v>
      </c>
      <c r="AB17" s="1808">
        <f t="shared" si="4"/>
        <v>1</v>
      </c>
      <c r="AC17" s="1808">
        <f t="shared" si="5"/>
        <v>1</v>
      </c>
    </row>
    <row r="18" spans="1:29" ht="15">
      <c r="A18" s="428"/>
      <c r="B18" s="632"/>
      <c r="C18" s="447"/>
      <c r="D18" s="448"/>
      <c r="E18" s="2602"/>
      <c r="F18" s="448"/>
      <c r="G18" s="2602"/>
      <c r="H18" s="448"/>
      <c r="I18" s="2601"/>
      <c r="J18" s="448"/>
      <c r="K18" s="672"/>
      <c r="L18" s="1138"/>
      <c r="M18" s="1129"/>
      <c r="N18" s="1129"/>
      <c r="O18" s="1137"/>
      <c r="P18" s="3185"/>
      <c r="Q18" s="1807"/>
      <c r="R18" s="772"/>
      <c r="S18" s="773"/>
      <c r="T18" s="772"/>
      <c r="U18" s="773"/>
      <c r="V18" s="772"/>
      <c r="W18" s="773"/>
      <c r="X18" s="1810"/>
      <c r="Y18" s="3185"/>
      <c r="Z18" s="1811"/>
      <c r="AA18" s="1808">
        <v>1</v>
      </c>
      <c r="AB18" s="1808">
        <v>1</v>
      </c>
      <c r="AC18" s="1808">
        <v>1</v>
      </c>
    </row>
    <row r="19" spans="1:29" ht="15">
      <c r="A19" s="428"/>
      <c r="B19" s="631" t="s">
        <v>2746</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85"/>
      <c r="Q19" s="1807" t="str">
        <f t="shared" ref="Q19:Q33" si="8">B19</f>
        <v>区域土地利用方向</v>
      </c>
      <c r="R19" s="772" t="s">
        <v>17</v>
      </c>
      <c r="S19" s="773">
        <f>F19</f>
        <v>100</v>
      </c>
      <c r="T19" s="772" t="s">
        <v>17</v>
      </c>
      <c r="U19" s="773">
        <f>H19</f>
        <v>100</v>
      </c>
      <c r="V19" s="772" t="s">
        <v>17</v>
      </c>
      <c r="W19" s="773">
        <f>J19</f>
        <v>100</v>
      </c>
      <c r="X19" s="1810"/>
      <c r="Y19" s="3185"/>
      <c r="Z19" s="1811" t="str">
        <f>Q19</f>
        <v>区域土地利用方向</v>
      </c>
      <c r="AA19" s="1808">
        <f t="shared" si="3"/>
        <v>1</v>
      </c>
      <c r="AB19" s="1808">
        <f t="shared" si="4"/>
        <v>1</v>
      </c>
      <c r="AC19" s="1808">
        <f t="shared" si="5"/>
        <v>1</v>
      </c>
    </row>
    <row r="20" spans="1:29" ht="15">
      <c r="A20" s="404"/>
      <c r="B20" s="632"/>
      <c r="C20" s="447"/>
      <c r="D20" s="448"/>
      <c r="E20" s="2602"/>
      <c r="F20" s="448"/>
      <c r="G20" s="2602"/>
      <c r="H20" s="448"/>
      <c r="I20" s="2602"/>
      <c r="J20" s="448"/>
      <c r="K20" s="810"/>
      <c r="L20" s="1138"/>
      <c r="M20" s="1129"/>
      <c r="N20" s="1129"/>
      <c r="O20" s="1137"/>
      <c r="P20" s="3185"/>
      <c r="Q20" s="1807"/>
      <c r="R20" s="772"/>
      <c r="S20" s="773"/>
      <c r="T20" s="772"/>
      <c r="U20" s="773"/>
      <c r="V20" s="772"/>
      <c r="W20" s="773"/>
      <c r="X20" s="1810"/>
      <c r="Y20" s="3185"/>
      <c r="Z20" s="1811"/>
      <c r="AA20" s="1808"/>
      <c r="AB20" s="1808"/>
      <c r="AC20" s="1808"/>
    </row>
    <row r="21" spans="1:29" ht="71.25">
      <c r="A21" s="404"/>
      <c r="B21" s="631" t="s">
        <v>2797</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85"/>
      <c r="Q21" s="1807" t="str">
        <f t="shared" si="8"/>
        <v>环境状况</v>
      </c>
      <c r="R21" s="772" t="s">
        <v>17</v>
      </c>
      <c r="S21" s="773">
        <f>F21</f>
        <v>100</v>
      </c>
      <c r="T21" s="772" t="s">
        <v>17</v>
      </c>
      <c r="U21" s="773">
        <f>H21</f>
        <v>100</v>
      </c>
      <c r="V21" s="772" t="s">
        <v>17</v>
      </c>
      <c r="W21" s="773">
        <f>J21</f>
        <v>100</v>
      </c>
      <c r="X21" s="1810"/>
      <c r="Y21" s="3185"/>
      <c r="Z21" s="1811" t="str">
        <f>Q21</f>
        <v>环境状况</v>
      </c>
      <c r="AA21" s="1808">
        <f t="shared" si="3"/>
        <v>1</v>
      </c>
      <c r="AB21" s="1808">
        <f t="shared" si="4"/>
        <v>1</v>
      </c>
      <c r="AC21" s="1808">
        <f t="shared" si="5"/>
        <v>1</v>
      </c>
    </row>
    <row r="22" spans="1:29" ht="15">
      <c r="A22" s="404"/>
      <c r="B22" s="632"/>
      <c r="C22" s="447"/>
      <c r="D22" s="448"/>
      <c r="E22" s="2608"/>
      <c r="F22" s="448"/>
      <c r="G22" s="2608"/>
      <c r="H22" s="448"/>
      <c r="I22" s="447"/>
      <c r="J22" s="448"/>
      <c r="K22" s="672"/>
      <c r="L22" s="1138"/>
      <c r="M22" s="1129"/>
      <c r="N22" s="1129"/>
      <c r="O22" s="1137"/>
      <c r="P22" s="3185"/>
      <c r="Q22" s="1807"/>
      <c r="R22" s="772"/>
      <c r="S22" s="773"/>
      <c r="T22" s="772"/>
      <c r="U22" s="773"/>
      <c r="V22" s="772"/>
      <c r="W22" s="773"/>
      <c r="X22" s="1810"/>
      <c r="Y22" s="3185"/>
      <c r="Z22" s="1811"/>
      <c r="AA22" s="1808">
        <v>1</v>
      </c>
      <c r="AB22" s="1808">
        <v>1</v>
      </c>
      <c r="AC22" s="1808">
        <v>1</v>
      </c>
    </row>
    <row r="23" spans="1:29" s="117" customFormat="1" ht="42.75">
      <c r="A23" s="649"/>
      <c r="B23" s="633" t="s">
        <v>2652</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85"/>
      <c r="Q23" s="1792" t="str">
        <f t="shared" si="8"/>
        <v>公共配套设施</v>
      </c>
      <c r="R23" s="768" t="s">
        <v>17</v>
      </c>
      <c r="S23" s="769">
        <f>F23</f>
        <v>100</v>
      </c>
      <c r="T23" s="768" t="s">
        <v>17</v>
      </c>
      <c r="U23" s="769">
        <f>H23</f>
        <v>100</v>
      </c>
      <c r="V23" s="768" t="s">
        <v>17</v>
      </c>
      <c r="W23" s="769">
        <f>J23</f>
        <v>100</v>
      </c>
      <c r="X23" s="770"/>
      <c r="Y23" s="3185"/>
      <c r="Z23" s="55" t="str">
        <f>Q23</f>
        <v>公共配套设施</v>
      </c>
      <c r="AA23" s="1808">
        <f>D23/F23</f>
        <v>1</v>
      </c>
      <c r="AB23" s="1808">
        <f>D23/H23</f>
        <v>1</v>
      </c>
      <c r="AC23" s="1808">
        <f>D23/J23</f>
        <v>1</v>
      </c>
    </row>
    <row r="24" spans="1:29" s="117" customFormat="1" ht="15">
      <c r="A24" s="649"/>
      <c r="B24" s="632"/>
      <c r="C24" s="2697"/>
      <c r="D24" s="448"/>
      <c r="E24" s="2608"/>
      <c r="F24" s="448"/>
      <c r="G24" s="2608"/>
      <c r="H24" s="448"/>
      <c r="I24" s="447"/>
      <c r="J24" s="448"/>
      <c r="K24" s="672"/>
      <c r="L24" s="1130"/>
      <c r="M24" s="1131"/>
      <c r="N24" s="1131"/>
      <c r="O24" s="1132"/>
      <c r="P24" s="3185"/>
      <c r="Q24" s="1792"/>
      <c r="R24" s="768"/>
      <c r="S24" s="769"/>
      <c r="T24" s="768"/>
      <c r="U24" s="769"/>
      <c r="V24" s="768"/>
      <c r="W24" s="769"/>
      <c r="X24" s="770"/>
      <c r="Y24" s="3185"/>
      <c r="Z24" s="55"/>
      <c r="AA24" s="771">
        <v>1</v>
      </c>
      <c r="AB24" s="771">
        <v>1</v>
      </c>
      <c r="AC24" s="771">
        <v>1</v>
      </c>
    </row>
    <row r="25" spans="1:29" s="117" customFormat="1" ht="28.5">
      <c r="A25" s="649"/>
      <c r="B25" s="633" t="s">
        <v>2653</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85"/>
      <c r="Q25" s="1792" t="str">
        <f t="shared" ref="Q25" si="9">B25</f>
        <v>基础设施水平</v>
      </c>
      <c r="R25" s="768" t="s">
        <v>17</v>
      </c>
      <c r="S25" s="769">
        <f>F25</f>
        <v>100</v>
      </c>
      <c r="T25" s="768" t="s">
        <v>17</v>
      </c>
      <c r="U25" s="769">
        <f>H25</f>
        <v>100</v>
      </c>
      <c r="V25" s="768" t="s">
        <v>17</v>
      </c>
      <c r="W25" s="769">
        <f>J25</f>
        <v>100</v>
      </c>
      <c r="X25" s="770"/>
      <c r="Y25" s="3185"/>
      <c r="Z25" s="55" t="str">
        <f>Q25</f>
        <v>基础设施水平</v>
      </c>
      <c r="AA25" s="1808">
        <f>D25/F25</f>
        <v>1</v>
      </c>
      <c r="AB25" s="1808">
        <f>D25/H25</f>
        <v>1</v>
      </c>
      <c r="AC25" s="1808">
        <f>D25/J25</f>
        <v>1</v>
      </c>
    </row>
    <row r="26" spans="1:29" s="117" customFormat="1" ht="15">
      <c r="A26" s="649"/>
      <c r="B26" s="632"/>
      <c r="C26" s="2697"/>
      <c r="D26" s="448"/>
      <c r="E26" s="2698"/>
      <c r="F26" s="448"/>
      <c r="G26" s="2698"/>
      <c r="H26" s="448"/>
      <c r="I26" s="2698"/>
      <c r="J26" s="448"/>
      <c r="K26" s="672"/>
      <c r="L26" s="1130"/>
      <c r="M26" s="1131"/>
      <c r="N26" s="1131"/>
      <c r="O26" s="1132"/>
      <c r="P26" s="3185"/>
      <c r="Q26" s="1792"/>
      <c r="R26" s="768"/>
      <c r="S26" s="769"/>
      <c r="T26" s="768"/>
      <c r="U26" s="769"/>
      <c r="V26" s="768"/>
      <c r="W26" s="769"/>
      <c r="X26" s="770"/>
      <c r="Y26" s="3185"/>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85"/>
      <c r="Q27" s="1807" t="str">
        <f t="shared" si="8"/>
        <v>临街状况</v>
      </c>
      <c r="R27" s="772" t="s">
        <v>17</v>
      </c>
      <c r="S27" s="773">
        <f t="shared" ref="S27:S40" si="10">F27</f>
        <v>100</v>
      </c>
      <c r="T27" s="772" t="s">
        <v>17</v>
      </c>
      <c r="U27" s="773">
        <f t="shared" ref="U27:U40" si="11">H27</f>
        <v>100</v>
      </c>
      <c r="V27" s="772" t="s">
        <v>17</v>
      </c>
      <c r="W27" s="773">
        <f t="shared" ref="W27:W40" si="12">J27</f>
        <v>100</v>
      </c>
      <c r="X27" s="1810"/>
      <c r="Y27" s="3185"/>
      <c r="Z27" s="1811" t="str">
        <f t="shared" ref="Z27:Z40" si="13">Q27</f>
        <v>临街状况</v>
      </c>
      <c r="AA27" s="1808">
        <f t="shared" si="3"/>
        <v>1</v>
      </c>
      <c r="AB27" s="1808">
        <f t="shared" si="4"/>
        <v>1</v>
      </c>
      <c r="AC27" s="1808">
        <f t="shared" si="5"/>
        <v>1</v>
      </c>
    </row>
    <row r="28" spans="1:29" ht="27">
      <c r="A28" s="428"/>
      <c r="B28" s="633" t="s">
        <v>2689</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85"/>
      <c r="Q28" s="1807" t="str">
        <f t="shared" si="8"/>
        <v>毗邻道路的类型与等级</v>
      </c>
      <c r="R28" s="772" t="s">
        <v>17</v>
      </c>
      <c r="S28" s="773">
        <f t="shared" si="10"/>
        <v>100</v>
      </c>
      <c r="T28" s="772" t="s">
        <v>17</v>
      </c>
      <c r="U28" s="773">
        <f t="shared" si="11"/>
        <v>100</v>
      </c>
      <c r="V28" s="772" t="s">
        <v>17</v>
      </c>
      <c r="W28" s="773">
        <f t="shared" si="12"/>
        <v>100</v>
      </c>
      <c r="X28" s="1810"/>
      <c r="Y28" s="3185"/>
      <c r="Z28" s="1811" t="str">
        <f t="shared" si="13"/>
        <v>毗邻道路的类型与等级</v>
      </c>
      <c r="AA28" s="1808">
        <f t="shared" si="3"/>
        <v>1</v>
      </c>
      <c r="AB28" s="1808">
        <f t="shared" si="4"/>
        <v>1</v>
      </c>
      <c r="AC28" s="1808">
        <f t="shared" si="5"/>
        <v>1</v>
      </c>
    </row>
    <row r="29" spans="1:29" ht="15">
      <c r="A29" s="428"/>
      <c r="B29" s="632"/>
      <c r="C29" s="447"/>
      <c r="D29" s="448"/>
      <c r="E29" s="2608"/>
      <c r="F29" s="448"/>
      <c r="G29" s="2608"/>
      <c r="H29" s="448"/>
      <c r="I29" s="2608"/>
      <c r="J29" s="448"/>
      <c r="K29" s="613"/>
      <c r="L29" s="1138"/>
      <c r="M29" s="1129"/>
      <c r="N29" s="1129"/>
      <c r="O29" s="1137"/>
      <c r="P29" s="3185"/>
      <c r="Q29" s="1807"/>
      <c r="R29" s="772"/>
      <c r="S29" s="773"/>
      <c r="T29" s="772"/>
      <c r="U29" s="773"/>
      <c r="V29" s="772"/>
      <c r="W29" s="773"/>
      <c r="X29" s="1810"/>
      <c r="Y29" s="3185"/>
      <c r="Z29" s="1811"/>
      <c r="AA29" s="1808">
        <v>1</v>
      </c>
      <c r="AB29" s="1808">
        <v>1</v>
      </c>
      <c r="AC29" s="1808">
        <v>1</v>
      </c>
    </row>
    <row r="30" spans="1:29" ht="15">
      <c r="A30" s="428"/>
      <c r="B30" s="654" t="s">
        <v>2748</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85"/>
      <c r="Q30" s="1807" t="str">
        <f t="shared" si="8"/>
        <v>土地级别</v>
      </c>
      <c r="R30" s="772" t="s">
        <v>17</v>
      </c>
      <c r="S30" s="773">
        <f t="shared" si="10"/>
        <v>100</v>
      </c>
      <c r="T30" s="772" t="s">
        <v>17</v>
      </c>
      <c r="U30" s="773">
        <f t="shared" si="11"/>
        <v>100</v>
      </c>
      <c r="V30" s="772" t="s">
        <v>17</v>
      </c>
      <c r="W30" s="773">
        <f t="shared" si="12"/>
        <v>100</v>
      </c>
      <c r="X30" s="1810"/>
      <c r="Y30" s="3185"/>
      <c r="Z30" s="1811" t="str">
        <f t="shared" si="13"/>
        <v>土地级别</v>
      </c>
      <c r="AA30" s="1808">
        <f t="shared" si="3"/>
        <v>1</v>
      </c>
      <c r="AB30" s="1808">
        <f t="shared" si="4"/>
        <v>1</v>
      </c>
      <c r="AC30" s="1808">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85"/>
      <c r="Q31" s="1807">
        <f t="shared" si="8"/>
        <v>111</v>
      </c>
      <c r="R31" s="772" t="s">
        <v>17</v>
      </c>
      <c r="S31" s="773">
        <f t="shared" si="10"/>
        <v>100</v>
      </c>
      <c r="T31" s="772" t="s">
        <v>17</v>
      </c>
      <c r="U31" s="773">
        <f t="shared" si="11"/>
        <v>100</v>
      </c>
      <c r="V31" s="772" t="s">
        <v>17</v>
      </c>
      <c r="W31" s="773">
        <f t="shared" si="12"/>
        <v>100</v>
      </c>
      <c r="X31" s="1810"/>
      <c r="Y31" s="3185"/>
      <c r="Z31" s="1811">
        <f t="shared" si="13"/>
        <v>111</v>
      </c>
      <c r="AA31" s="1808">
        <f t="shared" si="3"/>
        <v>1</v>
      </c>
      <c r="AB31" s="1808">
        <f t="shared" si="4"/>
        <v>1</v>
      </c>
      <c r="AC31" s="1808">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42" t="s">
        <v>2563</v>
      </c>
      <c r="Q32" s="1807">
        <f t="shared" si="8"/>
        <v>111</v>
      </c>
      <c r="R32" s="772" t="s">
        <v>17</v>
      </c>
      <c r="S32" s="773">
        <f t="shared" si="10"/>
        <v>100</v>
      </c>
      <c r="T32" s="772" t="s">
        <v>17</v>
      </c>
      <c r="U32" s="773">
        <f t="shared" si="11"/>
        <v>100</v>
      </c>
      <c r="V32" s="772" t="s">
        <v>17</v>
      </c>
      <c r="W32" s="773">
        <f t="shared" si="12"/>
        <v>100</v>
      </c>
      <c r="X32" s="1810"/>
      <c r="Y32" s="3189" t="s">
        <v>2563</v>
      </c>
      <c r="Z32" s="1811">
        <f t="shared" si="13"/>
        <v>111</v>
      </c>
      <c r="AA32" s="1808">
        <f t="shared" si="3"/>
        <v>1</v>
      </c>
      <c r="AB32" s="1808">
        <f t="shared" si="4"/>
        <v>1</v>
      </c>
      <c r="AC32" s="1808">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89"/>
      <c r="Q33" s="1807">
        <f t="shared" si="8"/>
        <v>111</v>
      </c>
      <c r="R33" s="775" t="s">
        <v>17</v>
      </c>
      <c r="S33" s="776">
        <f t="shared" si="10"/>
        <v>100</v>
      </c>
      <c r="T33" s="775" t="s">
        <v>17</v>
      </c>
      <c r="U33" s="776">
        <f t="shared" si="11"/>
        <v>100</v>
      </c>
      <c r="V33" s="775" t="s">
        <v>17</v>
      </c>
      <c r="W33" s="776">
        <f t="shared" si="12"/>
        <v>100</v>
      </c>
      <c r="X33" s="777"/>
      <c r="Y33" s="3189"/>
      <c r="Z33" s="778">
        <f t="shared" si="13"/>
        <v>111</v>
      </c>
      <c r="AA33" s="1808">
        <f t="shared" si="3"/>
        <v>1</v>
      </c>
      <c r="AB33" s="1808">
        <f t="shared" si="4"/>
        <v>1</v>
      </c>
      <c r="AC33" s="1808">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89"/>
      <c r="Q34" s="1807" t="str">
        <f>B34</f>
        <v>宗地面积</v>
      </c>
      <c r="R34" s="772" t="s">
        <v>17</v>
      </c>
      <c r="S34" s="773" t="e">
        <f t="shared" si="10"/>
        <v>#N/A</v>
      </c>
      <c r="T34" s="772" t="s">
        <v>17</v>
      </c>
      <c r="U34" s="773" t="e">
        <f t="shared" si="11"/>
        <v>#N/A</v>
      </c>
      <c r="V34" s="772" t="s">
        <v>17</v>
      </c>
      <c r="W34" s="773" t="e">
        <f t="shared" si="12"/>
        <v>#N/A</v>
      </c>
      <c r="X34" s="1810"/>
      <c r="Y34" s="3189"/>
      <c r="Z34" s="1811" t="str">
        <f t="shared" si="13"/>
        <v>宗地面积</v>
      </c>
      <c r="AA34" s="1808" t="e">
        <f t="shared" si="3"/>
        <v>#N/A</v>
      </c>
      <c r="AB34" s="1808" t="e">
        <f t="shared" si="4"/>
        <v>#N/A</v>
      </c>
      <c r="AC34" s="1808" t="e">
        <f t="shared" si="5"/>
        <v>#N/A</v>
      </c>
    </row>
    <row r="35" spans="1:29" ht="15">
      <c r="A35" s="472"/>
      <c r="B35" s="422" t="s">
        <v>2750</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8"/>
      <c r="M35" s="1129"/>
      <c r="N35" s="1129"/>
      <c r="O35" s="1137"/>
      <c r="P35" s="3189"/>
      <c r="Q35" s="1807" t="str">
        <f t="shared" ref="Q35:Q40" si="14">B35</f>
        <v>宗地形状</v>
      </c>
      <c r="R35" s="772" t="s">
        <v>17</v>
      </c>
      <c r="S35" s="773">
        <f t="shared" si="10"/>
        <v>100</v>
      </c>
      <c r="T35" s="772" t="s">
        <v>17</v>
      </c>
      <c r="U35" s="773">
        <f t="shared" si="11"/>
        <v>100</v>
      </c>
      <c r="V35" s="772" t="s">
        <v>17</v>
      </c>
      <c r="W35" s="773">
        <f t="shared" si="12"/>
        <v>100</v>
      </c>
      <c r="X35" s="1810"/>
      <c r="Y35" s="3189"/>
      <c r="Z35" s="1811" t="str">
        <f t="shared" si="13"/>
        <v>宗地形状</v>
      </c>
      <c r="AA35" s="1808">
        <f t="shared" si="3"/>
        <v>1</v>
      </c>
      <c r="AB35" s="1808">
        <f t="shared" si="4"/>
        <v>1</v>
      </c>
      <c r="AC35" s="1808">
        <f t="shared" si="5"/>
        <v>1</v>
      </c>
    </row>
    <row r="36" spans="1:29" s="117" customFormat="1" ht="15">
      <c r="A36" s="473"/>
      <c r="B36" s="422" t="s">
        <v>2752</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0"/>
      <c r="M36" s="1131"/>
      <c r="N36" s="1131"/>
      <c r="O36" s="1132"/>
      <c r="P36" s="3189"/>
      <c r="Q36" s="1807" t="str">
        <f t="shared" si="14"/>
        <v>宗地开发程度</v>
      </c>
      <c r="R36" s="768" t="s">
        <v>17</v>
      </c>
      <c r="S36" s="769">
        <f t="shared" si="10"/>
        <v>100</v>
      </c>
      <c r="T36" s="768" t="s">
        <v>17</v>
      </c>
      <c r="U36" s="769">
        <f t="shared" si="11"/>
        <v>100</v>
      </c>
      <c r="V36" s="768" t="s">
        <v>17</v>
      </c>
      <c r="W36" s="769">
        <f t="shared" si="12"/>
        <v>100</v>
      </c>
      <c r="X36" s="770"/>
      <c r="Y36" s="3189"/>
      <c r="Z36" s="55" t="str">
        <f t="shared" si="13"/>
        <v>宗地开发程度</v>
      </c>
      <c r="AA36" s="771">
        <f t="shared" si="3"/>
        <v>1</v>
      </c>
      <c r="AB36" s="771">
        <f t="shared" si="4"/>
        <v>1</v>
      </c>
      <c r="AC36" s="771">
        <f t="shared" si="5"/>
        <v>1</v>
      </c>
    </row>
    <row r="37" spans="1:29" ht="15">
      <c r="A37" s="472"/>
      <c r="B37" s="422" t="s">
        <v>2753</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8"/>
      <c r="M37" s="1129"/>
      <c r="N37" s="1129"/>
      <c r="O37" s="1137"/>
      <c r="P37" s="3189" t="s">
        <v>2563</v>
      </c>
      <c r="Q37" s="1807" t="str">
        <f t="shared" si="14"/>
        <v>工程地质条件</v>
      </c>
      <c r="R37" s="772" t="s">
        <v>17</v>
      </c>
      <c r="S37" s="773">
        <f t="shared" si="10"/>
        <v>100</v>
      </c>
      <c r="T37" s="772" t="s">
        <v>17</v>
      </c>
      <c r="U37" s="773">
        <f t="shared" si="11"/>
        <v>100</v>
      </c>
      <c r="V37" s="772" t="s">
        <v>17</v>
      </c>
      <c r="W37" s="773">
        <f t="shared" si="12"/>
        <v>100</v>
      </c>
      <c r="X37" s="1810"/>
      <c r="Y37" s="3189" t="s">
        <v>2563</v>
      </c>
      <c r="Z37" s="1811" t="str">
        <f t="shared" si="13"/>
        <v>工程地质条件</v>
      </c>
      <c r="AA37" s="1808">
        <f t="shared" si="3"/>
        <v>1</v>
      </c>
      <c r="AB37" s="1808">
        <f t="shared" si="4"/>
        <v>1</v>
      </c>
      <c r="AC37" s="1808">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89"/>
      <c r="Q38" s="1807">
        <f t="shared" si="14"/>
        <v>111</v>
      </c>
      <c r="R38" s="772" t="s">
        <v>17</v>
      </c>
      <c r="S38" s="773">
        <f t="shared" si="10"/>
        <v>100</v>
      </c>
      <c r="T38" s="772" t="s">
        <v>17</v>
      </c>
      <c r="U38" s="773">
        <f t="shared" si="11"/>
        <v>100</v>
      </c>
      <c r="V38" s="772" t="s">
        <v>17</v>
      </c>
      <c r="W38" s="773">
        <f t="shared" si="12"/>
        <v>100</v>
      </c>
      <c r="X38" s="1810"/>
      <c r="Y38" s="3189"/>
      <c r="Z38" s="1811">
        <f t="shared" si="13"/>
        <v>111</v>
      </c>
      <c r="AA38" s="1808">
        <f t="shared" si="3"/>
        <v>1</v>
      </c>
      <c r="AB38" s="1808">
        <f t="shared" si="4"/>
        <v>1</v>
      </c>
      <c r="AC38" s="1808">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89"/>
      <c r="Q39" s="1807">
        <f t="shared" si="14"/>
        <v>111</v>
      </c>
      <c r="R39" s="772" t="s">
        <v>17</v>
      </c>
      <c r="S39" s="773">
        <f t="shared" si="10"/>
        <v>100</v>
      </c>
      <c r="T39" s="772" t="s">
        <v>17</v>
      </c>
      <c r="U39" s="773">
        <f t="shared" si="11"/>
        <v>100</v>
      </c>
      <c r="V39" s="772" t="s">
        <v>17</v>
      </c>
      <c r="W39" s="773">
        <f t="shared" si="12"/>
        <v>100</v>
      </c>
      <c r="X39" s="1810"/>
      <c r="Y39" s="3189"/>
      <c r="Z39" s="1811">
        <f t="shared" si="13"/>
        <v>111</v>
      </c>
      <c r="AA39" s="1808">
        <f t="shared" si="3"/>
        <v>1</v>
      </c>
      <c r="AB39" s="1808">
        <f t="shared" si="4"/>
        <v>1</v>
      </c>
      <c r="AC39" s="1808">
        <f t="shared" si="5"/>
        <v>1</v>
      </c>
    </row>
    <row r="40" spans="1:29" s="471" customFormat="1" ht="15.75" thickBot="1">
      <c r="A40" s="468"/>
      <c r="B40" s="1385">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89"/>
      <c r="Q40" s="1807">
        <f t="shared" si="14"/>
        <v>111</v>
      </c>
      <c r="R40" s="775" t="s">
        <v>17</v>
      </c>
      <c r="S40" s="776">
        <f t="shared" si="10"/>
        <v>100</v>
      </c>
      <c r="T40" s="775" t="s">
        <v>17</v>
      </c>
      <c r="U40" s="776">
        <f t="shared" si="11"/>
        <v>100</v>
      </c>
      <c r="V40" s="775" t="s">
        <v>17</v>
      </c>
      <c r="W40" s="776">
        <f t="shared" si="12"/>
        <v>100</v>
      </c>
      <c r="X40" s="777"/>
      <c r="Y40" s="3189"/>
      <c r="Z40" s="778">
        <f t="shared" si="13"/>
        <v>111</v>
      </c>
      <c r="AA40" s="1808">
        <f t="shared" si="3"/>
        <v>1</v>
      </c>
      <c r="AB40" s="1808">
        <f t="shared" si="4"/>
        <v>1</v>
      </c>
      <c r="AC40" s="1808">
        <f t="shared" si="5"/>
        <v>1</v>
      </c>
    </row>
    <row r="41" spans="1:29" ht="15">
      <c r="A41" s="479" t="s">
        <v>2718</v>
      </c>
      <c r="B41" s="2701" t="s">
        <v>2798</v>
      </c>
      <c r="C41" s="682" t="s">
        <v>1</v>
      </c>
      <c r="D41" s="481"/>
      <c r="E41" s="482"/>
      <c r="F41" s="483"/>
      <c r="G41" s="484"/>
      <c r="H41" s="485"/>
      <c r="I41" s="482"/>
      <c r="J41" s="485"/>
      <c r="K41" s="781"/>
      <c r="L41" s="1141"/>
      <c r="M41" s="1129"/>
      <c r="N41" s="1129"/>
      <c r="O41" s="1142"/>
      <c r="P41" s="3182" t="str">
        <f>A41</f>
        <v>成交单价</v>
      </c>
      <c r="Q41" s="3182"/>
      <c r="R41" s="3213">
        <f>E41</f>
        <v>0</v>
      </c>
      <c r="S41" s="3213"/>
      <c r="T41" s="3213">
        <f>G41</f>
        <v>0</v>
      </c>
      <c r="U41" s="3213"/>
      <c r="V41" s="3213">
        <f>I41</f>
        <v>0</v>
      </c>
      <c r="W41" s="3213"/>
      <c r="X41" s="757"/>
      <c r="Y41" s="779"/>
      <c r="Z41" s="757"/>
      <c r="AA41" s="757"/>
      <c r="AB41" s="757"/>
      <c r="AC41" s="757"/>
    </row>
    <row r="42" spans="1:29" ht="15.75" thickBot="1">
      <c r="A42" s="486" t="s">
        <v>2667</v>
      </c>
      <c r="B42" s="683"/>
      <c r="C42" s="490" t="e">
        <f>R43</f>
        <v>#DIV/0!</v>
      </c>
      <c r="D42" s="489"/>
      <c r="E42" s="490" t="e">
        <f>R42</f>
        <v>#DIV/0!</v>
      </c>
      <c r="F42" s="491"/>
      <c r="G42" s="488" t="e">
        <f>T42</f>
        <v>#DIV/0!</v>
      </c>
      <c r="H42" s="489"/>
      <c r="I42" s="490" t="e">
        <f>V42</f>
        <v>#DIV/0!</v>
      </c>
      <c r="J42" s="489"/>
      <c r="K42" s="782"/>
      <c r="L42" s="1141"/>
      <c r="M42" s="1129"/>
      <c r="N42" s="1129"/>
      <c r="O42" s="1142"/>
      <c r="P42" s="3182" t="str">
        <f>A42</f>
        <v>比较价值（元/平方米）</v>
      </c>
      <c r="Q42" s="3182"/>
      <c r="R42" s="3243" t="e">
        <f>ROUND(PRODUCT(R41,AA7:AA40),0)</f>
        <v>#DIV/0!</v>
      </c>
      <c r="S42" s="3243"/>
      <c r="T42" s="3243" t="e">
        <f>ROUND(PRODUCT(T41,AB7:AB40),0)</f>
        <v>#DIV/0!</v>
      </c>
      <c r="U42" s="3243"/>
      <c r="V42" s="3243" t="e">
        <f>ROUND(PRODUCT(V41,AC7:AC40),0)</f>
        <v>#DIV/0!</v>
      </c>
      <c r="W42" s="3243"/>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41"/>
      <c r="M43" s="1129"/>
      <c r="N43" s="1129"/>
      <c r="O43" s="1142"/>
      <c r="P43" s="3179" t="str">
        <f>A43</f>
        <v>估价对象XX用房的比较价值（楼面单价，元/平方米）</v>
      </c>
      <c r="Q43" s="3180"/>
      <c r="R43" s="3244" t="e">
        <f>ROUND(AVERAGE(R42:V42),0)</f>
        <v>#DIV/0!</v>
      </c>
      <c r="S43" s="3244"/>
      <c r="T43" s="3244"/>
      <c r="U43" s="3244"/>
      <c r="V43" s="3244"/>
      <c r="W43" s="3244"/>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2756</v>
      </c>
      <c r="B50" s="685" t="s">
        <v>2757</v>
      </c>
      <c r="C50" s="2702" t="s">
        <v>2758</v>
      </c>
      <c r="D50" s="2703" t="s">
        <v>2759</v>
      </c>
      <c r="E50" s="686" t="s">
        <v>2760</v>
      </c>
      <c r="F50" s="687" t="s">
        <v>2761</v>
      </c>
      <c r="G50" s="3197" t="s">
        <v>2762</v>
      </c>
      <c r="H50" s="3245"/>
      <c r="I50" s="1811" t="s">
        <v>2799</v>
      </c>
      <c r="J50" s="1811">
        <f>项目基本情况!F35</f>
        <v>0</v>
      </c>
      <c r="K50" s="2705" t="s">
        <v>2764</v>
      </c>
      <c r="L50" s="1104"/>
      <c r="M50" s="1142"/>
      <c r="N50" s="1142"/>
      <c r="O50" s="1142"/>
    </row>
    <row r="51" spans="1:17" s="692" customFormat="1">
      <c r="A51" s="688" t="s">
        <v>2765</v>
      </c>
      <c r="B51" s="689" t="e">
        <f>C43</f>
        <v>#DIV/0!</v>
      </c>
      <c r="C51" s="690">
        <v>1</v>
      </c>
      <c r="D51" s="1161">
        <v>1</v>
      </c>
      <c r="E51" s="690">
        <f>'数据-汇总表'!E8+'数据-汇总表'!E9</f>
        <v>380</v>
      </c>
      <c r="F51" s="691" t="e">
        <f t="shared" ref="F51:F60" si="15">ROUND(B51*E51/10000,0)</f>
        <v>#DIV/0!</v>
      </c>
      <c r="G51" s="3193"/>
      <c r="H51" s="3182"/>
      <c r="I51" s="940">
        <v>1</v>
      </c>
      <c r="J51" s="940">
        <v>1</v>
      </c>
      <c r="K51" s="1143"/>
      <c r="L51" s="939"/>
      <c r="M51" s="939"/>
      <c r="N51" s="939"/>
      <c r="O51" s="939"/>
    </row>
    <row r="52" spans="1:17" s="692" customFormat="1">
      <c r="A52" s="693" t="s">
        <v>2766</v>
      </c>
      <c r="B52" s="262" t="e">
        <f>ROUND($C$43*C52*D52,0)</f>
        <v>#DIV/0!</v>
      </c>
      <c r="C52" s="200">
        <f t="shared" ref="C52:C60" si="16">IF($C$50="北京市系数",I52,J52)</f>
        <v>0</v>
      </c>
      <c r="D52" s="1162">
        <v>0.25</v>
      </c>
      <c r="E52" s="694"/>
      <c r="F52" s="691" t="e">
        <f t="shared" si="15"/>
        <v>#DIV/0!</v>
      </c>
      <c r="G52" s="3246" t="s">
        <v>2767</v>
      </c>
      <c r="H52" s="1102">
        <f>项目基本情况!B37</f>
        <v>0</v>
      </c>
      <c r="I52" s="940">
        <f>SUMIF(修正!A45:A56,H52,修正!B45:B56)</f>
        <v>0</v>
      </c>
      <c r="J52" s="941"/>
      <c r="K52" s="1142"/>
      <c r="L52" s="939"/>
      <c r="M52" s="939"/>
      <c r="N52" s="939"/>
      <c r="O52" s="939"/>
    </row>
    <row r="53" spans="1:17" s="692" customFormat="1">
      <c r="A53" s="693" t="s">
        <v>2768</v>
      </c>
      <c r="B53" s="262" t="e">
        <f t="shared" ref="B53:B60" si="17">ROUND($C$43*C53*D53,0)</f>
        <v>#DIV/0!</v>
      </c>
      <c r="C53" s="200">
        <f t="shared" si="16"/>
        <v>0</v>
      </c>
      <c r="D53" s="1162">
        <v>0.25</v>
      </c>
      <c r="E53" s="694"/>
      <c r="F53" s="691" t="e">
        <f t="shared" si="15"/>
        <v>#DIV/0!</v>
      </c>
      <c r="G53" s="3246"/>
      <c r="H53" s="1102">
        <f>项目基本情况!B37</f>
        <v>0</v>
      </c>
      <c r="I53" s="940">
        <f>SUMIF(修正!A45:A56,H53,修正!C45:C56)</f>
        <v>0</v>
      </c>
      <c r="J53" s="941"/>
      <c r="K53" s="1143"/>
      <c r="L53" s="939"/>
      <c r="M53" s="939"/>
      <c r="N53" s="939"/>
      <c r="O53" s="939"/>
    </row>
    <row r="54" spans="1:17" s="692" customFormat="1">
      <c r="A54" s="693" t="s">
        <v>2769</v>
      </c>
      <c r="B54" s="262" t="e">
        <f t="shared" si="17"/>
        <v>#DIV/0!</v>
      </c>
      <c r="C54" s="200">
        <f t="shared" si="16"/>
        <v>0</v>
      </c>
      <c r="D54" s="1162">
        <v>0.25</v>
      </c>
      <c r="E54" s="694"/>
      <c r="F54" s="691" t="e">
        <f t="shared" si="15"/>
        <v>#DIV/0!</v>
      </c>
      <c r="G54" s="3246"/>
      <c r="H54" s="1102">
        <f>项目基本情况!B37</f>
        <v>0</v>
      </c>
      <c r="I54" s="940">
        <f>SUMIF(修正!A45:A56,H54,修正!D45:D56)</f>
        <v>0</v>
      </c>
      <c r="J54" s="941"/>
      <c r="K54" s="1142"/>
      <c r="L54" s="939"/>
      <c r="M54" s="939"/>
      <c r="N54" s="939"/>
      <c r="O54" s="939"/>
    </row>
    <row r="55" spans="1:17" s="692" customFormat="1">
      <c r="A55" s="693" t="s">
        <v>2770</v>
      </c>
      <c r="B55" s="262" t="e">
        <f t="shared" si="17"/>
        <v>#DIV/0!</v>
      </c>
      <c r="C55" s="200">
        <f t="shared" si="16"/>
        <v>0</v>
      </c>
      <c r="D55" s="1162">
        <v>0.25</v>
      </c>
      <c r="E55" s="694"/>
      <c r="F55" s="691" t="e">
        <f t="shared" si="15"/>
        <v>#DIV/0!</v>
      </c>
      <c r="G55" s="3246"/>
      <c r="H55" s="1102">
        <f>项目基本情况!B37</f>
        <v>0</v>
      </c>
      <c r="I55" s="940">
        <f>SUMIF(修正!A45:A56,H55,修正!E45:E56)</f>
        <v>0</v>
      </c>
      <c r="J55" s="941"/>
      <c r="K55" s="1143"/>
      <c r="L55" s="939"/>
      <c r="M55" s="939"/>
      <c r="N55" s="939"/>
      <c r="O55" s="939"/>
    </row>
    <row r="56" spans="1:17" s="692" customFormat="1">
      <c r="A56" s="693" t="s">
        <v>2771</v>
      </c>
      <c r="B56" s="262" t="e">
        <f t="shared" si="17"/>
        <v>#DIV/0!</v>
      </c>
      <c r="C56" s="200">
        <f t="shared" si="16"/>
        <v>0.25</v>
      </c>
      <c r="D56" s="1162">
        <v>0.25</v>
      </c>
      <c r="E56" s="261">
        <f>'数据-汇总表'!E11</f>
        <v>0</v>
      </c>
      <c r="F56" s="691" t="e">
        <f t="shared" si="15"/>
        <v>#DIV/0!</v>
      </c>
      <c r="G56" s="2706" t="s">
        <v>2772</v>
      </c>
      <c r="H56" s="1102" t="str">
        <f>项目基本情况!C37</f>
        <v>四级</v>
      </c>
      <c r="I56" s="940">
        <f>SUMIF(修正!A45:A56,H56,修正!F45:F56)</f>
        <v>0.25</v>
      </c>
      <c r="J56" s="941"/>
      <c r="K56" s="1142"/>
      <c r="L56" s="939"/>
      <c r="M56" s="939"/>
      <c r="N56" s="939"/>
      <c r="O56" s="939"/>
    </row>
    <row r="57" spans="1:17" s="692" customFormat="1">
      <c r="A57" s="693" t="s">
        <v>2773</v>
      </c>
      <c r="B57" s="262" t="e">
        <f t="shared" si="17"/>
        <v>#DIV/0!</v>
      </c>
      <c r="C57" s="200">
        <f t="shared" si="16"/>
        <v>0.25</v>
      </c>
      <c r="D57" s="1162">
        <v>0.25</v>
      </c>
      <c r="E57" s="261">
        <f>'数据-汇总表'!E12</f>
        <v>0</v>
      </c>
      <c r="F57" s="691" t="e">
        <f t="shared" si="15"/>
        <v>#DIV/0!</v>
      </c>
      <c r="G57" s="1107" t="s">
        <v>2774</v>
      </c>
      <c r="H57" s="1102" t="str">
        <f>IF(G57="商业",项目基本情况!B37,IF(G57="办公",项目基本情况!C37,IF(G57="住宅",项目基本情况!D37,项目基本情况!E37)))</f>
        <v>四级</v>
      </c>
      <c r="I57" s="940">
        <f>SUMIF(修正!A45:A56,H57,修正!G45:G56)</f>
        <v>0.25</v>
      </c>
      <c r="J57" s="941"/>
      <c r="K57" s="1143"/>
      <c r="L57" s="939"/>
      <c r="M57" s="939"/>
      <c r="N57" s="939"/>
      <c r="O57" s="939"/>
    </row>
    <row r="58" spans="1:17" s="692" customFormat="1">
      <c r="A58" s="693" t="s">
        <v>2775</v>
      </c>
      <c r="B58" s="262" t="e">
        <f t="shared" si="17"/>
        <v>#DIV/0!</v>
      </c>
      <c r="C58" s="200">
        <f t="shared" si="16"/>
        <v>0</v>
      </c>
      <c r="D58" s="1162">
        <v>0.25</v>
      </c>
      <c r="E58" s="261">
        <f>'数据-汇总表'!E13</f>
        <v>0</v>
      </c>
      <c r="F58" s="691" t="e">
        <f t="shared" si="15"/>
        <v>#DIV/0!</v>
      </c>
      <c r="G58" s="1107" t="s">
        <v>2776</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2777</v>
      </c>
      <c r="B59" s="262" t="e">
        <f t="shared" si="17"/>
        <v>#DIV/0!</v>
      </c>
      <c r="C59" s="200">
        <f t="shared" si="16"/>
        <v>0</v>
      </c>
      <c r="D59" s="1162">
        <v>0.25</v>
      </c>
      <c r="E59" s="261">
        <f>'数据-汇总表'!E14</f>
        <v>0</v>
      </c>
      <c r="F59" s="691" t="e">
        <f t="shared" si="15"/>
        <v>#DIV/0!</v>
      </c>
      <c r="G59" s="2706" t="s">
        <v>2767</v>
      </c>
      <c r="H59" s="1102">
        <f>项目基本情况!B37</f>
        <v>0</v>
      </c>
      <c r="I59" s="940">
        <f>SUMIF(修正!A45:A56,H59,修正!H45:H56)</f>
        <v>0</v>
      </c>
      <c r="J59" s="941"/>
      <c r="K59" s="1143"/>
      <c r="L59" s="939"/>
      <c r="M59" s="939"/>
      <c r="N59" s="939"/>
      <c r="O59" s="939"/>
    </row>
    <row r="60" spans="1:17" s="692" customFormat="1" ht="15" thickBot="1">
      <c r="A60" s="693" t="s">
        <v>2778</v>
      </c>
      <c r="B60" s="262" t="e">
        <f t="shared" si="17"/>
        <v>#DIV/0!</v>
      </c>
      <c r="C60" s="200">
        <f t="shared" si="16"/>
        <v>0.2</v>
      </c>
      <c r="D60" s="1162">
        <v>0.25</v>
      </c>
      <c r="E60" s="261">
        <f>'数据-汇总表'!E15</f>
        <v>0</v>
      </c>
      <c r="F60" s="691" t="e">
        <f t="shared" si="15"/>
        <v>#DIV/0!</v>
      </c>
      <c r="G60" s="2707" t="s">
        <v>2772</v>
      </c>
      <c r="H60" s="1112" t="str">
        <f>项目基本情况!C37</f>
        <v>四级</v>
      </c>
      <c r="I60" s="940">
        <f>SUMIF(修正!A45:A56,H60,修正!H45:H56)</f>
        <v>0.2</v>
      </c>
      <c r="J60" s="941"/>
      <c r="K60" s="1142"/>
      <c r="L60" s="939"/>
      <c r="M60" s="939"/>
      <c r="N60" s="939"/>
      <c r="O60" s="939"/>
    </row>
    <row r="61" spans="1:17" s="692" customFormat="1" ht="15" thickBot="1">
      <c r="A61" s="695" t="s">
        <v>2779</v>
      </c>
      <c r="B61" s="696" t="s">
        <v>28</v>
      </c>
      <c r="C61" s="696" t="s">
        <v>29</v>
      </c>
      <c r="D61" s="696" t="s">
        <v>1026</v>
      </c>
      <c r="E61" s="696">
        <f>IF(B41="楼面地价",SUM(E51:E60),'数据-汇总表'!D3)</f>
        <v>0</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2019-7-1</v>
      </c>
      <c r="D63" s="759">
        <f>EDATE(C63,-3)</f>
        <v>43556</v>
      </c>
      <c r="E63" s="759">
        <f>EDATE(D63,-3)</f>
        <v>43466</v>
      </c>
      <c r="F63" s="759">
        <f t="shared" ref="F63:O63" si="18">EDATE(E63,-3)</f>
        <v>43374</v>
      </c>
      <c r="G63" s="759">
        <f t="shared" si="18"/>
        <v>43282</v>
      </c>
      <c r="H63" s="759">
        <f t="shared" si="18"/>
        <v>43191</v>
      </c>
      <c r="I63" s="759">
        <f t="shared" si="18"/>
        <v>43101</v>
      </c>
      <c r="J63" s="759">
        <f t="shared" si="18"/>
        <v>43009</v>
      </c>
      <c r="K63" s="759">
        <f t="shared" si="18"/>
        <v>42917</v>
      </c>
      <c r="L63" s="759">
        <f t="shared" si="18"/>
        <v>42826</v>
      </c>
      <c r="M63" s="759">
        <f t="shared" si="18"/>
        <v>42736</v>
      </c>
      <c r="N63" s="759">
        <f t="shared" si="18"/>
        <v>42644</v>
      </c>
      <c r="O63" s="759">
        <f t="shared" si="18"/>
        <v>42552</v>
      </c>
    </row>
    <row r="64" spans="1:17" ht="21.75" thickBot="1">
      <c r="A64" s="761" t="s">
        <v>2672</v>
      </c>
      <c r="B64" s="757"/>
      <c r="C64" s="762"/>
      <c r="D64" s="762"/>
      <c r="E64" s="762"/>
      <c r="F64" s="763"/>
      <c r="G64" s="763"/>
      <c r="H64" s="762"/>
      <c r="I64" s="762"/>
      <c r="J64" s="762"/>
      <c r="K64" s="764"/>
      <c r="L64" s="765"/>
      <c r="M64" s="762"/>
      <c r="N64" s="762"/>
      <c r="O64" s="1157"/>
      <c r="P64" s="503"/>
      <c r="Q64" s="504"/>
    </row>
    <row r="65" spans="1:17" s="508" customFormat="1" ht="15">
      <c r="A65" s="2708" t="s">
        <v>2780</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13" t="s">
        <v>2800</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2586</v>
      </c>
      <c r="B70" s="528" t="s">
        <v>2552</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2555</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2689</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2748</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2790</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2792</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2793</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B22" sqref="B22"/>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0" customWidth="1"/>
    <col min="33" max="36" width="9.375" style="2785" customWidth="1"/>
    <col min="37" max="38" width="9.375" style="2717" customWidth="1"/>
    <col min="39" max="16384" width="12" style="2717"/>
  </cols>
  <sheetData>
    <row r="1" spans="1:36" ht="28.5">
      <c r="A1" s="240" t="s">
        <v>2802</v>
      </c>
      <c r="B1" s="241"/>
      <c r="C1" s="245" t="s">
        <v>2803</v>
      </c>
      <c r="D1" s="388">
        <f>SUM(D29:D30,D33:D39)</f>
        <v>0</v>
      </c>
      <c r="E1" s="2714"/>
      <c r="F1" s="2714"/>
      <c r="G1" s="2714"/>
      <c r="H1" s="2714"/>
      <c r="I1" s="2714"/>
      <c r="J1" s="2714"/>
      <c r="K1" s="1368"/>
      <c r="L1" s="2715" t="s">
        <v>2804</v>
      </c>
      <c r="M1" s="1078">
        <f>SUMPRODUCT((区片价!B5:B9=I2)*(区片价!C3:F3=E2)*(区片价!C5:F9))</f>
        <v>0</v>
      </c>
      <c r="N1" s="1081">
        <f>SUMPRODUCT((因素修正幅度!B5:B9=I2)*(因素修正幅度!C3:F3=E2)*(因素修正幅度!C5:F9))</f>
        <v>0</v>
      </c>
      <c r="O1" s="2716"/>
      <c r="P1" s="2716"/>
      <c r="Q1" s="1368"/>
      <c r="R1" s="1600" t="s">
        <v>2805</v>
      </c>
      <c r="S1" s="1600" t="s">
        <v>2806</v>
      </c>
      <c r="T1" s="1600" t="s">
        <v>2807</v>
      </c>
      <c r="U1" s="1600" t="s">
        <v>2808</v>
      </c>
      <c r="V1" s="1600" t="s">
        <v>2809</v>
      </c>
      <c r="W1" s="1604"/>
      <c r="X1" s="1604"/>
      <c r="Y1" s="1604"/>
      <c r="Z1" s="1604"/>
      <c r="AA1" s="1604"/>
      <c r="AB1" s="1604"/>
      <c r="AC1" s="1605"/>
      <c r="AD1" s="1606"/>
      <c r="AE1" s="1606"/>
      <c r="AF1" s="1606"/>
      <c r="AG1" s="1606"/>
      <c r="AH1" s="1606"/>
      <c r="AI1" s="1606"/>
      <c r="AJ1" s="1607"/>
    </row>
    <row r="2" spans="1:36" ht="15.75">
      <c r="A2" s="245" t="s">
        <v>2810</v>
      </c>
      <c r="B2" s="248" t="e">
        <f ca="1">C26</f>
        <v>#VALUE!</v>
      </c>
      <c r="C2" s="2718" t="s">
        <v>2811</v>
      </c>
      <c r="D2" s="2719" t="s">
        <v>2812</v>
      </c>
      <c r="E2" s="2720" t="s">
        <v>27</v>
      </c>
      <c r="F2" s="2719" t="s">
        <v>2813</v>
      </c>
      <c r="G2" s="2721" t="str">
        <f>IF(E2="商业",项目基本情况!B37,IF(E2="办公",项目基本情况!C37,IF(E2="住宅",项目基本情况!D37,项目基本情况!E37)))</f>
        <v>四级</v>
      </c>
      <c r="H2" s="2719" t="s">
        <v>2814</v>
      </c>
      <c r="I2" s="2721" t="str">
        <f>IF(E2="商业",项目基本情况!B38,IF(E2="办公",项目基本情况!C38,IF(E2="住宅",项目基本情况!D38,项目基本情况!E38)))</f>
        <v>Ⅳ-08</v>
      </c>
      <c r="J2" s="2722"/>
      <c r="K2" s="1368"/>
      <c r="L2" s="2723" t="s">
        <v>2815</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 ca="1">ROUND($C$5*$C$18*$C$19*$C$20*S2*$C$24,0)</f>
        <v>#VALUE!</v>
      </c>
      <c r="U2" s="1601"/>
      <c r="V2" s="1600" t="e">
        <f ca="1">ROUND(T2*U2/10000,0)</f>
        <v>#VALUE!</v>
      </c>
      <c r="W2" s="1604"/>
      <c r="X2" s="1604"/>
      <c r="Y2" s="1604"/>
      <c r="Z2" s="1604"/>
      <c r="AA2" s="1604"/>
      <c r="AB2" s="1604"/>
      <c r="AC2" s="1605"/>
      <c r="AD2" s="1606"/>
      <c r="AE2" s="1606"/>
      <c r="AF2" s="1606"/>
      <c r="AG2" s="1606"/>
      <c r="AH2" s="1606"/>
      <c r="AI2" s="1606"/>
      <c r="AJ2" s="1607"/>
    </row>
    <row r="3" spans="1:36" ht="25.5">
      <c r="A3" s="247" t="s">
        <v>2816</v>
      </c>
      <c r="B3" s="248" t="e">
        <f ca="1">ROUND(B2*10000/D1,0)</f>
        <v>#VALUE!</v>
      </c>
      <c r="C3" s="2718" t="s">
        <v>2817</v>
      </c>
      <c r="D3" s="2719" t="s">
        <v>2818</v>
      </c>
      <c r="E3" s="2724" t="s">
        <v>3316</v>
      </c>
      <c r="F3" s="2725" t="s">
        <v>2819</v>
      </c>
      <c r="G3" s="914" t="e">
        <f>IF(F3="宗地容积率",'数据-汇总表'!I4,IF(F3="估价对象容积率",'数据-汇总表'!I6,'数据-汇总表'!I7))</f>
        <v>#DIV/0!</v>
      </c>
      <c r="H3" s="198" t="s">
        <v>2820</v>
      </c>
      <c r="I3" s="942">
        <v>24</v>
      </c>
      <c r="J3" s="2722" t="s">
        <v>2821</v>
      </c>
      <c r="K3" s="1368"/>
      <c r="L3" s="2723" t="s">
        <v>2822</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ca="1" si="0">ROUND($C$5*$C$18*$C$19*$C$20*S3*$C$24,0)</f>
        <v>#VALUE!</v>
      </c>
      <c r="U3" s="1601"/>
      <c r="V3" s="1600" t="e">
        <f t="shared" ref="V3:V16" ca="1" si="1">ROUND(T3*U3/10000,0)</f>
        <v>#VALUE!</v>
      </c>
      <c r="W3" s="1604"/>
      <c r="X3" s="1604"/>
      <c r="Y3" s="1604"/>
      <c r="Z3" s="1604"/>
      <c r="AA3" s="1604"/>
      <c r="AB3" s="1604"/>
      <c r="AC3" s="1605"/>
      <c r="AD3" s="1606"/>
      <c r="AE3" s="1606"/>
      <c r="AF3" s="1606"/>
      <c r="AG3" s="1606"/>
      <c r="AH3" s="1606"/>
      <c r="AI3" s="1606"/>
      <c r="AJ3" s="1607"/>
    </row>
    <row r="4" spans="1:36" ht="15.75">
      <c r="A4" s="3254"/>
      <c r="B4" s="3255"/>
      <c r="C4" s="3255"/>
      <c r="D4" s="3256"/>
      <c r="E4" s="3256"/>
      <c r="F4" s="3256"/>
      <c r="G4" s="3256"/>
      <c r="H4" s="3256"/>
      <c r="I4" s="3256"/>
      <c r="J4" s="3257"/>
      <c r="K4" s="1368"/>
      <c r="L4" s="2723" t="s">
        <v>2823</v>
      </c>
      <c r="M4" s="1079">
        <f>SUMPRODUCT((区片价!B49:B75=I2)*(区片价!C3:F3=E2)*(区片价!C49:F75))</f>
        <v>15850</v>
      </c>
      <c r="N4" s="1081">
        <f>SUMPRODUCT((因素修正幅度!B49:B75=I2)*(因素修正幅度!C3:F3=E2)*(因素修正幅度!C49:F75))</f>
        <v>9.6000000000000002E-2</v>
      </c>
      <c r="O4" s="1368"/>
      <c r="P4" s="1368"/>
      <c r="Q4" s="1368"/>
      <c r="R4" s="1600">
        <v>3</v>
      </c>
      <c r="S4" s="1600" t="e">
        <f>ROUND(IF(G3&gt;1,IF(R4&lt;7,SUMPRODUCT((B93:B98=R4)*(C92:N92=G2)*(C93:N98)),SUMIF(C92:N92,G2,C100:N100)),IF(R4&lt;7,SUMPRODUCT((B102:B107=R4)*(C92:N92=G2)*(C102:N107)),SUMIF(C92:N92,G2,C109:N109))),4)</f>
        <v>#DIV/0!</v>
      </c>
      <c r="T4" s="1600" t="e">
        <f t="shared" ca="1" si="0"/>
        <v>#VALUE!</v>
      </c>
      <c r="U4" s="1601"/>
      <c r="V4" s="1600" t="e">
        <f t="shared" ca="1" si="1"/>
        <v>#VALUE!</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2824</v>
      </c>
      <c r="C5" s="915">
        <f>ROUND(IF(E2="商业",C6*C7+C16,(IF(E2="住宅",C6*C12+C16,C6+C16))),0)</f>
        <v>15730</v>
      </c>
      <c r="D5" s="1784">
        <f>ROUND(C6+C16,0)</f>
        <v>15730</v>
      </c>
      <c r="E5" s="1784"/>
      <c r="F5" s="2728"/>
      <c r="G5" s="2729"/>
      <c r="H5" s="2729"/>
      <c r="I5" s="2729"/>
      <c r="J5" s="2730"/>
      <c r="K5" s="2731"/>
      <c r="L5" s="2723" t="s">
        <v>2825</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ca="1" si="0"/>
        <v>#VALUE!</v>
      </c>
      <c r="U5" s="1601"/>
      <c r="V5" s="1600" t="e">
        <f t="shared" ca="1" si="1"/>
        <v>#VALUE!</v>
      </c>
      <c r="W5" s="1604"/>
      <c r="X5" s="1604"/>
      <c r="Y5" s="1604"/>
      <c r="Z5" s="1604"/>
      <c r="AA5" s="1604"/>
      <c r="AB5" s="1604"/>
      <c r="AC5" s="2732"/>
      <c r="AD5" s="2733"/>
      <c r="AE5" s="2733"/>
      <c r="AF5" s="2733"/>
      <c r="AG5" s="2733"/>
      <c r="AH5" s="2733"/>
      <c r="AI5" s="2733"/>
      <c r="AJ5" s="2734"/>
    </row>
    <row r="6" spans="1:36" ht="15.75" thickBot="1">
      <c r="A6" s="2736" t="s">
        <v>2826</v>
      </c>
      <c r="B6" s="2737" t="s">
        <v>2827</v>
      </c>
      <c r="C6" s="916">
        <f>SUMIF(L1:L12,G2,M1:M12)</f>
        <v>15850</v>
      </c>
      <c r="D6" s="2738" t="s">
        <v>2828</v>
      </c>
      <c r="E6" s="2739"/>
      <c r="F6" s="2739"/>
      <c r="G6" s="2740"/>
      <c r="H6" s="2740"/>
      <c r="I6" s="2740"/>
      <c r="J6" s="2741"/>
      <c r="K6" s="1839"/>
      <c r="L6" s="2723" t="s">
        <v>2829</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ca="1" si="0"/>
        <v>#VALUE!</v>
      </c>
      <c r="U6" s="1601"/>
      <c r="V6" s="1600" t="e">
        <f t="shared" ca="1" si="1"/>
        <v>#VALUE!</v>
      </c>
      <c r="W6" s="1604"/>
      <c r="X6" s="1604"/>
      <c r="Y6" s="1604"/>
      <c r="Z6" s="1604"/>
      <c r="AA6" s="1604"/>
      <c r="AB6" s="1604"/>
      <c r="AC6" s="2732"/>
      <c r="AD6" s="2733"/>
      <c r="AE6" s="2733"/>
      <c r="AF6" s="2733"/>
      <c r="AG6" s="2733"/>
      <c r="AH6" s="2733"/>
      <c r="AI6" s="2733"/>
      <c r="AJ6" s="2734"/>
    </row>
    <row r="7" spans="1:36" ht="24">
      <c r="A7" s="3258" t="str">
        <f>IF(E2="商业",IF(C8="不临58条商业街","",2),"")</f>
        <v/>
      </c>
      <c r="B7" s="2742" t="s">
        <v>2830</v>
      </c>
      <c r="C7" s="917" t="e">
        <f>IF(C8="不临58条商业街",1,ROUND(1+(1.6*E8+1.2*E9+0.8*E10+0.4*E11)*C9,4))</f>
        <v>#DIV/0!</v>
      </c>
      <c r="D7" s="2743" t="s">
        <v>2831</v>
      </c>
      <c r="E7" s="943"/>
      <c r="F7" s="2744"/>
      <c r="G7" s="2745"/>
      <c r="H7" s="2745"/>
      <c r="I7" s="2745"/>
      <c r="J7" s="2746"/>
      <c r="K7" s="1839"/>
      <c r="L7" s="2723" t="s">
        <v>2832</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ca="1" si="0"/>
        <v>#VALUE!</v>
      </c>
      <c r="U7" s="1601"/>
      <c r="V7" s="1600" t="e">
        <f t="shared" ca="1" si="1"/>
        <v>#VALUE!</v>
      </c>
      <c r="W7" s="1813" t="s">
        <v>2833</v>
      </c>
      <c r="X7" s="1602" t="str">
        <f>G2</f>
        <v>四级</v>
      </c>
      <c r="Y7" s="1602" t="s">
        <v>2834</v>
      </c>
      <c r="Z7" s="1603" t="e">
        <f>G3</f>
        <v>#DIV/0!</v>
      </c>
      <c r="AA7" s="1604"/>
      <c r="AB7" s="1604"/>
      <c r="AC7" s="1605"/>
      <c r="AD7" s="1606"/>
      <c r="AE7" s="1606"/>
      <c r="AF7" s="1606"/>
      <c r="AG7" s="1606"/>
      <c r="AH7" s="1606"/>
      <c r="AI7" s="1606"/>
      <c r="AJ7" s="1607"/>
    </row>
    <row r="8" spans="1:36" ht="15">
      <c r="A8" s="3259"/>
      <c r="B8" s="198" t="s">
        <v>2835</v>
      </c>
      <c r="C8" s="2747"/>
      <c r="D8" s="918" t="s">
        <v>139</v>
      </c>
      <c r="E8" s="919" t="e">
        <f>ROUND(C11/E7,4)</f>
        <v>#DIV/0!</v>
      </c>
      <c r="F8" s="2748" t="s">
        <v>2836</v>
      </c>
      <c r="G8" s="2749"/>
      <c r="H8" s="2749"/>
      <c r="I8" s="2749"/>
      <c r="J8" s="2750"/>
      <c r="K8" s="1368"/>
      <c r="L8" s="2723" t="s">
        <v>2837</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ca="1" si="0"/>
        <v>#VALUE!</v>
      </c>
      <c r="U8" s="1601"/>
      <c r="V8" s="1600" t="e">
        <f t="shared" ca="1" si="1"/>
        <v>#VALUE!</v>
      </c>
      <c r="W8" s="3251" t="s">
        <v>2838</v>
      </c>
      <c r="X8" s="3252"/>
      <c r="Y8" s="1608" t="s">
        <v>2839</v>
      </c>
      <c r="Z8" s="1608" t="s">
        <v>2840</v>
      </c>
      <c r="AA8" s="1608" t="s">
        <v>2841</v>
      </c>
      <c r="AB8" s="1608" t="s">
        <v>2842</v>
      </c>
      <c r="AC8" s="1608" t="s">
        <v>2843</v>
      </c>
      <c r="AD8" s="1608" t="s">
        <v>2844</v>
      </c>
      <c r="AE8" s="1608" t="s">
        <v>2845</v>
      </c>
      <c r="AF8" s="1608" t="s">
        <v>2846</v>
      </c>
      <c r="AG8" s="1608" t="s">
        <v>2847</v>
      </c>
      <c r="AH8" s="1608" t="s">
        <v>2848</v>
      </c>
      <c r="AI8" s="1608" t="s">
        <v>2849</v>
      </c>
      <c r="AJ8" s="1608" t="s">
        <v>2850</v>
      </c>
    </row>
    <row r="9" spans="1:36" ht="15">
      <c r="A9" s="3259"/>
      <c r="B9" s="198" t="s">
        <v>2851</v>
      </c>
      <c r="C9" s="920">
        <f>SUMIF(修正!C59:C119,C8,修正!E59:E119)</f>
        <v>0</v>
      </c>
      <c r="D9" s="200" t="s">
        <v>140</v>
      </c>
      <c r="E9" s="200" t="e">
        <f>ROUND(C11/E7,4)</f>
        <v>#DIV/0!</v>
      </c>
      <c r="F9" s="2748" t="s">
        <v>2852</v>
      </c>
      <c r="G9" s="2749"/>
      <c r="H9" s="2749"/>
      <c r="I9" s="2749"/>
      <c r="J9" s="2750"/>
      <c r="K9" s="1368"/>
      <c r="L9" s="2723" t="s">
        <v>2853</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ca="1" si="0"/>
        <v>#VALUE!</v>
      </c>
      <c r="U9" s="1601"/>
      <c r="V9" s="1600" t="e">
        <f t="shared" ca="1" si="1"/>
        <v>#VALUE!</v>
      </c>
      <c r="W9" s="3253" t="s">
        <v>2854</v>
      </c>
      <c r="X9" s="1609" t="s">
        <v>2855</v>
      </c>
      <c r="Y9" s="1769"/>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59"/>
      <c r="B10" s="198" t="s">
        <v>2856</v>
      </c>
      <c r="C10" s="200">
        <f>SUMIF(修正!C59:C119,C8,修正!F59:F119)</f>
        <v>0</v>
      </c>
      <c r="D10" s="200" t="s">
        <v>141</v>
      </c>
      <c r="E10" s="200" t="e">
        <f>ROUND(C11/E7,4)</f>
        <v>#DIV/0!</v>
      </c>
      <c r="F10" s="2748" t="s">
        <v>2857</v>
      </c>
      <c r="G10" s="2749"/>
      <c r="H10" s="2749"/>
      <c r="I10" s="2749"/>
      <c r="J10" s="2750"/>
      <c r="K10" s="1368"/>
      <c r="L10" s="2723" t="s">
        <v>2858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ca="1" si="0"/>
        <v>#VALUE!</v>
      </c>
      <c r="U10" s="1601"/>
      <c r="V10" s="1600" t="e">
        <f t="shared" ca="1" si="1"/>
        <v>#VALUE!</v>
      </c>
      <c r="W10" s="325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59"/>
      <c r="B11" s="2751" t="s">
        <v>2859</v>
      </c>
      <c r="C11" s="921">
        <f>C10/4</f>
        <v>0</v>
      </c>
      <c r="D11" s="921" t="s">
        <v>142</v>
      </c>
      <c r="E11" s="921" t="e">
        <f>ROUND(C11/E7,4)</f>
        <v>#DIV/0!</v>
      </c>
      <c r="F11" s="2752" t="s">
        <v>2860</v>
      </c>
      <c r="G11" s="2753"/>
      <c r="H11" s="2753"/>
      <c r="I11" s="2753"/>
      <c r="J11" s="2754"/>
      <c r="K11" s="1368"/>
      <c r="L11" s="2723" t="s">
        <v>2861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ca="1" si="0"/>
        <v>#VALUE!</v>
      </c>
      <c r="U11" s="1601"/>
      <c r="V11" s="1600" t="e">
        <f t="shared" ca="1" si="1"/>
        <v>#VALUE!</v>
      </c>
      <c r="W11" s="3253" t="s">
        <v>2862</v>
      </c>
      <c r="X11" s="1612" t="s">
        <v>2863</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58" t="s">
        <v>2864</v>
      </c>
      <c r="B12" s="2755" t="s">
        <v>2865</v>
      </c>
      <c r="C12" s="917">
        <f>ROUND(C15*D15*E15*F15*G15*H15*I15*J15,4)</f>
        <v>1</v>
      </c>
      <c r="D12" s="2756" t="s">
        <v>2866</v>
      </c>
      <c r="E12" s="2757"/>
      <c r="F12" s="2757"/>
      <c r="G12" s="2758"/>
      <c r="H12" s="2758"/>
      <c r="I12" s="2758"/>
      <c r="J12" s="2759"/>
      <c r="K12" s="1368"/>
      <c r="L12" s="2760" t="s">
        <v>2867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ca="1" si="0"/>
        <v>#VALUE!</v>
      </c>
      <c r="U12" s="1601"/>
      <c r="V12" s="1600" t="e">
        <f t="shared" ca="1" si="1"/>
        <v>#VALUE!</v>
      </c>
      <c r="W12" s="3253"/>
      <c r="X12" s="1614" t="s">
        <v>2868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0"/>
      <c r="B13" s="2761" t="s">
        <v>2869</v>
      </c>
      <c r="C13" s="2762" t="s">
        <v>2870</v>
      </c>
      <c r="D13" s="1805" t="s">
        <v>2871</v>
      </c>
      <c r="E13" s="1805" t="s">
        <v>2872</v>
      </c>
      <c r="F13" s="30" t="s">
        <v>2873</v>
      </c>
      <c r="G13" s="2763" t="s">
        <v>2874</v>
      </c>
      <c r="H13" s="2763" t="s">
        <v>2874</v>
      </c>
      <c r="I13" s="2763" t="s">
        <v>2874</v>
      </c>
      <c r="J13" s="2764" t="s">
        <v>2874</v>
      </c>
      <c r="K13" s="1368"/>
      <c r="L13" s="1368"/>
      <c r="M13" s="1368"/>
      <c r="N13" s="1368"/>
      <c r="O13" s="1368"/>
      <c r="P13" s="1368"/>
      <c r="Q13" s="1368"/>
      <c r="R13" s="1600">
        <v>12</v>
      </c>
      <c r="S13" s="1601"/>
      <c r="T13" s="1600" t="e">
        <f t="shared" ca="1" si="0"/>
        <v>#VALUE!</v>
      </c>
      <c r="U13" s="1601"/>
      <c r="V13" s="1600" t="e">
        <f t="shared" ca="1" si="1"/>
        <v>#VALUE!</v>
      </c>
      <c r="W13" s="3253"/>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60"/>
      <c r="B14" s="2765"/>
      <c r="C14" s="2766"/>
      <c r="D14" s="2767"/>
      <c r="E14" s="2767"/>
      <c r="F14" s="2768"/>
      <c r="G14" s="2769" t="s">
        <v>2875</v>
      </c>
      <c r="H14" s="2770"/>
      <c r="I14" s="2771"/>
      <c r="J14" s="2772"/>
      <c r="K14" s="1368"/>
      <c r="L14" s="1368"/>
      <c r="M14" s="1368"/>
      <c r="N14" s="1368"/>
      <c r="O14" s="1368"/>
      <c r="P14" s="1368"/>
      <c r="Q14" s="1368"/>
      <c r="R14" s="1600">
        <v>13</v>
      </c>
      <c r="S14" s="1601"/>
      <c r="T14" s="1600" t="e">
        <f t="shared" ca="1" si="0"/>
        <v>#VALUE!</v>
      </c>
      <c r="U14" s="1601"/>
      <c r="V14" s="1600" t="e">
        <f t="shared" ca="1" si="1"/>
        <v>#VALUE!</v>
      </c>
      <c r="W14" s="1604"/>
      <c r="X14" s="1604"/>
      <c r="Y14" s="1604"/>
      <c r="Z14" s="1604"/>
      <c r="AA14" s="1604"/>
      <c r="AB14" s="1604"/>
      <c r="AC14" s="1605"/>
      <c r="AD14" s="1606"/>
      <c r="AE14" s="1606"/>
      <c r="AF14" s="1606"/>
      <c r="AG14" s="1606"/>
      <c r="AH14" s="1606"/>
      <c r="AI14" s="1606"/>
      <c r="AJ14" s="1607"/>
    </row>
    <row r="15" spans="1:36" ht="15.75" thickBot="1">
      <c r="A15" s="3261"/>
      <c r="B15" s="2773" t="s">
        <v>2876</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t="e">
        <f t="shared" ca="1" si="0"/>
        <v>#VALUE!</v>
      </c>
      <c r="U15" s="1601"/>
      <c r="V15" s="1600" t="e">
        <f t="shared" ca="1" si="1"/>
        <v>#VALUE!</v>
      </c>
      <c r="W15" s="1604"/>
      <c r="X15" s="1604"/>
      <c r="Y15" s="1604"/>
      <c r="Z15" s="1604"/>
      <c r="AA15" s="1604"/>
      <c r="AB15" s="1604"/>
      <c r="AC15" s="1605"/>
      <c r="AD15" s="1606"/>
      <c r="AE15" s="1606"/>
      <c r="AF15" s="1606"/>
      <c r="AG15" s="1606"/>
      <c r="AH15" s="1606"/>
      <c r="AI15" s="1606"/>
      <c r="AJ15" s="1607"/>
    </row>
    <row r="16" spans="1:36" ht="24.6" customHeight="1">
      <c r="A16" s="3258" t="s">
        <v>2881</v>
      </c>
      <c r="B16" s="2742" t="s">
        <v>2882</v>
      </c>
      <c r="C16" s="2929">
        <f>ROUND(IF(F17="与级别开发程度一致",0,(G17-E17)/C17),0)</f>
        <v>-120</v>
      </c>
      <c r="D16" s="3272" t="s">
        <v>2886</v>
      </c>
      <c r="E16" s="3273"/>
      <c r="F16" s="3272" t="s">
        <v>2883</v>
      </c>
      <c r="G16" s="3273"/>
      <c r="H16" s="2776"/>
      <c r="I16" s="2776"/>
      <c r="J16" s="2933"/>
      <c r="K16" s="2776"/>
      <c r="L16" s="2776"/>
      <c r="M16" s="2776"/>
      <c r="N16" s="2776"/>
      <c r="O16" s="2777"/>
      <c r="Q16" s="1368"/>
      <c r="R16" s="1600">
        <v>15</v>
      </c>
      <c r="S16" s="1601"/>
      <c r="T16" s="1600" t="e">
        <f t="shared" ca="1" si="0"/>
        <v>#VALUE!</v>
      </c>
      <c r="U16" s="1601"/>
      <c r="V16" s="1600" t="e">
        <f t="shared" ca="1" si="1"/>
        <v>#VALUE!</v>
      </c>
      <c r="W16" s="1604"/>
      <c r="X16" s="1604"/>
      <c r="Y16" s="1604"/>
      <c r="Z16" s="1604"/>
      <c r="AA16" s="1604"/>
      <c r="AB16" s="1604"/>
      <c r="AC16" s="1605"/>
      <c r="AD16" s="1606"/>
      <c r="AE16" s="1606"/>
      <c r="AF16" s="1606"/>
      <c r="AG16" s="1606"/>
      <c r="AH16" s="1606"/>
      <c r="AI16" s="1606"/>
      <c r="AJ16" s="1607"/>
    </row>
    <row r="17" spans="1:37" ht="13.5" thickBot="1">
      <c r="A17" s="3262"/>
      <c r="B17" s="2940" t="s">
        <v>2885</v>
      </c>
      <c r="C17" s="2941">
        <f>SUMPRODUCT((修正!A2:A5=E2)*(修正!B1:M1=G2)*(修正!B2:M5))</f>
        <v>2.5</v>
      </c>
      <c r="D17" s="229" t="str">
        <f>IF(OR(G2="八级",G2="九级",G2="十级",G2="十一级",G2="十二级"),"五通一平","七通一平")</f>
        <v>七通一平</v>
      </c>
      <c r="E17" s="2930">
        <f>SUMPRODUCT((修正!B1:M1=G2)*(修正!B15:M15))</f>
        <v>300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8"/>
      <c r="R17" s="1368"/>
      <c r="S17" s="1368"/>
      <c r="T17" s="1368"/>
      <c r="U17" s="1368"/>
      <c r="V17" s="1368"/>
      <c r="W17" s="1368"/>
      <c r="X17" s="1368"/>
      <c r="Y17" s="1368"/>
      <c r="Z17" s="1369"/>
      <c r="AE17" s="2780"/>
      <c r="AF17" s="2780"/>
      <c r="AG17" s="2717"/>
      <c r="AH17" s="2717"/>
      <c r="AI17" s="2717"/>
      <c r="AJ17" s="2717"/>
    </row>
    <row r="18" spans="1:37" s="2735" customFormat="1" ht="15.75" thickBot="1">
      <c r="A18" s="2934" t="s">
        <v>808</v>
      </c>
      <c r="B18" s="2935" t="s">
        <v>2888</v>
      </c>
      <c r="C18" s="2936">
        <f>SUMIF(修正!C18:C39,E3,修正!E18:E39)</f>
        <v>1</v>
      </c>
      <c r="D18" s="2937"/>
      <c r="E18" s="2938"/>
      <c r="F18" s="2938"/>
      <c r="G18" s="2938"/>
      <c r="H18" s="2938"/>
      <c r="I18" s="2938"/>
      <c r="J18" s="2939"/>
      <c r="K18" s="1375"/>
      <c r="O18" s="1373"/>
      <c r="P18" s="1373"/>
      <c r="Q18" s="1374"/>
      <c r="R18" s="1374"/>
      <c r="S18" s="1374"/>
      <c r="T18" s="1369"/>
      <c r="U18" s="1369"/>
      <c r="V18" s="1369"/>
      <c r="W18" s="1368"/>
      <c r="X18" s="1368"/>
      <c r="Y18" s="1368"/>
      <c r="Z18" s="1375"/>
      <c r="AA18" s="1376"/>
      <c r="AB18" s="1376"/>
      <c r="AC18" s="1376"/>
      <c r="AD18" s="1376"/>
      <c r="AE18" s="1370"/>
      <c r="AF18" s="1370"/>
      <c r="AG18" s="2785"/>
      <c r="AH18" s="2785"/>
      <c r="AI18" s="2785"/>
    </row>
    <row r="19" spans="1:37" s="2735" customFormat="1" ht="27.75" thickBot="1">
      <c r="A19" s="2781" t="s">
        <v>809</v>
      </c>
      <c r="B19" s="2782" t="s">
        <v>2889</v>
      </c>
      <c r="C19" s="922" t="e">
        <f>ROUND(IF(H19="按公示增长率计算",SUMPRODUCT((地价!A3:A27=YEAR(G19)&amp;"-"&amp;ROUNDUP(MONTH(G19)/3,0))*(地价!X2:AB2=E2)*(地价!X3:AB27)),IF(H19="地价指数",M20/M19,(1+I19)^O19)),4)</f>
        <v>#VALUE!</v>
      </c>
      <c r="D19" s="2786" t="s">
        <v>2890</v>
      </c>
      <c r="E19" s="923">
        <v>41640</v>
      </c>
      <c r="F19" s="2786" t="s">
        <v>2891</v>
      </c>
      <c r="G19" s="924">
        <f>'数据-取费表'!B2</f>
        <v>43672</v>
      </c>
      <c r="H19" s="2787"/>
      <c r="I19" s="925" t="str">
        <f>IF(H19="季度增幅（自定义）",SUMIF(N21:N24,E2,O21:O24),"")</f>
        <v/>
      </c>
      <c r="J19" s="2784"/>
      <c r="K19" s="1375"/>
      <c r="L19" s="2788" t="s">
        <v>2892</v>
      </c>
      <c r="M19" s="1731">
        <f>ROUND(SUMIF(地价!B2:F2,E2,地价!B27:F27),0)</f>
        <v>258</v>
      </c>
      <c r="N19" s="2789" t="s">
        <v>2893</v>
      </c>
      <c r="O19" s="926">
        <f>ROUNDDOWN(DATEDIF(E19,G19,"M")/3,0)</f>
        <v>22</v>
      </c>
      <c r="P19" s="1372"/>
      <c r="Q19" s="1374"/>
      <c r="R19" s="1374"/>
      <c r="S19" s="1374"/>
      <c r="T19" s="1369"/>
      <c r="U19" s="1369"/>
      <c r="V19" s="1369"/>
      <c r="W19" s="1368"/>
      <c r="X19" s="1368"/>
      <c r="Y19" s="1368"/>
      <c r="Z19" s="1375"/>
      <c r="AA19" s="1376"/>
      <c r="AB19" s="1376"/>
      <c r="AC19" s="1376"/>
      <c r="AD19" s="1376"/>
      <c r="AE19" s="1376"/>
      <c r="AF19" s="2790"/>
      <c r="AG19" s="2791"/>
      <c r="AH19" s="2785"/>
      <c r="AI19" s="2792"/>
      <c r="AJ19" s="2792"/>
      <c r="AK19" s="2792"/>
    </row>
    <row r="20" spans="1:37" s="2735" customFormat="1" ht="27.75" thickBot="1">
      <c r="A20" s="2793" t="s">
        <v>810</v>
      </c>
      <c r="B20" s="2794" t="s">
        <v>2894</v>
      </c>
      <c r="C20" s="927">
        <f ca="1">ROUND(POWER(1+G20,J20-I20)*(POWER(1+G20,I20)-1)/(POWER(1+G20,J20)-1),4)</f>
        <v>0.96740000000000004</v>
      </c>
      <c r="D20" s="2795" t="s">
        <v>2895</v>
      </c>
      <c r="E20" s="1765">
        <f ca="1">存贷款利率!D4/100</f>
        <v>4.3499999999999997E-2</v>
      </c>
      <c r="F20" s="2795" t="s">
        <v>2887</v>
      </c>
      <c r="G20" s="932">
        <f ca="1">SUMIF(M26:P26,E2,M28:P28)</f>
        <v>5.1999999999999998E-2</v>
      </c>
      <c r="H20" s="2795" t="s">
        <v>2896</v>
      </c>
      <c r="I20" s="933">
        <f>SUMIF('数据-取费表'!C6:C15,E2,'数据-取费表'!F6:F15)/COUNTIF('数据-取费表'!C6:C15,E2)</f>
        <v>43.66</v>
      </c>
      <c r="J20" s="934">
        <f>IF(E2="住宅",70,IF(E2="商业",40,50))</f>
        <v>50</v>
      </c>
      <c r="K20" s="1375"/>
      <c r="L20" s="2796" t="s">
        <v>2897</v>
      </c>
      <c r="M20" s="1732">
        <f>ROUND(SUMPRODUCT((地价!A4:A27=YEAR(G19)&amp;"-"&amp;ROUNDUP(MONTH(G19)/3,0))*(地价!B2:F2=E2)*(地价!B4:F27)),0)</f>
        <v>350</v>
      </c>
      <c r="N20" s="2797" t="s">
        <v>2898</v>
      </c>
      <c r="O20" s="2798" t="s">
        <v>2899</v>
      </c>
      <c r="P20" s="2799" t="s">
        <v>2900</v>
      </c>
      <c r="R20" s="1374"/>
      <c r="S20" s="1374"/>
      <c r="T20" s="1369"/>
      <c r="U20" s="1369"/>
      <c r="V20" s="1369"/>
      <c r="W20" s="1368"/>
      <c r="X20" s="1368"/>
      <c r="Y20" s="1368"/>
      <c r="Z20" s="1375"/>
      <c r="AA20" s="1376"/>
      <c r="AB20" s="1376"/>
      <c r="AC20" s="1376"/>
      <c r="AD20" s="1376"/>
      <c r="AE20" s="1376"/>
      <c r="AF20" s="1376"/>
    </row>
    <row r="21" spans="1:37" s="2735" customFormat="1" ht="15">
      <c r="A21" s="2800" t="s">
        <v>811</v>
      </c>
      <c r="B21" s="2801" t="s">
        <v>3317</v>
      </c>
      <c r="C21" s="935" t="e">
        <f>IF(B21="容积率修正",IF(G3&lt;=10,D22,J22),C23)</f>
        <v>#DIV/0!</v>
      </c>
      <c r="D21" s="2802"/>
      <c r="E21" s="2802"/>
      <c r="F21" s="2802"/>
      <c r="G21" s="2802"/>
      <c r="H21" s="2802"/>
      <c r="I21" s="2802"/>
      <c r="J21" s="2803"/>
      <c r="K21" s="1375"/>
      <c r="N21" s="2804" t="s">
        <v>2901</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5" customFormat="1" ht="14.25">
      <c r="A22" s="2661" t="s">
        <v>2902</v>
      </c>
      <c r="B22" s="2805" t="s">
        <v>2903</v>
      </c>
      <c r="C22" s="1807" t="s">
        <v>2904</v>
      </c>
      <c r="D22" s="1807" t="e">
        <f>IF(E22=G22,F22,IF(G3&lt;=10,ROUND(F22+(H22-F22)*(G3-E22)/(G22-E22),4),"——"))</f>
        <v>#DIV/0!</v>
      </c>
      <c r="E22" s="914" t="e">
        <f>ROUNDDOWN(G3,1)</f>
        <v>#DIV/0!</v>
      </c>
      <c r="F22" s="180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7" t="s">
        <v>155</v>
      </c>
      <c r="J22" s="936" t="e">
        <f>IF(G3&gt;10,D113,"——")</f>
        <v>#DIV/0!</v>
      </c>
      <c r="K22" s="1375"/>
      <c r="N22" s="2804" t="s">
        <v>2905</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1" t="s">
        <v>2906</v>
      </c>
      <c r="B23" s="2806" t="s">
        <v>2907</v>
      </c>
      <c r="C23" s="1011" t="e">
        <f>ROUND(IF(G3&gt;1,IF(I3&lt;7,SUMPRODUCT((B93:B98=I3)*(C92:N92=G2)*(C93:N98)),SUMIF(C92:N92,G2,C100:N100)),IF(I3&lt;7,SUMPRODUCT((B102:B107=I3)*(C92:N92=G2)*(C102:N107)),SUMIF(C92:N92,G2,C109:N109))),4)</f>
        <v>#DIV/0!</v>
      </c>
      <c r="D23" s="2770"/>
      <c r="E23" s="2770"/>
      <c r="F23" s="2807"/>
      <c r="G23" s="2808"/>
      <c r="H23" s="2809"/>
      <c r="I23" s="2810"/>
      <c r="J23" s="2811"/>
      <c r="K23" s="1368"/>
      <c r="N23" s="2804" t="s">
        <v>2908</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5"/>
    </row>
    <row r="24" spans="1:37" s="2735" customFormat="1" ht="15.75" thickBot="1">
      <c r="A24" s="2793" t="s">
        <v>812</v>
      </c>
      <c r="B24" s="2782" t="s">
        <v>2909</v>
      </c>
      <c r="C24" s="922">
        <f>SUMIF(A45:A88,E2,B45:B88)</f>
        <v>1</v>
      </c>
      <c r="D24" s="2783"/>
      <c r="E24" s="2812"/>
      <c r="F24" s="2812"/>
      <c r="G24" s="2812"/>
      <c r="H24" s="2812"/>
      <c r="I24" s="2812"/>
      <c r="J24" s="2813"/>
      <c r="K24" s="1375"/>
      <c r="N24" s="2814" t="s">
        <v>2910</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3" t="s">
        <v>813</v>
      </c>
      <c r="B25" s="2815" t="s">
        <v>2911</v>
      </c>
      <c r="C25" s="928"/>
      <c r="D25" s="2745"/>
      <c r="E25" s="2745"/>
      <c r="F25" s="2816"/>
      <c r="G25" s="2745"/>
      <c r="H25" s="2745"/>
      <c r="I25" s="2745"/>
      <c r="J25" s="2746"/>
      <c r="K25" s="1368"/>
      <c r="N25" s="2817" t="s">
        <v>2912</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18"/>
      <c r="B26" s="2805" t="s">
        <v>2913</v>
      </c>
      <c r="C26" s="206" t="e">
        <f ca="1">E29+SUM(E33:E39)</f>
        <v>#VALUE!</v>
      </c>
      <c r="D26" s="2819"/>
      <c r="E26" s="2770"/>
      <c r="F26" s="2820"/>
      <c r="G26" s="2770"/>
      <c r="H26" s="2770"/>
      <c r="I26" s="2770"/>
      <c r="J26" s="2821"/>
      <c r="K26" s="1368"/>
      <c r="L26" s="2774" t="s">
        <v>2812</v>
      </c>
      <c r="M26" s="918" t="s">
        <v>2877</v>
      </c>
      <c r="N26" s="918" t="s">
        <v>2878</v>
      </c>
      <c r="O26" s="918" t="s">
        <v>2879</v>
      </c>
      <c r="P26" s="2775" t="s">
        <v>2880</v>
      </c>
      <c r="R26" s="1374"/>
      <c r="S26" s="1374"/>
      <c r="T26" s="1369"/>
      <c r="U26" s="1369"/>
      <c r="V26" s="1369"/>
      <c r="W26" s="1368"/>
      <c r="X26" s="1368"/>
      <c r="Y26" s="1368"/>
      <c r="Z26" s="1375"/>
      <c r="AA26" s="1376"/>
      <c r="AB26" s="1376"/>
      <c r="AC26" s="1376"/>
      <c r="AD26" s="1376"/>
    </row>
    <row r="27" spans="1:37" ht="15.75" thickBot="1">
      <c r="A27" s="2818"/>
      <c r="B27" s="2822" t="s">
        <v>2914</v>
      </c>
      <c r="C27" s="929" t="e">
        <f ca="1">E30+SUM(I33:I39)</f>
        <v>#VALUE!</v>
      </c>
      <c r="D27" s="2823"/>
      <c r="E27" s="2824"/>
      <c r="F27" s="2825"/>
      <c r="G27" s="2824"/>
      <c r="H27" s="2824"/>
      <c r="I27" s="2824"/>
      <c r="J27" s="2826"/>
      <c r="K27" s="1368"/>
      <c r="L27" s="2778" t="s">
        <v>2884</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7"/>
      <c r="B28" s="2828" t="s">
        <v>2915</v>
      </c>
      <c r="C28" s="2829" t="s">
        <v>2916</v>
      </c>
      <c r="D28" s="2829" t="s">
        <v>2917</v>
      </c>
      <c r="E28" s="2830" t="s">
        <v>2918</v>
      </c>
      <c r="F28" s="2831"/>
      <c r="G28" s="2758"/>
      <c r="H28" s="2758"/>
      <c r="I28" s="2758"/>
      <c r="J28" s="2759"/>
      <c r="K28" s="1368"/>
      <c r="L28" s="2779" t="s">
        <v>2887</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2"/>
      <c r="B29" s="2833" t="s">
        <v>2919</v>
      </c>
      <c r="C29" s="206" t="e">
        <f ca="1">ROUND(C5*C18*C19*C20*C21*C24,0)</f>
        <v>#VALUE!</v>
      </c>
      <c r="D29" s="2834"/>
      <c r="E29" s="940" t="e">
        <f ca="1">ROUND(C29*D29/10000,0)</f>
        <v>#VALUE!</v>
      </c>
      <c r="F29" s="2835" t="s">
        <v>2920</v>
      </c>
      <c r="G29" s="2836"/>
      <c r="H29" s="2836"/>
      <c r="I29" s="2836"/>
      <c r="J29" s="2837"/>
      <c r="K29" s="1368"/>
      <c r="L29" s="1368"/>
      <c r="M29" s="1368"/>
      <c r="N29" s="1368"/>
      <c r="O29" s="1373"/>
      <c r="P29" s="1373"/>
      <c r="Q29" s="1374"/>
      <c r="R29" s="1374"/>
      <c r="S29" s="1374"/>
      <c r="T29" s="1369"/>
      <c r="U29" s="1369"/>
      <c r="V29" s="1369"/>
      <c r="W29" s="1368"/>
      <c r="X29" s="1368"/>
      <c r="Y29" s="1368"/>
      <c r="Z29" s="1375"/>
      <c r="AA29" s="1376"/>
      <c r="AB29" s="1376"/>
      <c r="AC29" s="1376"/>
      <c r="AD29" s="1376"/>
      <c r="AE29" s="2780"/>
      <c r="AF29" s="2780"/>
      <c r="AG29" s="2717"/>
      <c r="AH29" s="2717"/>
      <c r="AI29" s="2717"/>
      <c r="AJ29" s="2717"/>
    </row>
    <row r="30" spans="1:37" ht="25.5" thickBot="1">
      <c r="A30" s="2838"/>
      <c r="B30" s="2839" t="s">
        <v>2921</v>
      </c>
      <c r="C30" s="229" t="e">
        <f ca="1">ROUND(IF(E2="工业",C29*M39,C29*M38),0)</f>
        <v>#VALUE!</v>
      </c>
      <c r="D30" s="2840"/>
      <c r="E30" s="940" t="e">
        <f ca="1">ROUND(C30*D30/10000,0)</f>
        <v>#VALUE!</v>
      </c>
      <c r="F30" s="2841" t="s">
        <v>2922</v>
      </c>
      <c r="G30" s="2842"/>
      <c r="H30" s="2842"/>
      <c r="I30" s="2842"/>
      <c r="J30" s="2843"/>
      <c r="K30" s="1368"/>
      <c r="L30" s="1368"/>
      <c r="M30" s="1368"/>
      <c r="N30" s="1368"/>
      <c r="O30" s="1373"/>
      <c r="P30" s="1373"/>
      <c r="Q30" s="1374"/>
      <c r="R30" s="1374"/>
      <c r="S30" s="1374"/>
      <c r="T30" s="1369"/>
      <c r="U30" s="1369"/>
      <c r="V30" s="1369"/>
      <c r="W30" s="1368"/>
      <c r="X30" s="1368"/>
      <c r="Y30" s="1368"/>
      <c r="Z30" s="1375"/>
      <c r="AA30" s="1376"/>
      <c r="AB30" s="1376"/>
      <c r="AC30" s="1376"/>
      <c r="AD30" s="1376"/>
      <c r="AE30" s="2780"/>
      <c r="AF30" s="2780"/>
      <c r="AG30" s="2717"/>
      <c r="AH30" s="2717"/>
      <c r="AI30" s="2717"/>
      <c r="AJ30" s="2717"/>
    </row>
    <row r="31" spans="1:37" ht="14.25">
      <c r="A31" s="2844"/>
      <c r="B31" s="2845" t="s">
        <v>2923</v>
      </c>
      <c r="C31" s="2846" t="s">
        <v>2924</v>
      </c>
      <c r="D31" s="2758"/>
      <c r="E31" s="2846"/>
      <c r="F31" s="2846"/>
      <c r="G31" s="2756" t="s">
        <v>2925</v>
      </c>
      <c r="H31" s="2758"/>
      <c r="I31" s="2847"/>
      <c r="J31" s="2759"/>
      <c r="K31" s="1368"/>
      <c r="L31" s="1368"/>
      <c r="M31" s="1368"/>
      <c r="N31" s="1368"/>
      <c r="O31" s="1373"/>
      <c r="P31" s="1373"/>
      <c r="Q31" s="1374"/>
      <c r="R31" s="1374"/>
      <c r="S31" s="1374"/>
      <c r="T31" s="1369"/>
      <c r="U31" s="1369"/>
      <c r="V31" s="1369"/>
      <c r="W31" s="1368"/>
      <c r="X31" s="1368"/>
      <c r="Y31" s="1368"/>
      <c r="Z31" s="1375"/>
      <c r="AA31" s="1376"/>
      <c r="AB31" s="1376"/>
      <c r="AC31" s="1376"/>
      <c r="AD31" s="1376"/>
      <c r="AE31" s="2780"/>
      <c r="AF31" s="2780"/>
      <c r="AG31" s="2717"/>
      <c r="AH31" s="2717"/>
      <c r="AI31" s="2717"/>
      <c r="AJ31" s="2717"/>
    </row>
    <row r="32" spans="1:37" ht="24">
      <c r="A32" s="2832"/>
      <c r="B32" s="2848"/>
      <c r="C32" s="501" t="s">
        <v>2916</v>
      </c>
      <c r="D32" s="498" t="s">
        <v>2917</v>
      </c>
      <c r="E32" s="498" t="s">
        <v>2918</v>
      </c>
      <c r="F32" s="388" t="s">
        <v>2926</v>
      </c>
      <c r="G32" s="2849" t="s">
        <v>2916</v>
      </c>
      <c r="H32" s="2849" t="s">
        <v>2917</v>
      </c>
      <c r="I32" s="2849" t="s">
        <v>2918</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0"/>
      <c r="AF32" s="2780"/>
      <c r="AG32" s="2717"/>
      <c r="AH32" s="2717"/>
      <c r="AI32" s="2717"/>
      <c r="AJ32" s="2717"/>
    </row>
    <row r="33" spans="1:37" ht="36" customHeight="1">
      <c r="A33" s="3269" t="s">
        <v>2927</v>
      </c>
      <c r="B33" s="2850" t="s">
        <v>2928</v>
      </c>
      <c r="C33" s="206" t="e">
        <f ca="1">ROUND(D5*C19*C20*C24*F33,0)</f>
        <v>#VALUE!</v>
      </c>
      <c r="D33" s="2834"/>
      <c r="E33" s="200" t="e">
        <f ca="1">ROUND(C33*D33/10000,0)</f>
        <v>#VALUE!</v>
      </c>
      <c r="F33" s="200">
        <f>SUMIF(修正!A45:A56,G2,修正!B45:B56)</f>
        <v>0.7</v>
      </c>
      <c r="G33" s="200" t="e">
        <f t="shared" ref="G33" ca="1" si="6">ROUND(IF(E2="工业",C33*$M$39,C33*$M$38),0)</f>
        <v>#VALUE!</v>
      </c>
      <c r="H33" s="200">
        <f>D33</f>
        <v>0</v>
      </c>
      <c r="I33" s="200" t="e">
        <f ca="1">ROUND(G33*H33/10000,0)</f>
        <v>#VALUE!</v>
      </c>
      <c r="J33" s="285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0"/>
      <c r="B34" s="2762" t="s">
        <v>2929</v>
      </c>
      <c r="C34" s="206" t="e">
        <f ca="1">ROUND(D5*C19*C20*C24*F34,0)</f>
        <v>#VALUE!</v>
      </c>
      <c r="D34" s="2834"/>
      <c r="E34" s="200" t="e">
        <f t="shared" ref="E34:E39" ca="1" si="7">ROUND(C34*D34/10000,0)</f>
        <v>#VALUE!</v>
      </c>
      <c r="F34" s="200">
        <f>SUMIF(修正!A45:A56,G2,修正!C45:C56)</f>
        <v>0.4</v>
      </c>
      <c r="G34" s="200" t="e">
        <f ca="1">ROUND(IF(E2="工业",C34*$M$39,C34*$M$38),0)</f>
        <v>#VALUE!</v>
      </c>
      <c r="H34" s="200">
        <f t="shared" ref="H34:H39" si="8">D34</f>
        <v>0</v>
      </c>
      <c r="I34" s="200" t="e">
        <f t="shared" ref="I34:I39" ca="1" si="9">ROUND(G34*H34/10000,0)</f>
        <v>#VALUE!</v>
      </c>
      <c r="J34" s="285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0"/>
      <c r="B35" s="2762" t="s">
        <v>2930</v>
      </c>
      <c r="C35" s="206" t="e">
        <f ca="1">ROUND(D5*C19*C20*C24*F35,0)</f>
        <v>#VALUE!</v>
      </c>
      <c r="D35" s="2834"/>
      <c r="E35" s="200" t="e">
        <f t="shared" ca="1" si="7"/>
        <v>#VALUE!</v>
      </c>
      <c r="F35" s="200">
        <f>SUMIF(修正!A45:A56,G2,修正!D45:D56)</f>
        <v>0.28000000000000003</v>
      </c>
      <c r="G35" s="200" t="e">
        <f ca="1">ROUND(IF(E2="工业",C35*$M$39,C35*$M$38),0)</f>
        <v>#VALUE!</v>
      </c>
      <c r="H35" s="200">
        <f t="shared" si="8"/>
        <v>0</v>
      </c>
      <c r="I35" s="200" t="e">
        <f t="shared" ca="1" si="9"/>
        <v>#VALUE!</v>
      </c>
      <c r="J35" s="2851"/>
      <c r="K35" s="1368"/>
      <c r="L35" s="1368"/>
      <c r="M35" s="1368"/>
      <c r="N35" s="1368"/>
      <c r="O35" s="1368"/>
      <c r="P35" s="1368"/>
      <c r="Q35" s="1368"/>
      <c r="R35" s="1368"/>
      <c r="S35" s="1368"/>
      <c r="T35" s="1368"/>
      <c r="U35" s="1368"/>
      <c r="V35" s="1368"/>
      <c r="W35" s="1368"/>
      <c r="X35" s="1368"/>
      <c r="Y35" s="1368"/>
      <c r="Z35" s="1369"/>
    </row>
    <row r="36" spans="1:37" ht="13.5" thickBot="1">
      <c r="A36" s="3271"/>
      <c r="B36" s="2762" t="s">
        <v>2931</v>
      </c>
      <c r="C36" s="206" t="e">
        <f ca="1">ROUND(D5*C19*C20*C24*F36,0)</f>
        <v>#VALUE!</v>
      </c>
      <c r="D36" s="2834"/>
      <c r="E36" s="200" t="e">
        <f t="shared" ca="1" si="7"/>
        <v>#VALUE!</v>
      </c>
      <c r="F36" s="200">
        <f>SUMIF(修正!A45:A56,G2,修正!E45:E56)</f>
        <v>0.25</v>
      </c>
      <c r="G36" s="200" t="e">
        <f ca="1">ROUND(IF(E2="工业",C36*$M$39,C36*$M$38),0)</f>
        <v>#VALUE!</v>
      </c>
      <c r="H36" s="200">
        <f t="shared" si="8"/>
        <v>0</v>
      </c>
      <c r="I36" s="200" t="e">
        <f t="shared" ca="1" si="9"/>
        <v>#VALUE!</v>
      </c>
      <c r="J36" s="2851"/>
      <c r="K36" s="1368"/>
      <c r="L36" s="2716"/>
      <c r="M36" s="2716"/>
      <c r="N36" s="1368"/>
      <c r="O36" s="1368"/>
      <c r="P36" s="1368"/>
      <c r="Q36" s="1368"/>
      <c r="R36" s="1368"/>
      <c r="S36" s="1368"/>
      <c r="T36" s="1368"/>
      <c r="U36" s="1368"/>
      <c r="V36" s="1368"/>
      <c r="W36" s="1368"/>
      <c r="X36" s="1368"/>
      <c r="Y36" s="1368"/>
      <c r="Z36" s="1369"/>
    </row>
    <row r="37" spans="1:37">
      <c r="A37" s="2852"/>
      <c r="B37" s="2762" t="s">
        <v>2932</v>
      </c>
      <c r="C37" s="200" t="e">
        <f ca="1">ROUND(D5*C19*C20*C24*F37,0)</f>
        <v>#VALUE!</v>
      </c>
      <c r="D37" s="2834"/>
      <c r="E37" s="200" t="e">
        <f t="shared" ca="1" si="7"/>
        <v>#VALUE!</v>
      </c>
      <c r="F37" s="206">
        <f>SUMIF(修正!A45:A56,G2,修正!F45:F56)</f>
        <v>0.25</v>
      </c>
      <c r="G37" s="200" t="e">
        <f ca="1">ROUND(IF(E2="工业",C37*$M$39,C37*$M$38),0)</f>
        <v>#VALUE!</v>
      </c>
      <c r="H37" s="200">
        <f t="shared" si="8"/>
        <v>0</v>
      </c>
      <c r="I37" s="200" t="e">
        <f t="shared" ca="1" si="9"/>
        <v>#VALUE!</v>
      </c>
      <c r="J37" s="2851"/>
      <c r="K37" s="1368"/>
      <c r="L37" s="2853" t="s">
        <v>2933</v>
      </c>
      <c r="M37" s="2854"/>
      <c r="N37" s="1368"/>
      <c r="O37" s="1368"/>
      <c r="P37" s="1368"/>
      <c r="Q37" s="1368"/>
      <c r="R37" s="1368"/>
      <c r="S37" s="1368"/>
      <c r="T37" s="1368"/>
      <c r="U37" s="1368"/>
      <c r="V37" s="1368"/>
      <c r="W37" s="1368"/>
      <c r="X37" s="1368"/>
      <c r="Y37" s="1368"/>
      <c r="Z37" s="1369"/>
    </row>
    <row r="38" spans="1:37">
      <c r="A38" s="2852"/>
      <c r="B38" s="2762" t="s">
        <v>2934</v>
      </c>
      <c r="C38" s="200" t="e">
        <f ca="1">ROUND(D5*C19*C41*C24*F38,0)</f>
        <v>#VALUE!</v>
      </c>
      <c r="D38" s="2834"/>
      <c r="E38" s="200" t="e">
        <f t="shared" ca="1" si="7"/>
        <v>#VALUE!</v>
      </c>
      <c r="F38" s="206">
        <f>SUMIF(修正!A45:A56,G2,修正!G45:G56)</f>
        <v>0.25</v>
      </c>
      <c r="G38" s="200" t="e">
        <f ca="1">ROUND(IF(E2="工业",C38*$M$39,C38*$M$38),0)</f>
        <v>#VALUE!</v>
      </c>
      <c r="H38" s="200">
        <f t="shared" si="8"/>
        <v>0</v>
      </c>
      <c r="I38" s="200" t="e">
        <f t="shared" ca="1" si="9"/>
        <v>#VALUE!</v>
      </c>
      <c r="J38" s="2851"/>
      <c r="K38" s="1368"/>
      <c r="L38" s="1884" t="s">
        <v>2935</v>
      </c>
      <c r="M38" s="2855">
        <v>0.25</v>
      </c>
      <c r="N38" s="1368"/>
      <c r="O38" s="1368"/>
      <c r="P38" s="1368"/>
      <c r="Q38" s="1368"/>
      <c r="R38" s="1368"/>
      <c r="S38" s="1368"/>
      <c r="T38" s="1368"/>
      <c r="U38" s="1368"/>
      <c r="V38" s="1368"/>
      <c r="W38" s="1368"/>
      <c r="X38" s="1368"/>
      <c r="Y38" s="1368"/>
      <c r="Z38" s="1369"/>
    </row>
    <row r="39" spans="1:37" ht="13.5" thickBot="1">
      <c r="A39" s="2838"/>
      <c r="B39" s="2856" t="s">
        <v>2936</v>
      </c>
      <c r="C39" s="229" t="e">
        <f ca="1">ROUND(D5*C19*C41*C24*F39,0)</f>
        <v>#VALUE!</v>
      </c>
      <c r="D39" s="2840"/>
      <c r="E39" s="229" t="e">
        <f t="shared" ca="1" si="7"/>
        <v>#VALUE!</v>
      </c>
      <c r="F39" s="930">
        <f>SUMIF(修正!A45:A56,G2,修正!H45:H56)</f>
        <v>0.2</v>
      </c>
      <c r="G39" s="229" t="e">
        <f ca="1">ROUND(IF(E2="工业",C39*$M$39,C39*$M$38),0)</f>
        <v>#VALUE!</v>
      </c>
      <c r="H39" s="229">
        <f t="shared" si="8"/>
        <v>0</v>
      </c>
      <c r="I39" s="229" t="e">
        <f t="shared" ca="1" si="9"/>
        <v>#VALUE!</v>
      </c>
      <c r="J39" s="2857"/>
      <c r="K39" s="1368"/>
      <c r="L39" s="2858" t="s">
        <v>2880</v>
      </c>
      <c r="M39" s="285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7" t="s">
        <v>3044</v>
      </c>
      <c r="C41" s="388">
        <f ca="1">ROUND(POWER(1+E41,H41-G41)*(POWER(1+E41,G41)-1)/(POWER(1+E41,H41)-1),4)</f>
        <v>0</v>
      </c>
      <c r="D41" s="200" t="s">
        <v>2887</v>
      </c>
      <c r="E41" s="2926">
        <f ca="1">G20</f>
        <v>5.1999999999999998E-2</v>
      </c>
      <c r="F41" s="200" t="s">
        <v>2896</v>
      </c>
      <c r="G41" s="218"/>
      <c r="H41" s="200">
        <v>50</v>
      </c>
      <c r="Z41" s="1369"/>
      <c r="AA41" s="1369"/>
      <c r="AB41" s="1369"/>
      <c r="AC41" s="1369"/>
      <c r="AD41" s="1369"/>
      <c r="AE41" s="1369"/>
      <c r="AF41" s="1369"/>
      <c r="AG41" s="1369"/>
      <c r="AH41" s="1369"/>
      <c r="AI41" s="1369"/>
      <c r="AJ41" s="1369"/>
    </row>
    <row r="42" spans="1:37" s="1368" customFormat="1">
      <c r="A42" s="1369"/>
      <c r="B42" s="2860"/>
      <c r="Z42" s="1369"/>
      <c r="AA42" s="1369"/>
      <c r="AB42" s="1369"/>
      <c r="AC42" s="1369"/>
      <c r="AD42" s="1369"/>
      <c r="AE42" s="1369"/>
      <c r="AF42" s="1369"/>
      <c r="AG42" s="1369"/>
      <c r="AH42" s="1369"/>
      <c r="AI42" s="1369"/>
      <c r="AJ42" s="1369"/>
    </row>
    <row r="43" spans="1:37" s="1368" customFormat="1">
      <c r="A43" s="1369"/>
      <c r="B43" s="2860"/>
      <c r="Z43" s="1369"/>
      <c r="AA43" s="1369"/>
      <c r="AB43" s="1369"/>
      <c r="AC43" s="1369"/>
      <c r="AD43" s="1369"/>
      <c r="AE43" s="1369"/>
      <c r="AF43" s="1369"/>
      <c r="AG43" s="1369"/>
      <c r="AH43" s="1369"/>
      <c r="AI43" s="1369"/>
      <c r="AJ43" s="1369"/>
    </row>
    <row r="44" spans="1:37" s="1368" customFormat="1">
      <c r="A44" s="1369"/>
      <c r="B44" s="2860"/>
      <c r="Z44" s="1369"/>
      <c r="AA44" s="1369"/>
      <c r="AB44" s="1369"/>
      <c r="AC44" s="1369"/>
      <c r="AD44" s="1369"/>
      <c r="AE44" s="1369"/>
      <c r="AF44" s="1369"/>
      <c r="AG44" s="1369"/>
      <c r="AH44" s="1369"/>
      <c r="AI44" s="1369"/>
      <c r="AJ44" s="1369"/>
    </row>
    <row r="45" spans="1:37" s="1368" customFormat="1" ht="15.75" thickBot="1">
      <c r="A45" s="2861" t="s">
        <v>2937</v>
      </c>
      <c r="B45" s="2862"/>
      <c r="C45" s="7"/>
      <c r="D45" s="7"/>
      <c r="E45" s="7"/>
      <c r="F45" s="6"/>
      <c r="G45" s="6"/>
      <c r="H45" s="6"/>
      <c r="I45" s="7"/>
      <c r="J45" s="7"/>
      <c r="K45" s="7"/>
      <c r="L45" s="7"/>
      <c r="M45" s="7"/>
      <c r="N45" s="2780"/>
      <c r="Z45" s="1369"/>
      <c r="AA45" s="1369"/>
      <c r="AB45" s="1369"/>
      <c r="AC45" s="1369"/>
      <c r="AD45" s="1369"/>
      <c r="AE45" s="1369"/>
      <c r="AF45" s="1369"/>
      <c r="AG45" s="1369"/>
      <c r="AH45" s="1369"/>
      <c r="AI45" s="1369"/>
      <c r="AJ45" s="1369"/>
    </row>
    <row r="46" spans="1:37" s="1368" customFormat="1" ht="15">
      <c r="A46" s="2863" t="s">
        <v>2938</v>
      </c>
      <c r="B46" s="2864">
        <f>1+E48</f>
        <v>1</v>
      </c>
      <c r="C46" s="2865"/>
      <c r="D46" s="812"/>
      <c r="E46" s="813"/>
      <c r="F46" s="2866"/>
      <c r="G46" s="6"/>
      <c r="H46" s="7"/>
      <c r="I46" s="7"/>
      <c r="J46" s="7"/>
      <c r="K46" s="7"/>
      <c r="L46" s="7"/>
      <c r="M46" s="7"/>
      <c r="N46" s="2780"/>
      <c r="Z46" s="1369"/>
      <c r="AA46" s="1369"/>
      <c r="AB46" s="1369"/>
      <c r="AC46" s="1369"/>
      <c r="AD46" s="1369"/>
      <c r="AE46" s="1369"/>
      <c r="AF46" s="1369"/>
      <c r="AG46" s="1369"/>
      <c r="AH46" s="1369"/>
      <c r="AI46" s="1369"/>
      <c r="AJ46" s="1369"/>
    </row>
    <row r="47" spans="1:37" s="1368" customFormat="1" ht="24.75">
      <c r="A47" s="2867" t="s">
        <v>2939</v>
      </c>
      <c r="B47" s="1806" t="s">
        <v>2940</v>
      </c>
      <c r="C47" s="1806" t="s">
        <v>2941</v>
      </c>
      <c r="D47" s="1806" t="s">
        <v>2942</v>
      </c>
      <c r="E47" s="817" t="s">
        <v>2943</v>
      </c>
      <c r="F47" s="2868" t="s">
        <v>2944</v>
      </c>
      <c r="G47" s="1806" t="s">
        <v>754</v>
      </c>
      <c r="H47" s="2869" t="s">
        <v>2945</v>
      </c>
      <c r="I47" s="1806" t="s">
        <v>2946</v>
      </c>
      <c r="J47" s="603" t="s">
        <v>2595</v>
      </c>
      <c r="K47" s="603" t="s">
        <v>2596</v>
      </c>
      <c r="L47" s="603" t="s">
        <v>2597</v>
      </c>
      <c r="M47" s="603" t="s">
        <v>2598</v>
      </c>
      <c r="N47" s="603" t="s">
        <v>2599</v>
      </c>
      <c r="AA47" s="1369"/>
      <c r="AB47" s="1369"/>
      <c r="AC47" s="1369"/>
      <c r="AD47" s="1369"/>
      <c r="AE47" s="1369"/>
      <c r="AF47" s="1369"/>
      <c r="AG47" s="1369"/>
      <c r="AH47" s="1369"/>
      <c r="AI47" s="1369"/>
      <c r="AJ47" s="1369"/>
      <c r="AK47" s="1369"/>
    </row>
    <row r="48" spans="1:37" s="1368" customFormat="1" ht="38.25">
      <c r="A48" s="2867" t="s">
        <v>2947</v>
      </c>
      <c r="B48" s="2870" t="str">
        <f>估价对象房地状况!C4</f>
        <v>估价对象位于XX商圈，周边商业氛围成熟，人流量大，商业繁华度好</v>
      </c>
      <c r="C48" s="2767"/>
      <c r="D48" s="1284">
        <f t="shared" ref="D48:D56" si="10">SUMIF($J$47:$N$47,C48,J48:N48)</f>
        <v>0</v>
      </c>
      <c r="E48" s="819">
        <f>ROUND(SUM(D48:D56),4)</f>
        <v>0</v>
      </c>
      <c r="F48" s="2498"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7" t="s">
        <v>2948</v>
      </c>
      <c r="B49" s="2871" t="str">
        <f>估价对象房地状况!C18</f>
        <v>估价对象周边道路状况、公共交通通达情况、停车便捷程度，综合评价交通便捷度较好</v>
      </c>
      <c r="C49" s="2767"/>
      <c r="D49" s="1284">
        <f t="shared" si="10"/>
        <v>0</v>
      </c>
      <c r="E49" s="820"/>
      <c r="F49" s="2498"/>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7" t="s">
        <v>2949</v>
      </c>
      <c r="B50" s="2871">
        <f>估价对象房地状况!C19</f>
        <v>0</v>
      </c>
      <c r="C50" s="2767"/>
      <c r="D50" s="1284">
        <f t="shared" si="10"/>
        <v>0</v>
      </c>
      <c r="E50" s="820"/>
      <c r="F50" s="2498"/>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7" t="s">
        <v>2950</v>
      </c>
      <c r="B51" s="2872" t="s">
        <v>2951</v>
      </c>
      <c r="C51" s="2767"/>
      <c r="D51" s="1284">
        <f t="shared" si="10"/>
        <v>0</v>
      </c>
      <c r="E51" s="820"/>
      <c r="F51" s="2498"/>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7" t="s">
        <v>2952</v>
      </c>
      <c r="B52" s="2871">
        <f>估价对象房地状况!C24</f>
        <v>0</v>
      </c>
      <c r="C52" s="2767"/>
      <c r="D52" s="1284">
        <f t="shared" si="10"/>
        <v>0</v>
      </c>
      <c r="E52" s="820"/>
      <c r="F52" s="2498"/>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7" t="s">
        <v>2953</v>
      </c>
      <c r="B53" s="2873" t="s">
        <v>2954</v>
      </c>
      <c r="C53" s="2767"/>
      <c r="D53" s="1284">
        <f t="shared" si="10"/>
        <v>0</v>
      </c>
      <c r="E53" s="820"/>
      <c r="F53" s="2498"/>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4" t="s">
        <v>2955</v>
      </c>
      <c r="B54" s="1722" t="str">
        <f>估价对象房地状况!C21</f>
        <v>估价对象所在区域公共配套设施齐备情况</v>
      </c>
      <c r="C54" s="2767"/>
      <c r="D54" s="1284">
        <f t="shared" si="10"/>
        <v>0</v>
      </c>
      <c r="E54" s="820"/>
      <c r="F54" s="2498"/>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4" t="s">
        <v>2956</v>
      </c>
      <c r="B55" s="2871" t="str">
        <f>估价对象房地状况!C22</f>
        <v>估价对象所在区域基础设施水平</v>
      </c>
      <c r="C55" s="2767"/>
      <c r="D55" s="1284">
        <f t="shared" si="10"/>
        <v>0</v>
      </c>
      <c r="E55" s="820"/>
      <c r="F55" s="2498"/>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5" t="s">
        <v>2957</v>
      </c>
      <c r="B56" s="2876" t="str">
        <f>估价对象房地状况!C20</f>
        <v>区域自然环境：；人文环境；综合评价环境状况一般</v>
      </c>
      <c r="C56" s="2767"/>
      <c r="D56" s="1284">
        <f t="shared" si="10"/>
        <v>0</v>
      </c>
      <c r="E56" s="823"/>
      <c r="F56" s="2498"/>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3" t="s">
        <v>2958</v>
      </c>
      <c r="B57" s="2864">
        <f>1+E59</f>
        <v>1</v>
      </c>
      <c r="C57" s="812"/>
      <c r="D57" s="812"/>
      <c r="E57" s="813"/>
      <c r="F57" s="286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7" t="s">
        <v>2939</v>
      </c>
      <c r="B58" s="1806"/>
      <c r="C58" s="1806" t="s">
        <v>2941</v>
      </c>
      <c r="D58" s="1806" t="s">
        <v>2942</v>
      </c>
      <c r="E58" s="817" t="s">
        <v>2943</v>
      </c>
      <c r="F58" s="2868" t="s">
        <v>2959</v>
      </c>
      <c r="G58" s="1806" t="s">
        <v>754</v>
      </c>
      <c r="H58" s="2869" t="s">
        <v>2945</v>
      </c>
      <c r="I58" s="1806" t="s">
        <v>2946</v>
      </c>
      <c r="J58" s="603" t="s">
        <v>2595</v>
      </c>
      <c r="K58" s="603" t="s">
        <v>2596</v>
      </c>
      <c r="L58" s="603" t="s">
        <v>2597</v>
      </c>
      <c r="M58" s="603" t="s">
        <v>2598</v>
      </c>
      <c r="N58" s="603" t="s">
        <v>2599</v>
      </c>
      <c r="AA58" s="1369"/>
      <c r="AB58" s="1369"/>
      <c r="AC58" s="1369"/>
      <c r="AD58" s="1369"/>
      <c r="AE58" s="1369"/>
      <c r="AF58" s="1369"/>
      <c r="AG58" s="1369"/>
      <c r="AH58" s="1369"/>
      <c r="AI58" s="1369"/>
      <c r="AJ58" s="1369"/>
      <c r="AK58" s="1369"/>
    </row>
    <row r="59" spans="1:37" s="1368" customFormat="1" ht="38.25">
      <c r="A59" s="2867" t="s">
        <v>2960</v>
      </c>
      <c r="B59" s="2870" t="str">
        <f>估价对象房地状况!C17</f>
        <v>估价对象位于XX商圈，周边办公楼项目较多，入驻率高，办公集聚程度较好</v>
      </c>
      <c r="C59" s="2767"/>
      <c r="D59" s="1284">
        <f t="shared" ref="D59:D67" si="15">SUMIF($J$58:$N$58,C59,J59:N59)</f>
        <v>0</v>
      </c>
      <c r="E59" s="819">
        <f>ROUND(SUM(D59:D67),4)</f>
        <v>0</v>
      </c>
      <c r="F59" s="2498">
        <f>IF(E2="办公",SUMIF(L1:L12,G2,N1:N12),"——")</f>
        <v>9.6000000000000002E-2</v>
      </c>
      <c r="G59" s="1282"/>
      <c r="H59" s="1286">
        <f t="shared" ref="H59:H67" si="16">IFERROR(ROUNDDOWN($F$59*I59/2,4),"——")</f>
        <v>1.15E-2</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7" t="s">
        <v>2948</v>
      </c>
      <c r="B60" s="2871" t="str">
        <f>估价对象房地状况!C18</f>
        <v>估价对象周边道路状况、公共交通通达情况、停车便捷程度，综合评价交通便捷度较好</v>
      </c>
      <c r="C60" s="2767"/>
      <c r="D60" s="1284">
        <f t="shared" si="15"/>
        <v>0</v>
      </c>
      <c r="E60" s="820"/>
      <c r="F60" s="2498"/>
      <c r="G60" s="1282"/>
      <c r="H60" s="1286">
        <f t="shared" si="16"/>
        <v>1.44E-2</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7" t="s">
        <v>2949</v>
      </c>
      <c r="B61" s="2871">
        <f>估价对象房地状况!C19</f>
        <v>0</v>
      </c>
      <c r="C61" s="2767"/>
      <c r="D61" s="1284">
        <f t="shared" si="15"/>
        <v>0</v>
      </c>
      <c r="E61" s="820"/>
      <c r="F61" s="2498"/>
      <c r="G61" s="1282"/>
      <c r="H61" s="1286">
        <f t="shared" si="16"/>
        <v>3.8E-3</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7" t="s">
        <v>2950</v>
      </c>
      <c r="B62" s="2872" t="s">
        <v>2951</v>
      </c>
      <c r="C62" s="2767"/>
      <c r="D62" s="1284">
        <f t="shared" si="15"/>
        <v>0</v>
      </c>
      <c r="E62" s="820"/>
      <c r="F62" s="2498"/>
      <c r="G62" s="1282"/>
      <c r="H62" s="1286">
        <f t="shared" si="16"/>
        <v>1.9E-3</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7" t="s">
        <v>2952</v>
      </c>
      <c r="B63" s="2871">
        <f>估价对象房地状况!C24</f>
        <v>0</v>
      </c>
      <c r="C63" s="2767"/>
      <c r="D63" s="1284">
        <f t="shared" si="15"/>
        <v>0</v>
      </c>
      <c r="E63" s="820"/>
      <c r="F63" s="2498"/>
      <c r="G63" s="1282"/>
      <c r="H63" s="1286">
        <f t="shared" si="16"/>
        <v>2.3999999999999998E-3</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7" t="s">
        <v>2953</v>
      </c>
      <c r="B64" s="2873" t="s">
        <v>2954</v>
      </c>
      <c r="C64" s="2767"/>
      <c r="D64" s="1284">
        <f t="shared" si="15"/>
        <v>0</v>
      </c>
      <c r="E64" s="820"/>
      <c r="F64" s="2498"/>
      <c r="G64" s="1282"/>
      <c r="H64" s="1286">
        <f t="shared" si="16"/>
        <v>2.3999999999999998E-3</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7" t="s">
        <v>2955</v>
      </c>
      <c r="B65" s="1722" t="str">
        <f>估价对象房地状况!C21</f>
        <v>估价对象所在区域公共配套设施齐备情况</v>
      </c>
      <c r="C65" s="2767"/>
      <c r="D65" s="1284">
        <f t="shared" si="15"/>
        <v>0</v>
      </c>
      <c r="E65" s="820"/>
      <c r="F65" s="2498"/>
      <c r="G65" s="1282"/>
      <c r="H65" s="1286">
        <f t="shared" si="16"/>
        <v>2.8E-3</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7" t="s">
        <v>2956</v>
      </c>
      <c r="B66" s="1722" t="str">
        <f>估价对象房地状况!C22</f>
        <v>估价对象所在区域基础设施水平</v>
      </c>
      <c r="C66" s="2767"/>
      <c r="D66" s="1284">
        <f t="shared" si="15"/>
        <v>0</v>
      </c>
      <c r="E66" s="820"/>
      <c r="F66" s="2498"/>
      <c r="G66" s="1282"/>
      <c r="H66" s="1286">
        <f t="shared" si="16"/>
        <v>5.7000000000000002E-3</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5" t="s">
        <v>2957</v>
      </c>
      <c r="B67" s="2877" t="str">
        <f>估价对象房地状况!C20</f>
        <v>区域自然环境：；人文环境；综合评价环境状况一般</v>
      </c>
      <c r="C67" s="2767"/>
      <c r="D67" s="1284">
        <f t="shared" si="15"/>
        <v>0</v>
      </c>
      <c r="E67" s="823"/>
      <c r="F67" s="2498"/>
      <c r="G67" s="1282"/>
      <c r="H67" s="1286">
        <f t="shared" si="16"/>
        <v>2.8E-3</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3" t="s">
        <v>2961</v>
      </c>
      <c r="B68" s="2864">
        <f>1+E70</f>
        <v>1</v>
      </c>
      <c r="C68" s="812"/>
      <c r="D68" s="812"/>
      <c r="E68" s="813"/>
      <c r="F68" s="286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7" t="s">
        <v>2939</v>
      </c>
      <c r="B69" s="1806"/>
      <c r="C69" s="1806" t="s">
        <v>2941</v>
      </c>
      <c r="D69" s="1806" t="s">
        <v>2942</v>
      </c>
      <c r="E69" s="817" t="s">
        <v>2943</v>
      </c>
      <c r="F69" s="2868" t="s">
        <v>2959</v>
      </c>
      <c r="G69" s="1806" t="s">
        <v>754</v>
      </c>
      <c r="H69" s="2869" t="s">
        <v>2945</v>
      </c>
      <c r="I69" s="1806" t="s">
        <v>2946</v>
      </c>
      <c r="J69" s="603" t="s">
        <v>2595</v>
      </c>
      <c r="K69" s="603" t="s">
        <v>2596</v>
      </c>
      <c r="L69" s="603" t="s">
        <v>2597</v>
      </c>
      <c r="M69" s="603" t="s">
        <v>2598</v>
      </c>
      <c r="N69" s="603" t="s">
        <v>2599</v>
      </c>
      <c r="AA69" s="1369"/>
      <c r="AB69" s="1369"/>
      <c r="AC69" s="1369"/>
      <c r="AD69" s="1369"/>
      <c r="AE69" s="1369"/>
      <c r="AF69" s="1369"/>
      <c r="AG69" s="1369"/>
      <c r="AH69" s="1369"/>
      <c r="AI69" s="1369"/>
      <c r="AJ69" s="1369"/>
      <c r="AK69" s="1369"/>
    </row>
    <row r="70" spans="1:37" s="1368" customFormat="1" ht="51">
      <c r="A70" s="2867" t="s">
        <v>2962</v>
      </c>
      <c r="B70" s="2870" t="str">
        <f>估价对象房地状况!C15</f>
        <v>估价对象周边居住用地比例、居住小区规模和社区发展完善程度，综合评价居住社区成熟度一般</v>
      </c>
      <c r="C70" s="2767"/>
      <c r="D70" s="1284">
        <f t="shared" ref="D70:D78" si="20">SUMIF($J$69:$N$69,C70,J70:N70)</f>
        <v>0</v>
      </c>
      <c r="E70" s="819">
        <f>ROUND(SUM(D70:D78),4)</f>
        <v>0</v>
      </c>
      <c r="F70" s="2498"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7" t="s">
        <v>2948</v>
      </c>
      <c r="B71" s="2871" t="str">
        <f>估价对象房地状况!C18</f>
        <v>估价对象周边道路状况、公共交通通达情况、停车便捷程度，综合评价交通便捷度较好</v>
      </c>
      <c r="C71" s="2767"/>
      <c r="D71" s="1284">
        <f t="shared" si="20"/>
        <v>0</v>
      </c>
      <c r="E71" s="824"/>
      <c r="F71" s="2498"/>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7" t="s">
        <v>2949</v>
      </c>
      <c r="B72" s="2871">
        <f>估价对象房地状况!C19</f>
        <v>0</v>
      </c>
      <c r="C72" s="2767"/>
      <c r="D72" s="1284">
        <f t="shared" si="20"/>
        <v>0</v>
      </c>
      <c r="E72" s="824"/>
      <c r="F72" s="2498"/>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7" t="s">
        <v>2963</v>
      </c>
      <c r="B73" s="2871">
        <f>估价对象房地状况!C24</f>
        <v>0</v>
      </c>
      <c r="C73" s="2767"/>
      <c r="D73" s="1284">
        <f t="shared" si="20"/>
        <v>0</v>
      </c>
      <c r="E73" s="824"/>
      <c r="F73" s="2498"/>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7" t="s">
        <v>2955</v>
      </c>
      <c r="B74" s="1722" t="str">
        <f>估价对象房地状况!C21</f>
        <v>估价对象所在区域公共配套设施齐备情况</v>
      </c>
      <c r="C74" s="2767"/>
      <c r="D74" s="1284">
        <f t="shared" si="20"/>
        <v>0</v>
      </c>
      <c r="E74" s="824"/>
      <c r="F74" s="2498"/>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7" t="s">
        <v>2956</v>
      </c>
      <c r="B75" s="1722" t="str">
        <f>估价对象房地状况!C22</f>
        <v>估价对象所在区域基础设施水平</v>
      </c>
      <c r="C75" s="2767"/>
      <c r="D75" s="1284">
        <f t="shared" si="20"/>
        <v>0</v>
      </c>
      <c r="E75" s="824"/>
      <c r="F75" s="2498"/>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6" customFormat="1" ht="24">
      <c r="A76" s="2867" t="s">
        <v>2953</v>
      </c>
      <c r="B76" s="2873" t="s">
        <v>2954</v>
      </c>
      <c r="C76" s="2767"/>
      <c r="D76" s="1284">
        <f t="shared" si="20"/>
        <v>0</v>
      </c>
      <c r="E76" s="824"/>
      <c r="F76" s="2498"/>
      <c r="G76" s="1282"/>
      <c r="H76" s="1286" t="str">
        <f t="shared" si="21"/>
        <v>——</v>
      </c>
      <c r="I76" s="818">
        <v>0.05</v>
      </c>
      <c r="J76" s="1283">
        <f t="shared" si="22"/>
        <v>0</v>
      </c>
      <c r="K76" s="1283">
        <f t="shared" si="23"/>
        <v>0</v>
      </c>
      <c r="L76" s="1283">
        <v>0</v>
      </c>
      <c r="M76" s="1283">
        <f t="shared" si="24"/>
        <v>0</v>
      </c>
      <c r="N76" s="1283">
        <f t="shared" si="24"/>
        <v>0</v>
      </c>
      <c r="AA76" s="2878"/>
      <c r="AB76" s="1369"/>
      <c r="AC76" s="1369"/>
      <c r="AD76" s="1369"/>
      <c r="AE76" s="1369"/>
      <c r="AF76" s="1369"/>
      <c r="AG76" s="1369"/>
      <c r="AH76" s="2878"/>
      <c r="AI76" s="2878"/>
      <c r="AJ76" s="2878"/>
      <c r="AK76" s="2878"/>
    </row>
    <row r="77" spans="1:37" ht="38.25">
      <c r="A77" s="2867" t="s">
        <v>2957</v>
      </c>
      <c r="B77" s="2870" t="str">
        <f>估价对象房地状况!C20</f>
        <v>区域自然环境：；人文环境；综合评价环境状况一般</v>
      </c>
      <c r="C77" s="2767"/>
      <c r="D77" s="1284">
        <f t="shared" si="20"/>
        <v>0</v>
      </c>
      <c r="E77" s="824"/>
      <c r="F77" s="2498"/>
      <c r="G77" s="1282"/>
      <c r="H77" s="1286" t="str">
        <f t="shared" si="21"/>
        <v>——</v>
      </c>
      <c r="I77" s="818">
        <v>0.15</v>
      </c>
      <c r="J77" s="1283">
        <f t="shared" si="22"/>
        <v>0</v>
      </c>
      <c r="K77" s="1283">
        <f t="shared" si="23"/>
        <v>0</v>
      </c>
      <c r="L77" s="1283">
        <v>0</v>
      </c>
      <c r="M77" s="1283">
        <f t="shared" si="24"/>
        <v>0</v>
      </c>
      <c r="N77" s="1283">
        <f t="shared" si="24"/>
        <v>0</v>
      </c>
      <c r="Z77" s="2717"/>
      <c r="AA77" s="2785"/>
      <c r="AG77" s="1370"/>
      <c r="AK77" s="2785"/>
    </row>
    <row r="78" spans="1:37" ht="24.75" thickBot="1">
      <c r="A78" s="2875" t="s">
        <v>2964</v>
      </c>
      <c r="B78" s="2879"/>
      <c r="C78" s="2767"/>
      <c r="D78" s="1284">
        <f t="shared" si="20"/>
        <v>0</v>
      </c>
      <c r="E78" s="825"/>
      <c r="F78" s="2498"/>
      <c r="G78" s="1282"/>
      <c r="H78" s="1286" t="str">
        <f t="shared" si="21"/>
        <v>——</v>
      </c>
      <c r="I78" s="822">
        <v>0.04</v>
      </c>
      <c r="J78" s="1283">
        <f t="shared" si="22"/>
        <v>0</v>
      </c>
      <c r="K78" s="1283">
        <f t="shared" si="23"/>
        <v>0</v>
      </c>
      <c r="L78" s="1283">
        <v>0</v>
      </c>
      <c r="M78" s="1283">
        <f t="shared" si="24"/>
        <v>0</v>
      </c>
      <c r="N78" s="1283">
        <f t="shared" si="24"/>
        <v>0</v>
      </c>
      <c r="Z78" s="2717"/>
      <c r="AA78" s="2785"/>
      <c r="AG78" s="1370"/>
      <c r="AK78" s="2785"/>
    </row>
    <row r="79" spans="1:37" ht="15">
      <c r="A79" s="2863" t="s">
        <v>2965</v>
      </c>
      <c r="B79" s="2864">
        <f>1+E81</f>
        <v>1</v>
      </c>
      <c r="C79" s="812"/>
      <c r="D79" s="812"/>
      <c r="E79" s="813"/>
      <c r="F79" s="2866"/>
      <c r="G79" s="6"/>
      <c r="H79" s="6"/>
      <c r="I79" s="6"/>
      <c r="J79" s="7"/>
      <c r="K79" s="7"/>
      <c r="L79" s="7"/>
      <c r="M79" s="7"/>
      <c r="N79" s="7"/>
      <c r="Z79" s="2717"/>
      <c r="AA79" s="2785"/>
      <c r="AG79" s="1370"/>
      <c r="AK79" s="2785"/>
    </row>
    <row r="80" spans="1:37" ht="24.75">
      <c r="A80" s="2867" t="s">
        <v>2939</v>
      </c>
      <c r="B80" s="1806"/>
      <c r="C80" s="1806" t="s">
        <v>2941</v>
      </c>
      <c r="D80" s="1806" t="s">
        <v>2942</v>
      </c>
      <c r="E80" s="817" t="s">
        <v>2943</v>
      </c>
      <c r="F80" s="2868" t="s">
        <v>2959</v>
      </c>
      <c r="G80" s="1806" t="s">
        <v>754</v>
      </c>
      <c r="H80" s="2869" t="s">
        <v>2945</v>
      </c>
      <c r="I80" s="1806" t="s">
        <v>2946</v>
      </c>
      <c r="J80" s="603" t="s">
        <v>2595</v>
      </c>
      <c r="K80" s="603" t="s">
        <v>2596</v>
      </c>
      <c r="L80" s="603" t="s">
        <v>2597</v>
      </c>
      <c r="M80" s="603" t="s">
        <v>2598</v>
      </c>
      <c r="N80" s="603" t="s">
        <v>2599</v>
      </c>
      <c r="Z80" s="2717"/>
      <c r="AA80" s="2785"/>
      <c r="AG80" s="1370"/>
      <c r="AK80" s="2785"/>
    </row>
    <row r="81" spans="1:37" ht="38.25">
      <c r="A81" s="2867" t="s">
        <v>2966</v>
      </c>
      <c r="B81" s="2871" t="str">
        <f>估价对象房地状况!G15</f>
        <v>估价对象位于XX开发区，园区建设成熟度XX，产业集聚程度XX</v>
      </c>
      <c r="C81" s="2767"/>
      <c r="D81" s="1284">
        <f t="shared" ref="D81:D88" si="25">SUMIF($J$80:$N$80,C81,J81:N81)</f>
        <v>0</v>
      </c>
      <c r="E81" s="819">
        <f>ROUND(SUM(D81:D88),4)</f>
        <v>0</v>
      </c>
      <c r="F81" s="2498"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7"/>
      <c r="AA81" s="2785"/>
      <c r="AG81" s="1370"/>
      <c r="AK81" s="2785"/>
    </row>
    <row r="82" spans="1:37" ht="51">
      <c r="A82" s="2867" t="s">
        <v>2948</v>
      </c>
      <c r="B82" s="2871" t="str">
        <f>估价对象房地状况!G16</f>
        <v>估价对象周边道路状况、公共交通通达情况、停车便捷程度，综合评价交通便捷度较好</v>
      </c>
      <c r="C82" s="2767"/>
      <c r="D82" s="1284">
        <f t="shared" si="25"/>
        <v>0</v>
      </c>
      <c r="E82" s="824"/>
      <c r="F82" s="2498"/>
      <c r="G82" s="1282"/>
      <c r="H82" s="1286" t="str">
        <f t="shared" si="26"/>
        <v>——</v>
      </c>
      <c r="I82" s="818">
        <v>0.33</v>
      </c>
      <c r="J82" s="1283">
        <f t="shared" si="27"/>
        <v>0</v>
      </c>
      <c r="K82" s="1283">
        <f t="shared" si="28"/>
        <v>0</v>
      </c>
      <c r="L82" s="1283">
        <v>0</v>
      </c>
      <c r="M82" s="1283">
        <f t="shared" si="29"/>
        <v>0</v>
      </c>
      <c r="N82" s="1283">
        <f t="shared" si="29"/>
        <v>0</v>
      </c>
      <c r="Z82" s="2717"/>
      <c r="AA82" s="2785"/>
      <c r="AG82" s="1370"/>
      <c r="AK82" s="2785"/>
    </row>
    <row r="83" spans="1:37" ht="24">
      <c r="A83" s="2867" t="s">
        <v>2949</v>
      </c>
      <c r="B83" s="2871">
        <f>估价对象房地状况!G17</f>
        <v>0</v>
      </c>
      <c r="C83" s="2767"/>
      <c r="D83" s="1284">
        <f t="shared" si="25"/>
        <v>0</v>
      </c>
      <c r="E83" s="824"/>
      <c r="F83" s="2498"/>
      <c r="G83" s="1282"/>
      <c r="H83" s="1286" t="str">
        <f t="shared" si="26"/>
        <v>——</v>
      </c>
      <c r="I83" s="818">
        <v>0.05</v>
      </c>
      <c r="J83" s="1283">
        <f t="shared" si="27"/>
        <v>0</v>
      </c>
      <c r="K83" s="1283">
        <f t="shared" si="28"/>
        <v>0</v>
      </c>
      <c r="L83" s="1283">
        <v>0</v>
      </c>
      <c r="M83" s="1283">
        <f t="shared" si="29"/>
        <v>0</v>
      </c>
      <c r="N83" s="1283">
        <f t="shared" si="29"/>
        <v>0</v>
      </c>
      <c r="Z83" s="2717"/>
      <c r="AA83" s="2785"/>
      <c r="AG83" s="1370"/>
      <c r="AK83" s="2785"/>
    </row>
    <row r="84" spans="1:37" ht="14.25">
      <c r="A84" s="2867" t="s">
        <v>2963</v>
      </c>
      <c r="B84" s="2871">
        <f>估价对象房地状况!G22</f>
        <v>0</v>
      </c>
      <c r="C84" s="2767"/>
      <c r="D84" s="1284">
        <f t="shared" si="25"/>
        <v>0</v>
      </c>
      <c r="E84" s="824"/>
      <c r="F84" s="2498"/>
      <c r="G84" s="1282"/>
      <c r="H84" s="1286" t="str">
        <f t="shared" si="26"/>
        <v>——</v>
      </c>
      <c r="I84" s="818">
        <v>0.04</v>
      </c>
      <c r="J84" s="1283">
        <f t="shared" si="27"/>
        <v>0</v>
      </c>
      <c r="K84" s="1283">
        <f t="shared" si="28"/>
        <v>0</v>
      </c>
      <c r="L84" s="1283">
        <v>0</v>
      </c>
      <c r="M84" s="1283">
        <f t="shared" si="29"/>
        <v>0</v>
      </c>
      <c r="N84" s="1283">
        <f t="shared" si="29"/>
        <v>0</v>
      </c>
      <c r="Z84" s="2717"/>
      <c r="AA84" s="2785"/>
      <c r="AG84" s="1370"/>
      <c r="AK84" s="2785"/>
    </row>
    <row r="85" spans="1:37" ht="25.5">
      <c r="A85" s="2867" t="s">
        <v>2955</v>
      </c>
      <c r="B85" s="1722" t="str">
        <f>估价对象房地状况!G19</f>
        <v>估价对象所在区域公共配套设施齐备情况</v>
      </c>
      <c r="C85" s="2767"/>
      <c r="D85" s="1284">
        <f t="shared" si="25"/>
        <v>0</v>
      </c>
      <c r="E85" s="824"/>
      <c r="F85" s="2498"/>
      <c r="G85" s="1282"/>
      <c r="H85" s="1286" t="str">
        <f t="shared" si="26"/>
        <v>——</v>
      </c>
      <c r="I85" s="818">
        <v>0.06</v>
      </c>
      <c r="J85" s="1283">
        <f t="shared" si="27"/>
        <v>0</v>
      </c>
      <c r="K85" s="1283">
        <f t="shared" si="28"/>
        <v>0</v>
      </c>
      <c r="L85" s="1283">
        <v>0</v>
      </c>
      <c r="M85" s="1283">
        <f t="shared" si="29"/>
        <v>0</v>
      </c>
      <c r="N85" s="1283">
        <f t="shared" si="29"/>
        <v>0</v>
      </c>
      <c r="Z85" s="2717"/>
      <c r="AA85" s="2785"/>
      <c r="AG85" s="1370"/>
      <c r="AK85" s="2785"/>
    </row>
    <row r="86" spans="1:37" ht="25.5">
      <c r="A86" s="2867" t="s">
        <v>2956</v>
      </c>
      <c r="B86" s="1722" t="str">
        <f>估价对象房地状况!G20</f>
        <v>估价对象所在区域基础设施水平</v>
      </c>
      <c r="C86" s="2767"/>
      <c r="D86" s="1284">
        <f t="shared" si="25"/>
        <v>0</v>
      </c>
      <c r="E86" s="824"/>
      <c r="F86" s="2498"/>
      <c r="G86" s="1282"/>
      <c r="H86" s="1286" t="str">
        <f t="shared" si="26"/>
        <v>——</v>
      </c>
      <c r="I86" s="818">
        <v>0.15</v>
      </c>
      <c r="J86" s="1283">
        <f t="shared" si="27"/>
        <v>0</v>
      </c>
      <c r="K86" s="1283">
        <f t="shared" si="28"/>
        <v>0</v>
      </c>
      <c r="L86" s="1283">
        <v>0</v>
      </c>
      <c r="M86" s="1283">
        <f t="shared" si="29"/>
        <v>0</v>
      </c>
      <c r="N86" s="1283">
        <f t="shared" si="29"/>
        <v>0</v>
      </c>
      <c r="Z86" s="2717"/>
      <c r="AA86" s="2785"/>
      <c r="AG86" s="1370"/>
      <c r="AK86" s="2785"/>
    </row>
    <row r="87" spans="1:37" ht="24">
      <c r="A87" s="2867" t="s">
        <v>2953</v>
      </c>
      <c r="B87" s="2873" t="s">
        <v>2967</v>
      </c>
      <c r="C87" s="2767"/>
      <c r="D87" s="1284">
        <f t="shared" si="25"/>
        <v>0</v>
      </c>
      <c r="E87" s="824"/>
      <c r="F87" s="2498"/>
      <c r="G87" s="1282"/>
      <c r="H87" s="1286" t="str">
        <f t="shared" si="26"/>
        <v>——</v>
      </c>
      <c r="I87" s="818">
        <v>0.05</v>
      </c>
      <c r="J87" s="1283">
        <f t="shared" si="27"/>
        <v>0</v>
      </c>
      <c r="K87" s="1283">
        <f t="shared" si="28"/>
        <v>0</v>
      </c>
      <c r="L87" s="1283">
        <v>0</v>
      </c>
      <c r="M87" s="1283">
        <f t="shared" si="29"/>
        <v>0</v>
      </c>
      <c r="N87" s="1283">
        <f t="shared" si="29"/>
        <v>0</v>
      </c>
      <c r="Z87" s="2717"/>
      <c r="AA87" s="2785"/>
      <c r="AG87" s="1370"/>
      <c r="AK87" s="2785"/>
    </row>
    <row r="88" spans="1:37" ht="39" thickBot="1">
      <c r="A88" s="2875" t="s">
        <v>2968</v>
      </c>
      <c r="B88" s="2880" t="str">
        <f>估价对象房地状况!G18</f>
        <v>该园区内是否有污染型企业，绿化情况，卫生条件，整体环境状况判断</v>
      </c>
      <c r="C88" s="2767"/>
      <c r="D88" s="1284">
        <f t="shared" si="25"/>
        <v>0</v>
      </c>
      <c r="E88" s="825"/>
      <c r="F88" s="2498"/>
      <c r="G88" s="1282"/>
      <c r="H88" s="1286" t="str">
        <f t="shared" si="26"/>
        <v>——</v>
      </c>
      <c r="I88" s="822">
        <v>0.06</v>
      </c>
      <c r="J88" s="1283">
        <f t="shared" si="27"/>
        <v>0</v>
      </c>
      <c r="K88" s="1283">
        <f t="shared" si="28"/>
        <v>0</v>
      </c>
      <c r="L88" s="1283">
        <v>0</v>
      </c>
      <c r="M88" s="1283">
        <f t="shared" si="29"/>
        <v>0</v>
      </c>
      <c r="N88" s="1283">
        <f t="shared" si="29"/>
        <v>0</v>
      </c>
      <c r="Z88" s="2717"/>
      <c r="AA88" s="2785"/>
      <c r="AG88" s="1370"/>
      <c r="AK88" s="2785"/>
    </row>
    <row r="90" spans="1:37">
      <c r="A90" s="3263" t="s">
        <v>2969</v>
      </c>
      <c r="B90" s="3263"/>
      <c r="C90" s="3263"/>
      <c r="D90" s="3263"/>
      <c r="E90" s="3263"/>
      <c r="F90" s="3263"/>
      <c r="G90" s="3263"/>
      <c r="H90" s="3263"/>
      <c r="I90" s="3263"/>
      <c r="J90" s="3263"/>
      <c r="K90" s="2881"/>
      <c r="L90" s="2881"/>
      <c r="M90" s="2881"/>
      <c r="N90" s="2881"/>
    </row>
    <row r="91" spans="1:37">
      <c r="A91" s="3265" t="s">
        <v>2970</v>
      </c>
      <c r="B91" s="3265" t="s">
        <v>2971</v>
      </c>
      <c r="C91" s="2835" t="s">
        <v>2972</v>
      </c>
      <c r="D91" s="2836"/>
      <c r="E91" s="2836"/>
      <c r="F91" s="2836"/>
      <c r="G91" s="2836"/>
      <c r="H91" s="2836"/>
      <c r="I91" s="2836"/>
      <c r="J91" s="2882"/>
      <c r="K91" s="2883"/>
      <c r="L91" s="2883"/>
      <c r="M91" s="2883"/>
      <c r="N91" s="2883"/>
    </row>
    <row r="92" spans="1:37">
      <c r="A92" s="3265"/>
      <c r="B92" s="3265"/>
      <c r="C92" s="940" t="s">
        <v>2839</v>
      </c>
      <c r="D92" s="940" t="s">
        <v>2840</v>
      </c>
      <c r="E92" s="940" t="s">
        <v>2841</v>
      </c>
      <c r="F92" s="940" t="s">
        <v>2842</v>
      </c>
      <c r="G92" s="940" t="s">
        <v>2843</v>
      </c>
      <c r="H92" s="940" t="s">
        <v>2844</v>
      </c>
      <c r="I92" s="940" t="s">
        <v>2845</v>
      </c>
      <c r="J92" s="940" t="s">
        <v>2846</v>
      </c>
      <c r="K92" s="940" t="s">
        <v>2847</v>
      </c>
      <c r="L92" s="940" t="s">
        <v>2848</v>
      </c>
      <c r="M92" s="940" t="s">
        <v>2849</v>
      </c>
      <c r="N92" s="940" t="s">
        <v>2850</v>
      </c>
    </row>
    <row r="93" spans="1:37">
      <c r="A93" s="3266" t="s">
        <v>2973</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67"/>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67"/>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67"/>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67"/>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67"/>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67"/>
      <c r="B99" s="2884" t="s">
        <v>2855</v>
      </c>
      <c r="C99" s="2886">
        <f>$I$3</f>
        <v>24</v>
      </c>
      <c r="D99" s="2886">
        <f t="shared" ref="D99:M99" si="30">$I$3</f>
        <v>24</v>
      </c>
      <c r="E99" s="2886">
        <f t="shared" si="30"/>
        <v>24</v>
      </c>
      <c r="F99" s="2886">
        <f t="shared" si="30"/>
        <v>24</v>
      </c>
      <c r="G99" s="2886">
        <f t="shared" si="30"/>
        <v>24</v>
      </c>
      <c r="H99" s="2886">
        <f t="shared" si="30"/>
        <v>24</v>
      </c>
      <c r="I99" s="2886">
        <f t="shared" si="30"/>
        <v>24</v>
      </c>
      <c r="J99" s="2886">
        <f t="shared" si="30"/>
        <v>24</v>
      </c>
      <c r="K99" s="2886">
        <f t="shared" si="30"/>
        <v>24</v>
      </c>
      <c r="L99" s="2886">
        <f t="shared" si="30"/>
        <v>24</v>
      </c>
      <c r="M99" s="2886">
        <f t="shared" si="30"/>
        <v>24</v>
      </c>
      <c r="N99" s="2886">
        <f>$I$3</f>
        <v>24</v>
      </c>
    </row>
    <row r="100" spans="1:14">
      <c r="A100" s="3268"/>
      <c r="B100" s="2884">
        <v>7</v>
      </c>
      <c r="C100" s="2887">
        <f>(-0.163*(C99^2)-0.59*C99+7617)*(10^(-4))</f>
        <v>0.7508952000000001</v>
      </c>
      <c r="D100" s="2887">
        <f>(-0.163*(D99^2)-0.59*D99+7617)*(10^(-4))</f>
        <v>0.7508952000000001</v>
      </c>
      <c r="E100" s="2887">
        <f>(-0.161*(E99^2)-7.509*E99+6533)*(10^(-4))</f>
        <v>0.62600480000000003</v>
      </c>
      <c r="F100" s="2887">
        <f>(-0.161*(F99^2)-7.509*F99+6533)*(10^(-4))</f>
        <v>0.62600480000000003</v>
      </c>
      <c r="G100" s="2887">
        <f>(-0.161*(G99^2)-7.509*G99+6533)*(10^(-4))</f>
        <v>0.62600480000000003</v>
      </c>
      <c r="H100" s="2887">
        <f>(-0.161*(H99^2)-7.509*H99+6533)*(10^(-4))</f>
        <v>0.62600480000000003</v>
      </c>
      <c r="I100" s="2887">
        <f>(-0.161*(I99^2)-7.509*I99+6533)*(10^(-4))</f>
        <v>0.62600480000000003</v>
      </c>
      <c r="J100" s="2887">
        <f>(-0.214*(J99^2)-21.991*J99+4665)*(10^(-4))</f>
        <v>0.40139520000000006</v>
      </c>
      <c r="K100" s="2887">
        <f>(-0.214*(K99^2)-21.991*K99+4665)*(10^(-4))</f>
        <v>0.40139520000000006</v>
      </c>
      <c r="L100" s="2887">
        <f>(-0.214*(L99^2)-21.991*L99+4665)*(10^(-4))</f>
        <v>0.40139520000000006</v>
      </c>
      <c r="M100" s="2887">
        <f>(-0.214*(M99^2)-21.991*M99+4665)*(10^(-4))</f>
        <v>0.40139520000000006</v>
      </c>
      <c r="N100" s="2887">
        <f>(-0.214*(N99^2)-21.991*N99+4665)*(10^(-4))</f>
        <v>0.40139520000000006</v>
      </c>
    </row>
    <row r="101" spans="1:14">
      <c r="A101" s="3266" t="s">
        <v>2974</v>
      </c>
      <c r="B101" s="2888" t="s">
        <v>2975</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67"/>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67"/>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67"/>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67"/>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67"/>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67"/>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67"/>
      <c r="B108" s="3122" t="s">
        <v>2976</v>
      </c>
      <c r="C108" s="2886">
        <f>C99</f>
        <v>24</v>
      </c>
      <c r="D108" s="2886">
        <f t="shared" ref="D108:N108" si="32">D99</f>
        <v>24</v>
      </c>
      <c r="E108" s="2886">
        <f t="shared" si="32"/>
        <v>24</v>
      </c>
      <c r="F108" s="2886">
        <f t="shared" si="32"/>
        <v>24</v>
      </c>
      <c r="G108" s="2886">
        <f t="shared" si="32"/>
        <v>24</v>
      </c>
      <c r="H108" s="2886">
        <f t="shared" si="32"/>
        <v>24</v>
      </c>
      <c r="I108" s="2886">
        <f t="shared" si="32"/>
        <v>24</v>
      </c>
      <c r="J108" s="2886">
        <f t="shared" si="32"/>
        <v>24</v>
      </c>
      <c r="K108" s="2886">
        <f t="shared" si="32"/>
        <v>24</v>
      </c>
      <c r="L108" s="2886">
        <f t="shared" si="32"/>
        <v>24</v>
      </c>
      <c r="M108" s="2886">
        <f t="shared" si="32"/>
        <v>24</v>
      </c>
      <c r="N108" s="2886">
        <f t="shared" si="32"/>
        <v>24</v>
      </c>
    </row>
    <row r="109" spans="1:14">
      <c r="A109" s="3268"/>
      <c r="B109" s="3123"/>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64" t="s">
        <v>2977</v>
      </c>
      <c r="B110" s="3264"/>
      <c r="C110" s="3264"/>
      <c r="D110" s="3264"/>
      <c r="E110" s="3264"/>
      <c r="F110" s="3264"/>
      <c r="G110" s="3264"/>
      <c r="H110" s="3264"/>
      <c r="I110" s="3264"/>
      <c r="J110" s="3264"/>
      <c r="K110" s="2890"/>
      <c r="L110" s="2890"/>
      <c r="M110" s="2890"/>
      <c r="N110" s="2890"/>
    </row>
    <row r="112" spans="1:14" ht="13.5" thickBot="1"/>
    <row r="113" spans="1:13" ht="25.5" thickBot="1">
      <c r="A113" s="901" t="s">
        <v>2978</v>
      </c>
      <c r="B113" s="1285" t="e">
        <f>G3</f>
        <v>#DIV/0!</v>
      </c>
      <c r="C113" s="902" t="s">
        <v>2979</v>
      </c>
      <c r="D113" s="903" t="e">
        <f>SUMPRODUCT((A115:A118=F113)*(B114:M114=H113)*B115:M118)</f>
        <v>#DIV/0!</v>
      </c>
      <c r="E113" s="2721" t="s">
        <v>2812</v>
      </c>
      <c r="F113" s="2892" t="str">
        <f>E2</f>
        <v>办公</v>
      </c>
      <c r="G113" s="2721" t="s">
        <v>2813</v>
      </c>
      <c r="H113" s="2892" t="str">
        <f>G2</f>
        <v>四级</v>
      </c>
      <c r="I113" s="2721"/>
      <c r="J113" s="2893"/>
      <c r="K113" s="2893"/>
      <c r="L113" s="2893"/>
      <c r="M113" s="2893"/>
    </row>
    <row r="114" spans="1:13">
      <c r="A114" s="906"/>
      <c r="B114" s="2894" t="s">
        <v>2980</v>
      </c>
      <c r="C114" s="2894" t="s">
        <v>2981</v>
      </c>
      <c r="D114" s="2894" t="s">
        <v>2982</v>
      </c>
      <c r="E114" s="2895" t="s">
        <v>2983</v>
      </c>
      <c r="F114" s="2895" t="s">
        <v>2984</v>
      </c>
      <c r="G114" s="2895" t="s">
        <v>2985</v>
      </c>
      <c r="H114" s="2896" t="s">
        <v>2986</v>
      </c>
      <c r="I114" s="2896" t="s">
        <v>2987</v>
      </c>
      <c r="J114" s="2897" t="s">
        <v>2988</v>
      </c>
      <c r="K114" s="2897" t="s">
        <v>2989</v>
      </c>
      <c r="L114" s="2897" t="s">
        <v>2990</v>
      </c>
      <c r="M114" s="2898" t="s">
        <v>2991</v>
      </c>
    </row>
    <row r="115" spans="1:13">
      <c r="A115" s="907" t="s">
        <v>2877</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2878</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2879</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2" t="s">
        <v>2880</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49" workbookViewId="0">
      <selection activeCell="I51" sqref="I5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3046</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4" t="s">
        <v>183</v>
      </c>
      <c r="B18" s="880" t="s">
        <v>560</v>
      </c>
      <c r="C18" s="881" t="s">
        <v>561</v>
      </c>
      <c r="D18" s="882"/>
      <c r="E18" s="880">
        <v>1</v>
      </c>
      <c r="F18" s="883" t="s">
        <v>562</v>
      </c>
      <c r="G18" s="884"/>
      <c r="H18" s="876"/>
      <c r="I18" s="876"/>
    </row>
    <row r="19" spans="1:9" s="885" customFormat="1" ht="19.5" customHeight="1">
      <c r="A19" s="3274"/>
      <c r="B19" s="3274" t="s">
        <v>563</v>
      </c>
      <c r="C19" s="881" t="s">
        <v>564</v>
      </c>
      <c r="D19" s="882"/>
      <c r="E19" s="880">
        <v>0.9</v>
      </c>
      <c r="F19" s="883" t="s">
        <v>565</v>
      </c>
      <c r="G19" s="884"/>
      <c r="H19" s="876"/>
      <c r="I19" s="876"/>
    </row>
    <row r="20" spans="1:9" s="885" customFormat="1" ht="19.5" customHeight="1">
      <c r="A20" s="3274"/>
      <c r="B20" s="3274"/>
      <c r="C20" s="881" t="s">
        <v>566</v>
      </c>
      <c r="D20" s="882"/>
      <c r="E20" s="880">
        <v>1.1000000000000001</v>
      </c>
      <c r="F20" s="883" t="s">
        <v>567</v>
      </c>
      <c r="G20" s="884"/>
      <c r="H20" s="876"/>
      <c r="I20" s="876"/>
    </row>
    <row r="21" spans="1:9" s="885" customFormat="1" ht="19.5" customHeight="1">
      <c r="A21" s="3274"/>
      <c r="B21" s="3274"/>
      <c r="C21" s="881" t="s">
        <v>568</v>
      </c>
      <c r="D21" s="882"/>
      <c r="E21" s="880">
        <v>0.8</v>
      </c>
      <c r="F21" s="883" t="s">
        <v>569</v>
      </c>
      <c r="G21" s="884"/>
      <c r="H21" s="876"/>
      <c r="I21" s="876"/>
    </row>
    <row r="22" spans="1:9" s="885" customFormat="1" ht="19.5" customHeight="1">
      <c r="A22" s="3274"/>
      <c r="B22" s="3274"/>
      <c r="C22" s="881" t="s">
        <v>570</v>
      </c>
      <c r="D22" s="882"/>
      <c r="E22" s="880">
        <v>0.5</v>
      </c>
      <c r="F22" s="883"/>
      <c r="G22" s="884"/>
      <c r="H22" s="876"/>
      <c r="I22" s="876"/>
    </row>
    <row r="23" spans="1:9" s="885" customFormat="1" ht="19.5" customHeight="1">
      <c r="A23" s="3274" t="s">
        <v>184</v>
      </c>
      <c r="B23" s="880" t="s">
        <v>560</v>
      </c>
      <c r="C23" s="881" t="s">
        <v>571</v>
      </c>
      <c r="D23" s="882"/>
      <c r="E23" s="880">
        <v>1</v>
      </c>
      <c r="F23" s="883" t="s">
        <v>572</v>
      </c>
      <c r="G23" s="884"/>
      <c r="H23" s="876"/>
      <c r="I23" s="876"/>
    </row>
    <row r="24" spans="1:9" s="885" customFormat="1" ht="19.5" customHeight="1">
      <c r="A24" s="3274"/>
      <c r="B24" s="3274" t="s">
        <v>563</v>
      </c>
      <c r="C24" s="881" t="s">
        <v>573</v>
      </c>
      <c r="D24" s="882"/>
      <c r="E24" s="880">
        <v>0.5</v>
      </c>
      <c r="F24" s="883"/>
      <c r="G24" s="884"/>
      <c r="H24" s="876"/>
      <c r="I24" s="876"/>
    </row>
    <row r="25" spans="1:9" s="885" customFormat="1" ht="19.5" customHeight="1">
      <c r="A25" s="3274"/>
      <c r="B25" s="3274"/>
      <c r="C25" s="881" t="s">
        <v>574</v>
      </c>
      <c r="D25" s="882"/>
      <c r="E25" s="880">
        <v>1.1000000000000001</v>
      </c>
      <c r="F25" s="883"/>
      <c r="G25" s="884"/>
      <c r="H25" s="876"/>
      <c r="I25" s="876"/>
    </row>
    <row r="26" spans="1:9" s="885" customFormat="1" ht="19.5" customHeight="1">
      <c r="A26" s="3274"/>
      <c r="B26" s="3274"/>
      <c r="C26" s="881" t="s">
        <v>575</v>
      </c>
      <c r="D26" s="882"/>
      <c r="E26" s="880">
        <v>1.1000000000000001</v>
      </c>
      <c r="F26" s="883"/>
      <c r="G26" s="884"/>
      <c r="H26" s="876"/>
      <c r="I26" s="876"/>
    </row>
    <row r="27" spans="1:9" s="885" customFormat="1" ht="19.5" customHeight="1">
      <c r="A27" s="3274"/>
      <c r="B27" s="3274"/>
      <c r="C27" s="881" t="s">
        <v>576</v>
      </c>
      <c r="D27" s="882"/>
      <c r="E27" s="880">
        <v>0.9</v>
      </c>
      <c r="F27" s="883" t="s">
        <v>577</v>
      </c>
      <c r="G27" s="884"/>
      <c r="H27" s="876"/>
      <c r="I27" s="876"/>
    </row>
    <row r="28" spans="1:9" s="885" customFormat="1" ht="19.5" customHeight="1">
      <c r="A28" s="3274"/>
      <c r="B28" s="3274"/>
      <c r="C28" s="881" t="s">
        <v>578</v>
      </c>
      <c r="D28" s="882"/>
      <c r="E28" s="880">
        <v>0.9</v>
      </c>
      <c r="F28" s="883" t="s">
        <v>579</v>
      </c>
      <c r="G28" s="884"/>
      <c r="H28" s="876"/>
      <c r="I28" s="876"/>
    </row>
    <row r="29" spans="1:9" s="885" customFormat="1" ht="19.5" customHeight="1">
      <c r="A29" s="3274"/>
      <c r="B29" s="3274"/>
      <c r="C29" s="881" t="s">
        <v>580</v>
      </c>
      <c r="D29" s="882"/>
      <c r="E29" s="880">
        <v>0.9</v>
      </c>
      <c r="F29" s="883" t="s">
        <v>581</v>
      </c>
      <c r="G29" s="884"/>
      <c r="H29" s="876"/>
      <c r="I29" s="876"/>
    </row>
    <row r="30" spans="1:9" s="885" customFormat="1" ht="19.5" customHeight="1">
      <c r="A30" s="3274"/>
      <c r="B30" s="3274"/>
      <c r="C30" s="881" t="s">
        <v>582</v>
      </c>
      <c r="D30" s="882"/>
      <c r="E30" s="880">
        <v>0.9</v>
      </c>
      <c r="F30" s="883" t="s">
        <v>583</v>
      </c>
      <c r="G30" s="884"/>
      <c r="H30" s="876"/>
      <c r="I30" s="876"/>
    </row>
    <row r="31" spans="1:9" s="885" customFormat="1" ht="19.5" customHeight="1">
      <c r="A31" s="3274"/>
      <c r="B31" s="3274"/>
      <c r="C31" s="881" t="s">
        <v>584</v>
      </c>
      <c r="D31" s="882"/>
      <c r="E31" s="880">
        <v>0.8</v>
      </c>
      <c r="F31" s="883" t="s">
        <v>585</v>
      </c>
      <c r="G31" s="884"/>
      <c r="H31" s="876"/>
      <c r="I31" s="876"/>
    </row>
    <row r="32" spans="1:9" s="885" customFormat="1" ht="19.5" customHeight="1">
      <c r="A32" s="3274"/>
      <c r="B32" s="3274"/>
      <c r="C32" s="881" t="s">
        <v>586</v>
      </c>
      <c r="D32" s="882"/>
      <c r="E32" s="880">
        <v>0.8</v>
      </c>
      <c r="F32" s="883" t="s">
        <v>587</v>
      </c>
      <c r="G32" s="884"/>
      <c r="H32" s="876"/>
      <c r="I32" s="876"/>
    </row>
    <row r="33" spans="1:9" s="885" customFormat="1" ht="19.5" customHeight="1">
      <c r="A33" s="3274" t="s">
        <v>185</v>
      </c>
      <c r="B33" s="880" t="s">
        <v>560</v>
      </c>
      <c r="C33" s="881" t="s">
        <v>588</v>
      </c>
      <c r="D33" s="882"/>
      <c r="E33" s="880">
        <v>1</v>
      </c>
      <c r="F33" s="883" t="s">
        <v>589</v>
      </c>
      <c r="G33" s="884"/>
      <c r="H33" s="876"/>
      <c r="I33" s="876"/>
    </row>
    <row r="34" spans="1:9" s="885" customFormat="1" ht="19.5" customHeight="1">
      <c r="A34" s="3274"/>
      <c r="B34" s="880" t="s">
        <v>563</v>
      </c>
      <c r="C34" s="881" t="s">
        <v>590</v>
      </c>
      <c r="D34" s="882"/>
      <c r="E34" s="880">
        <v>1.5</v>
      </c>
      <c r="F34" s="883" t="s">
        <v>591</v>
      </c>
      <c r="G34" s="884"/>
      <c r="H34" s="876"/>
      <c r="I34" s="876"/>
    </row>
    <row r="35" spans="1:9" s="885" customFormat="1" ht="19.5" customHeight="1">
      <c r="A35" s="3274" t="s">
        <v>186</v>
      </c>
      <c r="B35" s="880" t="s">
        <v>560</v>
      </c>
      <c r="C35" s="881" t="s">
        <v>592</v>
      </c>
      <c r="D35" s="882"/>
      <c r="E35" s="880">
        <v>1</v>
      </c>
      <c r="F35" s="883" t="s">
        <v>593</v>
      </c>
      <c r="G35" s="884"/>
      <c r="H35" s="876"/>
      <c r="I35" s="876"/>
    </row>
    <row r="36" spans="1:9" s="885" customFormat="1" ht="19.5" customHeight="1">
      <c r="A36" s="3274"/>
      <c r="B36" s="3274" t="s">
        <v>563</v>
      </c>
      <c r="C36" s="881" t="s">
        <v>594</v>
      </c>
      <c r="D36" s="882"/>
      <c r="E36" s="880">
        <v>1</v>
      </c>
      <c r="F36" s="883" t="s">
        <v>595</v>
      </c>
      <c r="G36" s="884"/>
      <c r="H36" s="876"/>
      <c r="I36" s="876"/>
    </row>
    <row r="37" spans="1:9" s="885" customFormat="1" ht="19.5" customHeight="1">
      <c r="A37" s="3274"/>
      <c r="B37" s="3274"/>
      <c r="C37" s="881" t="s">
        <v>596</v>
      </c>
      <c r="D37" s="882"/>
      <c r="E37" s="880">
        <v>1.5</v>
      </c>
      <c r="F37" s="883" t="s">
        <v>597</v>
      </c>
      <c r="G37" s="884"/>
      <c r="H37" s="876"/>
      <c r="I37" s="876"/>
    </row>
    <row r="38" spans="1:9" s="885" customFormat="1" ht="19.5" customHeight="1">
      <c r="A38" s="3274"/>
      <c r="B38" s="3274"/>
      <c r="C38" s="881" t="s">
        <v>598</v>
      </c>
      <c r="D38" s="882"/>
      <c r="E38" s="880">
        <v>1</v>
      </c>
      <c r="F38" s="883" t="s">
        <v>599</v>
      </c>
      <c r="G38" s="884"/>
      <c r="H38" s="876"/>
      <c r="I38" s="876"/>
    </row>
    <row r="39" spans="1:9" s="885" customFormat="1" ht="19.5" customHeight="1">
      <c r="A39" s="3274"/>
      <c r="B39" s="327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74" t="s">
        <v>614</v>
      </c>
      <c r="C61" s="816" t="s">
        <v>615</v>
      </c>
      <c r="D61" s="816" t="s">
        <v>616</v>
      </c>
      <c r="E61" s="893">
        <v>0.5</v>
      </c>
      <c r="F61" s="880">
        <v>80</v>
      </c>
    </row>
    <row r="62" spans="1:8" s="876" customFormat="1" ht="24">
      <c r="A62" s="880">
        <v>2</v>
      </c>
      <c r="B62" s="3274"/>
      <c r="C62" s="816" t="s">
        <v>617</v>
      </c>
      <c r="D62" s="816" t="s">
        <v>618</v>
      </c>
      <c r="E62" s="893">
        <v>0.5</v>
      </c>
      <c r="F62" s="880">
        <v>80</v>
      </c>
    </row>
    <row r="63" spans="1:8" s="876" customFormat="1" ht="36">
      <c r="A63" s="880">
        <v>3</v>
      </c>
      <c r="B63" s="3274"/>
      <c r="C63" s="816" t="s">
        <v>619</v>
      </c>
      <c r="D63" s="816" t="s">
        <v>620</v>
      </c>
      <c r="E63" s="893">
        <v>0.5</v>
      </c>
      <c r="F63" s="880">
        <v>80</v>
      </c>
    </row>
    <row r="64" spans="1:8" s="876" customFormat="1" ht="36">
      <c r="A64" s="880">
        <v>4</v>
      </c>
      <c r="B64" s="3274"/>
      <c r="C64" s="816" t="s">
        <v>621</v>
      </c>
      <c r="D64" s="816" t="s">
        <v>622</v>
      </c>
      <c r="E64" s="893">
        <v>0.4</v>
      </c>
      <c r="F64" s="880">
        <v>60</v>
      </c>
    </row>
    <row r="65" spans="1:6" s="876" customFormat="1" ht="36">
      <c r="A65" s="880">
        <v>5</v>
      </c>
      <c r="B65" s="3274"/>
      <c r="C65" s="816" t="s">
        <v>623</v>
      </c>
      <c r="D65" s="816" t="s">
        <v>624</v>
      </c>
      <c r="E65" s="893">
        <v>0.2</v>
      </c>
      <c r="F65" s="880">
        <v>30</v>
      </c>
    </row>
    <row r="66" spans="1:6" s="876" customFormat="1" ht="36">
      <c r="A66" s="880">
        <v>6</v>
      </c>
      <c r="B66" s="3274"/>
      <c r="C66" s="816" t="s">
        <v>625</v>
      </c>
      <c r="D66" s="816" t="s">
        <v>626</v>
      </c>
      <c r="E66" s="893">
        <v>0.3</v>
      </c>
      <c r="F66" s="880">
        <v>50</v>
      </c>
    </row>
    <row r="67" spans="1:6" s="876" customFormat="1" ht="36">
      <c r="A67" s="880">
        <v>7</v>
      </c>
      <c r="B67" s="3274"/>
      <c r="C67" s="816" t="s">
        <v>627</v>
      </c>
      <c r="D67" s="816" t="s">
        <v>628</v>
      </c>
      <c r="E67" s="893">
        <v>0.2</v>
      </c>
      <c r="F67" s="880">
        <v>30</v>
      </c>
    </row>
    <row r="68" spans="1:6" s="876" customFormat="1" ht="36">
      <c r="A68" s="880">
        <v>8</v>
      </c>
      <c r="B68" s="3274"/>
      <c r="C68" s="816" t="s">
        <v>629</v>
      </c>
      <c r="D68" s="816" t="s">
        <v>630</v>
      </c>
      <c r="E68" s="893">
        <v>0.2</v>
      </c>
      <c r="F68" s="880">
        <v>30</v>
      </c>
    </row>
    <row r="69" spans="1:6" s="876" customFormat="1" ht="36">
      <c r="A69" s="880">
        <v>9</v>
      </c>
      <c r="B69" s="3274"/>
      <c r="C69" s="816" t="s">
        <v>631</v>
      </c>
      <c r="D69" s="816" t="s">
        <v>632</v>
      </c>
      <c r="E69" s="893">
        <v>0.2</v>
      </c>
      <c r="F69" s="880">
        <v>30</v>
      </c>
    </row>
    <row r="70" spans="1:6" s="876" customFormat="1" ht="48">
      <c r="A70" s="880">
        <v>10</v>
      </c>
      <c r="B70" s="3274"/>
      <c r="C70" s="816" t="s">
        <v>633</v>
      </c>
      <c r="D70" s="816" t="s">
        <v>634</v>
      </c>
      <c r="E70" s="893">
        <v>0.2</v>
      </c>
      <c r="F70" s="880">
        <v>30</v>
      </c>
    </row>
    <row r="71" spans="1:6" s="876" customFormat="1" ht="48">
      <c r="A71" s="880">
        <v>11</v>
      </c>
      <c r="B71" s="3274"/>
      <c r="C71" s="816" t="s">
        <v>635</v>
      </c>
      <c r="D71" s="816" t="s">
        <v>636</v>
      </c>
      <c r="E71" s="893">
        <v>0.2</v>
      </c>
      <c r="F71" s="880">
        <v>30</v>
      </c>
    </row>
    <row r="72" spans="1:6" s="876" customFormat="1" ht="36">
      <c r="A72" s="880">
        <v>12</v>
      </c>
      <c r="B72" s="3274"/>
      <c r="C72" s="816" t="s">
        <v>637</v>
      </c>
      <c r="D72" s="816" t="s">
        <v>638</v>
      </c>
      <c r="E72" s="893">
        <v>0.5</v>
      </c>
      <c r="F72" s="880">
        <v>80</v>
      </c>
    </row>
    <row r="73" spans="1:6" s="876" customFormat="1" ht="24">
      <c r="A73" s="880">
        <v>13</v>
      </c>
      <c r="B73" s="3274"/>
      <c r="C73" s="816" t="s">
        <v>639</v>
      </c>
      <c r="D73" s="816" t="s">
        <v>640</v>
      </c>
      <c r="E73" s="893">
        <v>0.4</v>
      </c>
      <c r="F73" s="880">
        <v>60</v>
      </c>
    </row>
    <row r="74" spans="1:6" s="876" customFormat="1" ht="24">
      <c r="A74" s="880">
        <v>14</v>
      </c>
      <c r="B74" s="3274"/>
      <c r="C74" s="816" t="s">
        <v>641</v>
      </c>
      <c r="D74" s="816" t="s">
        <v>642</v>
      </c>
      <c r="E74" s="893">
        <v>0.2</v>
      </c>
      <c r="F74" s="880">
        <v>30</v>
      </c>
    </row>
    <row r="75" spans="1:6" s="876" customFormat="1" ht="24">
      <c r="A75" s="880">
        <v>15</v>
      </c>
      <c r="B75" s="3274"/>
      <c r="C75" s="816" t="s">
        <v>643</v>
      </c>
      <c r="D75" s="816" t="s">
        <v>644</v>
      </c>
      <c r="E75" s="893">
        <v>0.2</v>
      </c>
      <c r="F75" s="880">
        <v>30</v>
      </c>
    </row>
    <row r="76" spans="1:6" s="876" customFormat="1" ht="24">
      <c r="A76" s="880">
        <v>16</v>
      </c>
      <c r="B76" s="3274" t="s">
        <v>645</v>
      </c>
      <c r="C76" s="816" t="s">
        <v>646</v>
      </c>
      <c r="D76" s="816" t="s">
        <v>647</v>
      </c>
      <c r="E76" s="893">
        <v>0.5</v>
      </c>
      <c r="F76" s="880">
        <v>80</v>
      </c>
    </row>
    <row r="77" spans="1:6" s="876" customFormat="1" ht="24">
      <c r="A77" s="880">
        <v>17</v>
      </c>
      <c r="B77" s="3274"/>
      <c r="C77" s="816" t="s">
        <v>648</v>
      </c>
      <c r="D77" s="816" t="s">
        <v>649</v>
      </c>
      <c r="E77" s="893">
        <v>0.5</v>
      </c>
      <c r="F77" s="880">
        <v>80</v>
      </c>
    </row>
    <row r="78" spans="1:6" s="876" customFormat="1" ht="24">
      <c r="A78" s="880">
        <v>18</v>
      </c>
      <c r="B78" s="3274"/>
      <c r="C78" s="816" t="s">
        <v>650</v>
      </c>
      <c r="D78" s="816" t="s">
        <v>651</v>
      </c>
      <c r="E78" s="893">
        <v>0.2</v>
      </c>
      <c r="F78" s="880">
        <v>30</v>
      </c>
    </row>
    <row r="79" spans="1:6" s="876" customFormat="1" ht="24">
      <c r="A79" s="880">
        <v>19</v>
      </c>
      <c r="B79" s="3274"/>
      <c r="C79" s="816" t="s">
        <v>652</v>
      </c>
      <c r="D79" s="816" t="s">
        <v>653</v>
      </c>
      <c r="E79" s="893">
        <v>0.5</v>
      </c>
      <c r="F79" s="880">
        <v>80</v>
      </c>
    </row>
    <row r="80" spans="1:6" s="876" customFormat="1" ht="36">
      <c r="A80" s="880">
        <v>20</v>
      </c>
      <c r="B80" s="3274"/>
      <c r="C80" s="816" t="s">
        <v>654</v>
      </c>
      <c r="D80" s="816" t="s">
        <v>655</v>
      </c>
      <c r="E80" s="893">
        <v>0.2</v>
      </c>
      <c r="F80" s="880">
        <v>30</v>
      </c>
    </row>
    <row r="81" spans="1:6" s="876" customFormat="1" ht="36">
      <c r="A81" s="880">
        <v>21</v>
      </c>
      <c r="B81" s="3274"/>
      <c r="C81" s="816" t="s">
        <v>656</v>
      </c>
      <c r="D81" s="816" t="s">
        <v>657</v>
      </c>
      <c r="E81" s="893">
        <v>0.2</v>
      </c>
      <c r="F81" s="880">
        <v>30</v>
      </c>
    </row>
    <row r="82" spans="1:6" s="876" customFormat="1" ht="48">
      <c r="A82" s="880">
        <v>22</v>
      </c>
      <c r="B82" s="3274"/>
      <c r="C82" s="816" t="s">
        <v>658</v>
      </c>
      <c r="D82" s="816" t="s">
        <v>659</v>
      </c>
      <c r="E82" s="893">
        <v>0.2</v>
      </c>
      <c r="F82" s="880">
        <v>30</v>
      </c>
    </row>
    <row r="83" spans="1:6" s="876" customFormat="1" ht="48">
      <c r="A83" s="880">
        <v>23</v>
      </c>
      <c r="B83" s="3274"/>
      <c r="C83" s="816" t="s">
        <v>660</v>
      </c>
      <c r="D83" s="816" t="s">
        <v>661</v>
      </c>
      <c r="E83" s="893">
        <v>0.2</v>
      </c>
      <c r="F83" s="880">
        <v>30</v>
      </c>
    </row>
    <row r="84" spans="1:6" s="876" customFormat="1" ht="36">
      <c r="A84" s="880">
        <v>24</v>
      </c>
      <c r="B84" s="3274"/>
      <c r="C84" s="816" t="s">
        <v>662</v>
      </c>
      <c r="D84" s="816" t="s">
        <v>663</v>
      </c>
      <c r="E84" s="893">
        <v>0.2</v>
      </c>
      <c r="F84" s="880">
        <v>30</v>
      </c>
    </row>
    <row r="85" spans="1:6" s="876" customFormat="1" ht="36">
      <c r="A85" s="880">
        <v>25</v>
      </c>
      <c r="B85" s="3274"/>
      <c r="C85" s="816" t="s">
        <v>664</v>
      </c>
      <c r="D85" s="816" t="s">
        <v>665</v>
      </c>
      <c r="E85" s="893">
        <v>0.5</v>
      </c>
      <c r="F85" s="880">
        <v>80</v>
      </c>
    </row>
    <row r="86" spans="1:6" s="876" customFormat="1" ht="36">
      <c r="A86" s="880">
        <v>26</v>
      </c>
      <c r="B86" s="3274"/>
      <c r="C86" s="816" t="s">
        <v>666</v>
      </c>
      <c r="D86" s="816" t="s">
        <v>667</v>
      </c>
      <c r="E86" s="893">
        <v>0.2</v>
      </c>
      <c r="F86" s="880">
        <v>30</v>
      </c>
    </row>
    <row r="87" spans="1:6" s="876" customFormat="1" ht="36">
      <c r="A87" s="880">
        <v>27</v>
      </c>
      <c r="B87" s="3274"/>
      <c r="C87" s="816" t="s">
        <v>668</v>
      </c>
      <c r="D87" s="816" t="s">
        <v>669</v>
      </c>
      <c r="E87" s="893">
        <v>0.2</v>
      </c>
      <c r="F87" s="880">
        <v>30</v>
      </c>
    </row>
    <row r="88" spans="1:6" s="876" customFormat="1" ht="36">
      <c r="A88" s="880">
        <v>28</v>
      </c>
      <c r="B88" s="3274"/>
      <c r="C88" s="816" t="s">
        <v>670</v>
      </c>
      <c r="D88" s="816" t="s">
        <v>671</v>
      </c>
      <c r="E88" s="893">
        <v>0.2</v>
      </c>
      <c r="F88" s="880">
        <v>30</v>
      </c>
    </row>
    <row r="89" spans="1:6" s="876" customFormat="1" ht="24">
      <c r="A89" s="880">
        <v>29</v>
      </c>
      <c r="B89" s="3274"/>
      <c r="C89" s="816" t="s">
        <v>672</v>
      </c>
      <c r="D89" s="816" t="s">
        <v>673</v>
      </c>
      <c r="E89" s="893">
        <v>0.2</v>
      </c>
      <c r="F89" s="880">
        <v>30</v>
      </c>
    </row>
    <row r="90" spans="1:6" s="876" customFormat="1" ht="24">
      <c r="A90" s="880">
        <v>30</v>
      </c>
      <c r="B90" s="3274"/>
      <c r="C90" s="816" t="s">
        <v>674</v>
      </c>
      <c r="D90" s="816" t="s">
        <v>675</v>
      </c>
      <c r="E90" s="893">
        <v>0.2</v>
      </c>
      <c r="F90" s="880">
        <v>30</v>
      </c>
    </row>
    <row r="91" spans="1:6" s="876" customFormat="1" ht="36">
      <c r="A91" s="880">
        <v>31</v>
      </c>
      <c r="B91" s="3274"/>
      <c r="C91" s="816" t="s">
        <v>676</v>
      </c>
      <c r="D91" s="816" t="s">
        <v>677</v>
      </c>
      <c r="E91" s="893">
        <v>0.2</v>
      </c>
      <c r="F91" s="880">
        <v>30</v>
      </c>
    </row>
    <row r="92" spans="1:6" s="876" customFormat="1" ht="24">
      <c r="A92" s="880">
        <v>32</v>
      </c>
      <c r="B92" s="3274" t="s">
        <v>678</v>
      </c>
      <c r="C92" s="880" t="s">
        <v>679</v>
      </c>
      <c r="D92" s="816" t="s">
        <v>680</v>
      </c>
      <c r="E92" s="893">
        <v>0.2</v>
      </c>
      <c r="F92" s="880">
        <v>30</v>
      </c>
    </row>
    <row r="93" spans="1:6" s="876" customFormat="1" ht="36">
      <c r="A93" s="880">
        <v>33</v>
      </c>
      <c r="B93" s="3274"/>
      <c r="C93" s="880" t="s">
        <v>681</v>
      </c>
      <c r="D93" s="816" t="s">
        <v>682</v>
      </c>
      <c r="E93" s="893">
        <v>0.2</v>
      </c>
      <c r="F93" s="880">
        <v>30</v>
      </c>
    </row>
    <row r="94" spans="1:6" s="876" customFormat="1" ht="48">
      <c r="A94" s="880">
        <v>34</v>
      </c>
      <c r="B94" s="3274"/>
      <c r="C94" s="880" t="s">
        <v>683</v>
      </c>
      <c r="D94" s="816" t="s">
        <v>684</v>
      </c>
      <c r="E94" s="893">
        <v>0.2</v>
      </c>
      <c r="F94" s="880">
        <v>30</v>
      </c>
    </row>
    <row r="95" spans="1:6" s="876" customFormat="1" ht="36">
      <c r="A95" s="880">
        <v>35</v>
      </c>
      <c r="B95" s="3274"/>
      <c r="C95" s="880" t="s">
        <v>685</v>
      </c>
      <c r="D95" s="816" t="s">
        <v>686</v>
      </c>
      <c r="E95" s="893">
        <v>0.2</v>
      </c>
      <c r="F95" s="880">
        <v>30</v>
      </c>
    </row>
    <row r="96" spans="1:6" s="876" customFormat="1" ht="48">
      <c r="A96" s="880">
        <v>36</v>
      </c>
      <c r="B96" s="3274"/>
      <c r="C96" s="816" t="s">
        <v>687</v>
      </c>
      <c r="D96" s="816" t="s">
        <v>688</v>
      </c>
      <c r="E96" s="893">
        <v>0.2</v>
      </c>
      <c r="F96" s="880">
        <v>30</v>
      </c>
    </row>
    <row r="97" spans="1:6" s="876" customFormat="1" ht="36">
      <c r="A97" s="880">
        <v>37</v>
      </c>
      <c r="B97" s="3274"/>
      <c r="C97" s="880" t="s">
        <v>689</v>
      </c>
      <c r="D97" s="816" t="s">
        <v>690</v>
      </c>
      <c r="E97" s="893">
        <v>0.2</v>
      </c>
      <c r="F97" s="880">
        <v>30</v>
      </c>
    </row>
    <row r="98" spans="1:6" s="876" customFormat="1" ht="36">
      <c r="A98" s="880">
        <v>38</v>
      </c>
      <c r="B98" s="3274"/>
      <c r="C98" s="880" t="s">
        <v>691</v>
      </c>
      <c r="D98" s="816" t="s">
        <v>692</v>
      </c>
      <c r="E98" s="893">
        <v>0.2</v>
      </c>
      <c r="F98" s="880">
        <v>30</v>
      </c>
    </row>
    <row r="99" spans="1:6" s="876" customFormat="1" ht="36">
      <c r="A99" s="880">
        <v>39</v>
      </c>
      <c r="B99" s="3274" t="s">
        <v>693</v>
      </c>
      <c r="C99" s="880" t="s">
        <v>694</v>
      </c>
      <c r="D99" s="816" t="s">
        <v>695</v>
      </c>
      <c r="E99" s="893">
        <v>0.3</v>
      </c>
      <c r="F99" s="880">
        <v>50</v>
      </c>
    </row>
    <row r="100" spans="1:6" s="876" customFormat="1" ht="24">
      <c r="A100" s="880">
        <v>40</v>
      </c>
      <c r="B100" s="3274"/>
      <c r="C100" s="880" t="s">
        <v>696</v>
      </c>
      <c r="D100" s="816" t="s">
        <v>697</v>
      </c>
      <c r="E100" s="893">
        <v>0.2</v>
      </c>
      <c r="F100" s="880">
        <v>30</v>
      </c>
    </row>
    <row r="101" spans="1:6" s="876" customFormat="1" ht="36">
      <c r="A101" s="880">
        <v>41</v>
      </c>
      <c r="B101" s="327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4" t="s">
        <v>708</v>
      </c>
      <c r="C105" s="880" t="s">
        <v>709</v>
      </c>
      <c r="D105" s="816" t="s">
        <v>710</v>
      </c>
      <c r="E105" s="893">
        <v>0.2</v>
      </c>
      <c r="F105" s="880">
        <v>30</v>
      </c>
    </row>
    <row r="106" spans="1:6" s="876" customFormat="1" ht="36">
      <c r="A106" s="880">
        <v>46</v>
      </c>
      <c r="B106" s="3274"/>
      <c r="C106" s="880" t="s">
        <v>711</v>
      </c>
      <c r="D106" s="816" t="s">
        <v>712</v>
      </c>
      <c r="E106" s="893">
        <v>0.2</v>
      </c>
      <c r="F106" s="880">
        <v>30</v>
      </c>
    </row>
    <row r="107" spans="1:6" s="876" customFormat="1" ht="36">
      <c r="A107" s="880">
        <v>47</v>
      </c>
      <c r="B107" s="3274" t="s">
        <v>713</v>
      </c>
      <c r="C107" s="880" t="s">
        <v>714</v>
      </c>
      <c r="D107" s="816" t="s">
        <v>715</v>
      </c>
      <c r="E107" s="893">
        <v>0.3</v>
      </c>
      <c r="F107" s="880">
        <v>50</v>
      </c>
    </row>
    <row r="108" spans="1:6" s="876" customFormat="1" ht="36">
      <c r="A108" s="880">
        <v>48</v>
      </c>
      <c r="B108" s="327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4" t="s">
        <v>724</v>
      </c>
      <c r="C111" s="880" t="s">
        <v>725</v>
      </c>
      <c r="D111" s="816" t="s">
        <v>726</v>
      </c>
      <c r="E111" s="893">
        <v>0.2</v>
      </c>
      <c r="F111" s="880">
        <v>30</v>
      </c>
    </row>
    <row r="112" spans="1:6" s="876" customFormat="1" ht="24">
      <c r="A112" s="880">
        <v>52</v>
      </c>
      <c r="B112" s="3274"/>
      <c r="C112" s="880" t="s">
        <v>727</v>
      </c>
      <c r="D112" s="816" t="s">
        <v>728</v>
      </c>
      <c r="E112" s="893">
        <v>0.2</v>
      </c>
      <c r="F112" s="880">
        <v>30</v>
      </c>
    </row>
    <row r="113" spans="1:6" s="876" customFormat="1" ht="24">
      <c r="A113" s="880">
        <v>53</v>
      </c>
      <c r="B113" s="327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4" t="s">
        <v>737</v>
      </c>
      <c r="C116" s="880" t="s">
        <v>738</v>
      </c>
      <c r="D116" s="816" t="s">
        <v>739</v>
      </c>
      <c r="E116" s="893">
        <v>0.2</v>
      </c>
      <c r="F116" s="880">
        <v>30</v>
      </c>
    </row>
    <row r="117" spans="1:6" ht="36">
      <c r="A117" s="880">
        <v>57</v>
      </c>
      <c r="B117" s="327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18" workbookViewId="0">
      <selection activeCell="E231" sqref="E231"/>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3000</v>
      </c>
    </row>
    <row r="2" spans="1:5" ht="15.75">
      <c r="A2" s="2899" t="s">
        <v>2992</v>
      </c>
      <c r="B2" s="2900" t="e">
        <f ca="1">SUMIF(B6:B13,"&lt;&gt;#ref!",B6:B13)</f>
        <v>#VALUE!</v>
      </c>
      <c r="C2" s="2899" t="s">
        <v>2993</v>
      </c>
      <c r="D2" s="2899" t="s">
        <v>2994</v>
      </c>
      <c r="E2" s="2900">
        <f ca="1">SUMIF(E6:E13,"&lt;&gt;#ref!",E6:E13)</f>
        <v>0</v>
      </c>
    </row>
    <row r="3" spans="1:5" ht="15.75">
      <c r="A3" s="2899" t="s">
        <v>2995</v>
      </c>
      <c r="B3" s="2900" t="e">
        <f ca="1">ROUND(B2*10000/E2,0)</f>
        <v>#VALUE!</v>
      </c>
      <c r="C3" s="2899" t="s">
        <v>3001</v>
      </c>
      <c r="D3" s="2901"/>
      <c r="E3" s="2901"/>
    </row>
    <row r="4" spans="1:5" ht="15.75">
      <c r="A4" s="2902"/>
      <c r="B4" s="2901"/>
      <c r="C4" s="2901"/>
      <c r="D4" s="2901"/>
      <c r="E4" s="2901"/>
    </row>
    <row r="5" spans="1:5" ht="28.5">
      <c r="A5" s="2903" t="s">
        <v>2996</v>
      </c>
      <c r="B5" s="2899" t="s">
        <v>2997</v>
      </c>
      <c r="C5" s="2900"/>
      <c r="D5" s="2901"/>
      <c r="E5" s="2899" t="s">
        <v>2998</v>
      </c>
    </row>
    <row r="6" spans="1:5" ht="15.75">
      <c r="A6" s="2904" t="s">
        <v>2999</v>
      </c>
      <c r="B6" s="2900" t="e">
        <f ca="1">SUMIF(INDIRECT("'"&amp;A6&amp;"'"&amp;"!A:A"),"总价",INDIRECT("'"&amp;A6&amp;"'"&amp;"!B:B"))</f>
        <v>#VALUE!</v>
      </c>
      <c r="C6" s="2899" t="s">
        <v>2993</v>
      </c>
      <c r="D6" s="2901"/>
      <c r="E6" s="2572">
        <f ca="1">SUMIF(INDIRECT("'"&amp;A6&amp;"'"&amp;"!C:C"),"建筑面积",INDIRECT("'"&amp;A6&amp;"'"&amp;"!D:D"))</f>
        <v>0</v>
      </c>
    </row>
    <row r="7" spans="1:5" ht="15.75">
      <c r="A7" s="2904"/>
      <c r="B7" s="2900" t="e">
        <f ca="1">SUMIF(INDIRECT("'"&amp;A7&amp;"'"&amp;"!A:A"),"总价",INDIRECT("'"&amp;A7&amp;"'"&amp;"!B:B"))</f>
        <v>#REF!</v>
      </c>
      <c r="C7" s="2899" t="s">
        <v>2993</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2993</v>
      </c>
      <c r="D8" s="2901"/>
      <c r="E8" s="2572" t="e">
        <f t="shared" ca="1" si="0"/>
        <v>#REF!</v>
      </c>
    </row>
    <row r="9" spans="1:5" ht="15.75">
      <c r="A9" s="2904"/>
      <c r="B9" s="2900" t="e">
        <f t="shared" ca="1" si="1"/>
        <v>#REF!</v>
      </c>
      <c r="C9" s="2899" t="s">
        <v>2993</v>
      </c>
      <c r="D9" s="2901"/>
      <c r="E9" s="2572" t="e">
        <f t="shared" ca="1" si="0"/>
        <v>#REF!</v>
      </c>
    </row>
    <row r="10" spans="1:5" ht="15.75">
      <c r="A10" s="2904"/>
      <c r="B10" s="2900" t="e">
        <f t="shared" ca="1" si="1"/>
        <v>#REF!</v>
      </c>
      <c r="C10" s="2899" t="s">
        <v>2993</v>
      </c>
      <c r="D10" s="2901"/>
      <c r="E10" s="2572" t="e">
        <f t="shared" ca="1" si="0"/>
        <v>#REF!</v>
      </c>
    </row>
    <row r="11" spans="1:5" ht="15.75">
      <c r="A11" s="2904"/>
      <c r="B11" s="2900" t="e">
        <f t="shared" ca="1" si="1"/>
        <v>#REF!</v>
      </c>
      <c r="C11" s="2899" t="s">
        <v>2993</v>
      </c>
      <c r="D11" s="2901"/>
      <c r="E11" s="2572" t="e">
        <f t="shared" ca="1" si="0"/>
        <v>#REF!</v>
      </c>
    </row>
    <row r="12" spans="1:5" ht="15.75">
      <c r="A12" s="2904"/>
      <c r="B12" s="2900" t="e">
        <f t="shared" ca="1" si="1"/>
        <v>#REF!</v>
      </c>
      <c r="C12" s="2899" t="s">
        <v>2993</v>
      </c>
      <c r="D12" s="2901"/>
      <c r="E12" s="2572" t="e">
        <f t="shared" ca="1" si="0"/>
        <v>#REF!</v>
      </c>
    </row>
    <row r="13" spans="1:5" ht="15.75">
      <c r="A13" s="2904"/>
      <c r="B13" s="2900" t="e">
        <f t="shared" ca="1" si="1"/>
        <v>#REF!</v>
      </c>
      <c r="C13" s="2899" t="s">
        <v>2993</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80" t="s">
        <v>1146</v>
      </c>
      <c r="C1" s="3280"/>
      <c r="D1" s="3280"/>
      <c r="E1" s="3280"/>
      <c r="F1" s="3280"/>
      <c r="G1" s="3279" t="s">
        <v>1147</v>
      </c>
      <c r="H1" s="3279"/>
      <c r="I1" s="3279"/>
      <c r="J1" s="3279"/>
      <c r="K1" s="3279"/>
      <c r="L1" s="3279"/>
      <c r="N1" s="3279" t="s">
        <v>1148</v>
      </c>
      <c r="O1" s="3279"/>
      <c r="P1" s="3279"/>
      <c r="Q1" s="3279"/>
      <c r="R1" s="1444"/>
      <c r="S1" s="3279" t="s">
        <v>1149</v>
      </c>
      <c r="T1" s="3279"/>
      <c r="U1" s="3279"/>
      <c r="V1" s="3279"/>
      <c r="X1" s="3278" t="s">
        <v>1150</v>
      </c>
      <c r="Y1" s="3279"/>
      <c r="Z1" s="3279"/>
      <c r="AA1" s="3279"/>
      <c r="AB1" s="3279"/>
      <c r="AD1" s="3278" t="s">
        <v>1151</v>
      </c>
      <c r="AE1" s="3279"/>
      <c r="AF1" s="3279"/>
      <c r="AG1" s="3279"/>
      <c r="AH1" s="3279"/>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5" customFormat="1" ht="14.25">
      <c r="A3" s="2924" t="s">
        <v>3032</v>
      </c>
      <c r="B3" s="2916"/>
      <c r="C3" s="2916"/>
      <c r="D3" s="2917"/>
      <c r="E3" s="2917"/>
      <c r="F3" s="2916"/>
      <c r="G3" s="2918"/>
      <c r="H3" s="2919"/>
      <c r="I3" s="2920">
        <f>ROUND(AVERAGE($I4:$I27),2)</f>
        <v>2.04</v>
      </c>
      <c r="J3" s="2920">
        <f>ROUND(AVERAGE($J4:$J27),2)</f>
        <v>1.44</v>
      </c>
      <c r="K3" s="2920">
        <f>ROUND(AVERAGE($K4:$K27),2)</f>
        <v>2.23</v>
      </c>
      <c r="L3" s="2920">
        <f>ROUND(AVERAGE($L4:$L27),2)</f>
        <v>1.4</v>
      </c>
      <c r="N3" s="2918"/>
      <c r="O3" s="2921"/>
      <c r="P3" s="2921"/>
      <c r="Q3" s="2921"/>
      <c r="R3" s="2921"/>
      <c r="S3" s="2918"/>
      <c r="T3" s="2921"/>
      <c r="U3" s="2921"/>
      <c r="V3" s="2921"/>
      <c r="W3" s="2913"/>
      <c r="X3" s="2922">
        <f>ROUND(SUMPRODUCT(PRODUCT(1+N3:N$26)),4)</f>
        <v>1.5422</v>
      </c>
      <c r="Y3" s="2922">
        <f>ROUND(SUMPRODUCT(PRODUCT(1+O3:O$26)),4)</f>
        <v>1.3557999999999999</v>
      </c>
      <c r="Z3" s="2922">
        <f t="shared" ref="Z3:Z24" si="0">Y3</f>
        <v>1.3557999999999999</v>
      </c>
      <c r="AA3" s="2922">
        <f>ROUND(SUMPRODUCT(PRODUCT(1+P3:P$26)),4)</f>
        <v>1.6036999999999999</v>
      </c>
      <c r="AB3" s="2922">
        <f>ROUND(SUMPRODUCT(PRODUCT(1+Q3:Q$26)),4)</f>
        <v>1.3573</v>
      </c>
      <c r="AD3" s="2923">
        <f>ROUND(AVERAGE(I3:I$27)/100,4)</f>
        <v>2.0400000000000001E-2</v>
      </c>
      <c r="AE3" s="2923">
        <f>ROUND(AVERAGE(J3:J$27)/100,4)</f>
        <v>1.44E-2</v>
      </c>
      <c r="AF3" s="2923">
        <f t="shared" ref="AF3:AF25" si="1">AE3</f>
        <v>1.44E-2</v>
      </c>
      <c r="AG3" s="2923">
        <f>ROUND(AVERAGE(K3:K$27)/100,4)</f>
        <v>2.23E-2</v>
      </c>
      <c r="AH3" s="2923">
        <f>ROUND(AVERAGE(L3:L$27)/100,4)</f>
        <v>1.4E-2</v>
      </c>
    </row>
    <row r="4" spans="1:34" s="1451" customFormat="1" ht="14.25">
      <c r="B4" s="1452"/>
      <c r="C4" s="1452"/>
      <c r="D4" s="1453"/>
      <c r="E4" s="1453"/>
      <c r="F4" s="1452"/>
      <c r="G4" s="1454"/>
      <c r="H4" s="1455"/>
      <c r="I4" s="2910"/>
      <c r="J4" s="2910"/>
      <c r="K4" s="2910"/>
      <c r="L4" s="2910"/>
      <c r="N4" s="1454"/>
      <c r="O4" s="1456"/>
      <c r="P4" s="1456"/>
      <c r="Q4" s="1456"/>
      <c r="R4" s="1456"/>
      <c r="S4" s="1454"/>
      <c r="T4" s="1456"/>
      <c r="U4" s="1456"/>
      <c r="V4" s="1456"/>
      <c r="X4" s="1457"/>
      <c r="Y4" s="1457"/>
      <c r="Z4" s="1457"/>
      <c r="AA4" s="1457"/>
      <c r="AB4" s="1457"/>
      <c r="AD4" s="1458"/>
      <c r="AE4" s="1458"/>
      <c r="AF4" s="1458"/>
      <c r="AG4" s="1458"/>
      <c r="AH4" s="1458"/>
    </row>
    <row r="5" spans="1:34" s="1728" customFormat="1" ht="13.5" thickBot="1">
      <c r="A5" s="1726" t="s">
        <v>3049</v>
      </c>
      <c r="B5" s="1788">
        <f t="shared" ref="B5" si="2">B6*(1+N5)</f>
        <v>474.30670301923408</v>
      </c>
      <c r="C5" s="1788">
        <f t="shared" ref="C5" si="3">C6*(1+O5)</f>
        <v>349.50705005996491</v>
      </c>
      <c r="D5" s="1788">
        <f t="shared" ref="D5" si="4">C5</f>
        <v>349.50705005996491</v>
      </c>
      <c r="E5" s="1788">
        <f t="shared" ref="E5" si="5">E6*(1+P5)</f>
        <v>678.22831959706957</v>
      </c>
      <c r="F5" s="1788">
        <f t="shared" ref="F5" si="6">F6*(1+Q5)</f>
        <v>312.0556832169558</v>
      </c>
      <c r="G5" s="2944">
        <v>2019</v>
      </c>
      <c r="H5" s="1727">
        <v>3</v>
      </c>
      <c r="I5" s="2911">
        <v>0</v>
      </c>
      <c r="J5" s="2911">
        <v>0</v>
      </c>
      <c r="K5" s="2911">
        <v>0</v>
      </c>
      <c r="L5" s="2911">
        <v>0</v>
      </c>
      <c r="N5" s="1465">
        <f>I5/100</f>
        <v>0</v>
      </c>
      <c r="O5" s="1465">
        <f t="shared" ref="O5" si="7">J5/100</f>
        <v>0</v>
      </c>
      <c r="P5" s="1465">
        <f t="shared" ref="P5" si="8">K5/100</f>
        <v>0</v>
      </c>
      <c r="Q5" s="1465">
        <f t="shared" ref="Q5" si="9">L5/100</f>
        <v>0</v>
      </c>
      <c r="R5" s="1729"/>
      <c r="S5" s="1730"/>
      <c r="T5" s="1729"/>
      <c r="U5" s="1729"/>
      <c r="V5" s="1729"/>
      <c r="W5" s="2914" t="s">
        <v>3033</v>
      </c>
      <c r="X5" s="1723">
        <f>ROUND(IF(项目基本情况!B8="出让",SUMPRODUCT(PRODUCT(1+N5:N$27)),SUMPRODUCT(PRODUCT(1+N5:N$26))),4)</f>
        <v>1.5422</v>
      </c>
      <c r="Y5" s="1723">
        <f>ROUND(IF(项目基本情况!B8="出让",SUMPRODUCT(PRODUCT(1+O5:O$27)),SUMPRODUCT(PRODUCT(1+O5:O$26))),4)</f>
        <v>1.3557999999999999</v>
      </c>
      <c r="Z5" s="1723">
        <f t="shared" ref="Z5" si="10">Y5</f>
        <v>1.3557999999999999</v>
      </c>
      <c r="AA5" s="1723">
        <f>ROUND(IF(项目基本情况!B8="出让",SUMPRODUCT(PRODUCT(1+P5:P$27)),SUMPRODUCT(PRODUCT(1+P5:P$26))),4)</f>
        <v>1.6036999999999999</v>
      </c>
      <c r="AB5" s="1723">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3048</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4">
        <v>2019</v>
      </c>
      <c r="H6" s="1460">
        <v>2</v>
      </c>
      <c r="I6" s="2948">
        <v>1.53</v>
      </c>
      <c r="J6" s="2948">
        <v>1.01</v>
      </c>
      <c r="K6" s="2948">
        <v>1.62</v>
      </c>
      <c r="L6" s="2949">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7"/>
      <c r="X6" s="1785">
        <f>ROUND(IF(项目基本情况!B8="出让",SUMPRODUCT(PRODUCT(1+N6:N$27)),SUMPRODUCT(PRODUCT(1+N6:N$26))),4)</f>
        <v>1.5422</v>
      </c>
      <c r="Y6" s="1785">
        <f>ROUND(IF(项目基本情况!B8="出让",SUMPRODUCT(PRODUCT(1+O6:O$27)),SUMPRODUCT(PRODUCT(1+O6:O$26))),4)</f>
        <v>1.3557999999999999</v>
      </c>
      <c r="Z6" s="1785">
        <f t="shared" ref="Z6" si="20">Y6</f>
        <v>1.3557999999999999</v>
      </c>
      <c r="AA6" s="1785">
        <f>ROUND(IF(项目基本情况!B8="出让",SUMPRODUCT(PRODUCT(1+P6:P$27)),SUMPRODUCT(PRODUCT(1+P6:P$26))),4)</f>
        <v>1.6036999999999999</v>
      </c>
      <c r="AB6" s="1785">
        <f>ROUND(IF(项目基本情况!B8="出让",SUMPRODUCT(PRODUCT(1+Q6:Q$27)),SUMPRODUCT(PRODUCT(1+Q6:Q$26))),4)</f>
        <v>1.3573</v>
      </c>
      <c r="AC6" s="1787"/>
      <c r="AD6" s="1786">
        <f>ROUND(AVERAGE(I6:I$27)/100,4)</f>
        <v>2.1299999999999999E-2</v>
      </c>
      <c r="AE6" s="1786">
        <f>ROUND(AVERAGE(J6:J$27)/100,4)</f>
        <v>1.4999999999999999E-2</v>
      </c>
      <c r="AF6" s="1786">
        <f t="shared" ref="AF6" si="21">AE6</f>
        <v>1.4999999999999999E-2</v>
      </c>
      <c r="AG6" s="1786">
        <f>ROUND(AVERAGE(K6:K$27)/100,4)</f>
        <v>2.3300000000000001E-2</v>
      </c>
      <c r="AH6" s="1786">
        <f>ROUND(AVERAGE(L6:L$27)/100,4)</f>
        <v>1.46E-2</v>
      </c>
    </row>
    <row r="7" spans="1:34" s="1464" customFormat="1" ht="13.5" thickBot="1">
      <c r="A7" s="1459" t="s">
        <v>3045</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8">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7"/>
      <c r="X7" s="1785">
        <f>ROUND(IF(项目基本情况!B8="出让",SUMPRODUCT(PRODUCT(1+N7:N$27)),SUMPRODUCT(PRODUCT(1+N7:N$26))),4)</f>
        <v>1.5189999999999999</v>
      </c>
      <c r="Y7" s="1785">
        <f>ROUND(IF(项目基本情况!B8="出让",SUMPRODUCT(PRODUCT(1+O7:O$27)),SUMPRODUCT(PRODUCT(1+O7:O$26))),4)</f>
        <v>1.3423</v>
      </c>
      <c r="Z7" s="1785">
        <f t="shared" ref="Z7" si="33">Y7</f>
        <v>1.3423</v>
      </c>
      <c r="AA7" s="1785">
        <f>ROUND(IF(项目基本情况!B8="出让",SUMPRODUCT(PRODUCT(1+P7:P$27)),SUMPRODUCT(PRODUCT(1+P7:P$26))),4)</f>
        <v>1.5782</v>
      </c>
      <c r="AB7" s="1785">
        <f>ROUND(IF(项目基本情况!B8="出让",SUMPRODUCT(PRODUCT(1+Q7:Q$27)),SUMPRODUCT(PRODUCT(1+Q7:Q$26))),4)</f>
        <v>1.3405</v>
      </c>
      <c r="AC7" s="1787"/>
      <c r="AD7" s="1786">
        <f>ROUND(AVERAGE(I7:I$27)/100,4)</f>
        <v>2.1600000000000001E-2</v>
      </c>
      <c r="AE7" s="1786">
        <f>ROUND(AVERAGE(J7:J$27)/100,4)</f>
        <v>1.5299999999999999E-2</v>
      </c>
      <c r="AF7" s="1786">
        <f t="shared" ref="AF7" si="34">AE7</f>
        <v>1.5299999999999999E-2</v>
      </c>
      <c r="AG7" s="1786">
        <f>ROUND(AVERAGE(K7:K$27)/100,4)</f>
        <v>2.3699999999999999E-2</v>
      </c>
      <c r="AH7" s="1786">
        <f>ROUND(AVERAGE(L7:L$27)/100,4)</f>
        <v>1.47E-2</v>
      </c>
    </row>
    <row r="8" spans="1:34" s="1464" customFormat="1">
      <c r="A8" s="1459" t="s">
        <v>3050</v>
      </c>
      <c r="B8" s="2945">
        <f t="shared" ref="B8" si="35">B9*(1+N8)</f>
        <v>464.37293017158942</v>
      </c>
      <c r="C8" s="2945">
        <f t="shared" ref="C8" si="36">C9*(1+O8)</f>
        <v>344.73679941385956</v>
      </c>
      <c r="D8" s="2945">
        <f t="shared" ref="D8" si="37">C8</f>
        <v>344.73679941385956</v>
      </c>
      <c r="E8" s="2945">
        <f t="shared" ref="E8" si="38">E9*(1+P8)</f>
        <v>663.2377795103107</v>
      </c>
      <c r="F8" s="2946">
        <f t="shared" ref="F8" si="39">F9*(1+Q8)</f>
        <v>304.75936311478398</v>
      </c>
      <c r="G8" s="3276">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7"/>
      <c r="X8" s="1785">
        <f>ROUND(SUMPRODUCT(PRODUCT(1+N8:N$26)),4)</f>
        <v>1.5099</v>
      </c>
      <c r="Y8" s="1785">
        <f>ROUND(SUMPRODUCT(PRODUCT(1+O8:O$26)),4)</f>
        <v>1.3372999999999999</v>
      </c>
      <c r="Z8" s="1785">
        <f t="shared" ref="Z8" si="43">Y8</f>
        <v>1.3372999999999999</v>
      </c>
      <c r="AA8" s="1785">
        <f>ROUND(SUMPRODUCT(PRODUCT(1+P8:P$26)),4)</f>
        <v>1.5683</v>
      </c>
      <c r="AB8" s="1785">
        <f>ROUND(SUMPRODUCT(PRODUCT(1+Q8:Q$26)),4)</f>
        <v>1.3255999999999999</v>
      </c>
      <c r="AC8" s="1787"/>
      <c r="AD8" s="1786">
        <f>ROUND(AVERAGE(I8:I$27)/100,4)</f>
        <v>2.24E-2</v>
      </c>
      <c r="AE8" s="1786">
        <f>ROUND(AVERAGE(J8:J$27)/100,4)</f>
        <v>1.5800000000000002E-2</v>
      </c>
      <c r="AF8" s="1786">
        <f t="shared" ref="AF8" si="44">AE8</f>
        <v>1.5800000000000002E-2</v>
      </c>
      <c r="AG8" s="1786">
        <f>ROUND(AVERAGE(K8:K$27)/100,4)</f>
        <v>2.4500000000000001E-2</v>
      </c>
      <c r="AH8" s="1786">
        <f>ROUND(AVERAGE(L8:L$27)/100,4)</f>
        <v>1.49E-2</v>
      </c>
    </row>
    <row r="9" spans="1:34" s="1464" customFormat="1" ht="14.45" customHeight="1">
      <c r="A9" s="1459" t="s">
        <v>3039</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276"/>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7"/>
      <c r="X9" s="1785">
        <f>ROUND(SUMPRODUCT(PRODUCT(1+N9:N$26)),4)</f>
        <v>1.4956</v>
      </c>
      <c r="Y9" s="1785">
        <f>ROUND(SUMPRODUCT(PRODUCT(1+O9:O$26)),4)</f>
        <v>1.3237000000000001</v>
      </c>
      <c r="Z9" s="1785">
        <f t="shared" ref="Z9" si="53">Y9</f>
        <v>1.3237000000000001</v>
      </c>
      <c r="AA9" s="1785">
        <f>ROUND(SUMPRODUCT(PRODUCT(1+P9:P$26)),4)</f>
        <v>1.554</v>
      </c>
      <c r="AB9" s="1785">
        <f>ROUND(SUMPRODUCT(PRODUCT(1+Q9:Q$26)),4)</f>
        <v>1.3087</v>
      </c>
      <c r="AC9" s="1787"/>
      <c r="AD9" s="1786">
        <f>ROUND(AVERAGE(I9:I$27)/100,4)</f>
        <v>2.3099999999999999E-2</v>
      </c>
      <c r="AE9" s="1786">
        <f>ROUND(AVERAGE(J9:J$27)/100,4)</f>
        <v>1.61E-2</v>
      </c>
      <c r="AF9" s="1786">
        <f t="shared" ref="AF9" si="54">AE9</f>
        <v>1.61E-2</v>
      </c>
      <c r="AG9" s="1786">
        <f>ROUND(AVERAGE(K9:K$27)/100,4)</f>
        <v>2.53E-2</v>
      </c>
      <c r="AH9" s="1786">
        <f>ROUND(AVERAGE(L9:L$27)/100,4)</f>
        <v>1.4999999999999999E-2</v>
      </c>
    </row>
    <row r="10" spans="1:34" s="1464" customFormat="1" ht="14.45" customHeight="1">
      <c r="A10" s="1459" t="s">
        <v>3038</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276"/>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7"/>
      <c r="X10" s="1785">
        <f>ROUND(SUMPRODUCT(PRODUCT(1+N10:N$26)),4)</f>
        <v>1.4733000000000001</v>
      </c>
      <c r="Y10" s="1785">
        <f>ROUND(SUMPRODUCT(PRODUCT(1+O10:O$26)),4)</f>
        <v>1.3052999999999999</v>
      </c>
      <c r="Z10" s="1785">
        <f t="shared" ref="Z10" si="64">Y10</f>
        <v>1.3052999999999999</v>
      </c>
      <c r="AA10" s="1785">
        <f>ROUND(SUMPRODUCT(PRODUCT(1+P10:P$26)),4)</f>
        <v>1.5306999999999999</v>
      </c>
      <c r="AB10" s="1785">
        <f>ROUND(SUMPRODUCT(PRODUCT(1+Q10:Q$26)),4)</f>
        <v>1.2863</v>
      </c>
      <c r="AC10" s="1787"/>
      <c r="AD10" s="1786">
        <f>ROUND(AVERAGE(I10:I$27)/100,4)</f>
        <v>2.35E-2</v>
      </c>
      <c r="AE10" s="1786">
        <f>ROUND(AVERAGE(J10:J$27)/100,4)</f>
        <v>1.6199999999999999E-2</v>
      </c>
      <c r="AF10" s="1786">
        <f t="shared" ref="AF10" si="65">AE10</f>
        <v>1.6199999999999999E-2</v>
      </c>
      <c r="AG10" s="1786">
        <f>ROUND(AVERAGE(K10:K$27)/100,4)</f>
        <v>2.5899999999999999E-2</v>
      </c>
      <c r="AH10" s="1786">
        <f>ROUND(AVERAGE(L10:L$27)/100,4)</f>
        <v>1.49E-2</v>
      </c>
    </row>
    <row r="11" spans="1:34" s="1464" customFormat="1" ht="15" customHeight="1" thickBot="1">
      <c r="A11" s="1459" t="s">
        <v>3031</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285"/>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7"/>
      <c r="X11" s="1785">
        <f>ROUND(SUMPRODUCT(PRODUCT(1+N11:N$26)),4)</f>
        <v>1.4517</v>
      </c>
      <c r="Y11" s="1785">
        <f>ROUND(SUMPRODUCT(PRODUCT(1+O11:O$26)),4)</f>
        <v>1.2928999999999999</v>
      </c>
      <c r="Z11" s="1785">
        <f t="shared" ref="Z11" si="78">Y11</f>
        <v>1.2928999999999999</v>
      </c>
      <c r="AA11" s="1785">
        <f>ROUND(SUMPRODUCT(PRODUCT(1+P11:P$26)),4)</f>
        <v>1.5068999999999999</v>
      </c>
      <c r="AB11" s="1785">
        <f>ROUND(SUMPRODUCT(PRODUCT(1+Q11:Q$26)),4)</f>
        <v>1.2557</v>
      </c>
      <c r="AC11" s="1787"/>
      <c r="AD11" s="1786">
        <f>ROUND(AVERAGE(I11:I$27)/100,4)</f>
        <v>2.4E-2</v>
      </c>
      <c r="AE11" s="1786">
        <f>ROUND(AVERAGE(J11:J$27)/100,4)</f>
        <v>1.66E-2</v>
      </c>
      <c r="AF11" s="1786">
        <f t="shared" ref="AF11" si="79">AE11</f>
        <v>1.66E-2</v>
      </c>
      <c r="AG11" s="1786">
        <f>ROUND(AVERAGE(K11:K$27)/100,4)</f>
        <v>2.6499999999999999E-2</v>
      </c>
      <c r="AH11" s="1786">
        <f>ROUND(AVERAGE(L11:L$27)/100,4)</f>
        <v>1.43E-2</v>
      </c>
    </row>
    <row r="12" spans="1:34">
      <c r="A12" s="1459" t="s">
        <v>3028</v>
      </c>
      <c r="B12" s="1467">
        <v>439</v>
      </c>
      <c r="C12" s="1467">
        <v>327</v>
      </c>
      <c r="D12" s="1467">
        <f>C12</f>
        <v>327</v>
      </c>
      <c r="E12" s="1467">
        <v>627</v>
      </c>
      <c r="F12" s="1468">
        <v>283</v>
      </c>
      <c r="G12" s="3281">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3029</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276"/>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7"/>
      <c r="X13" s="1785">
        <f>ROUND(SUMPRODUCT(PRODUCT(1+N13:N$26)),4)</f>
        <v>1.4034</v>
      </c>
      <c r="Y13" s="1785">
        <f>ROUND(SUMPRODUCT(PRODUCT(1+O13:O$26)),4)</f>
        <v>1.2463</v>
      </c>
      <c r="Z13" s="1785">
        <f t="shared" si="0"/>
        <v>1.2463</v>
      </c>
      <c r="AA13" s="1785">
        <f>ROUND(SUMPRODUCT(PRODUCT(1+P13:P$26)),4)</f>
        <v>1.4577</v>
      </c>
      <c r="AB13" s="1785">
        <f>ROUND(SUMPRODUCT(PRODUCT(1+Q13:Q$26)),4)</f>
        <v>1.2136</v>
      </c>
      <c r="AC13" s="1787"/>
      <c r="AD13" s="1786">
        <f>ROUND(AVERAGE(I13:I$27)/100,4)</f>
        <v>2.4899999999999999E-2</v>
      </c>
      <c r="AE13" s="1786">
        <f>ROUND(AVERAGE(J13:J$27)/100,4)</f>
        <v>1.6400000000000001E-2</v>
      </c>
      <c r="AF13" s="1786">
        <f t="shared" si="1"/>
        <v>1.6400000000000001E-2</v>
      </c>
      <c r="AG13" s="1786">
        <f>ROUND(AVERAGE(K13:K$27)/100,4)</f>
        <v>2.7799999999999998E-2</v>
      </c>
      <c r="AH13" s="1786">
        <f>ROUND(AVERAGE(L13:L$27)/100,4)</f>
        <v>1.3899999999999999E-2</v>
      </c>
    </row>
    <row r="14" spans="1:34" s="1728"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276"/>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5">
        <f>ROUND(SUMPRODUCT(PRODUCT(1+N14:N$26)),4)</f>
        <v>1.3628</v>
      </c>
      <c r="Y14" s="1785">
        <f>ROUND(SUMPRODUCT(PRODUCT(1+O14:O$26)),4)</f>
        <v>1.2205999999999999</v>
      </c>
      <c r="Z14" s="1785">
        <f t="shared" si="0"/>
        <v>1.2205999999999999</v>
      </c>
      <c r="AA14" s="1785">
        <f>ROUND(SUMPRODUCT(PRODUCT(1+P14:P$26)),4)</f>
        <v>1.4118999999999999</v>
      </c>
      <c r="AB14" s="1785">
        <f>ROUND(SUMPRODUCT(PRODUCT(1+Q14:Q$26)),4)</f>
        <v>1.1930000000000001</v>
      </c>
      <c r="AC14" s="1451"/>
      <c r="AD14" s="1786">
        <f>ROUND(AVERAGE(I14:I$27)/100,4)</f>
        <v>2.46E-2</v>
      </c>
      <c r="AE14" s="1786">
        <f>ROUND(AVERAGE(J14:J$27)/100,4)</f>
        <v>1.6E-2</v>
      </c>
      <c r="AF14" s="1786">
        <f t="shared" si="1"/>
        <v>1.6E-2</v>
      </c>
      <c r="AG14" s="1786">
        <f>ROUND(AVERAGE(K14:K$27)/100,4)</f>
        <v>2.75E-2</v>
      </c>
      <c r="AH14" s="1786">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285"/>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7"/>
      <c r="X15" s="1785">
        <f>ROUND(SUMPRODUCT(PRODUCT(1+N15:N$26)),4)</f>
        <v>1.3180000000000001</v>
      </c>
      <c r="Y15" s="1785">
        <f>ROUND(SUMPRODUCT(PRODUCT(1+O15:O$26)),4)</f>
        <v>1.1966000000000001</v>
      </c>
      <c r="Z15" s="1785">
        <f t="shared" si="0"/>
        <v>1.1966000000000001</v>
      </c>
      <c r="AA15" s="1785">
        <f>ROUND(SUMPRODUCT(PRODUCT(1+P15:P$26)),4)</f>
        <v>1.36</v>
      </c>
      <c r="AB15" s="1785">
        <f>ROUND(SUMPRODUCT(PRODUCT(1+Q15:Q$26)),4)</f>
        <v>1.1733</v>
      </c>
      <c r="AC15" s="1787"/>
      <c r="AD15" s="1786">
        <f>ROUND(AVERAGE(I15:I$27)/100,4)</f>
        <v>2.3900000000000001E-2</v>
      </c>
      <c r="AE15" s="1786">
        <f>ROUND(AVERAGE(J15:J$27)/100,4)</f>
        <v>1.5699999999999999E-2</v>
      </c>
      <c r="AF15" s="1786">
        <f t="shared" si="1"/>
        <v>1.5699999999999999E-2</v>
      </c>
      <c r="AG15" s="1786">
        <f>ROUND(AVERAGE(K15:K$27)/100,4)</f>
        <v>2.6599999999999999E-2</v>
      </c>
      <c r="AH15" s="1786">
        <f>ROUND(AVERAGE(L15:L$27)/100,4)</f>
        <v>1.34E-2</v>
      </c>
    </row>
    <row r="16" spans="1:34">
      <c r="A16" s="1459" t="s">
        <v>154</v>
      </c>
      <c r="B16" s="1467">
        <v>392</v>
      </c>
      <c r="C16" s="1467">
        <v>302</v>
      </c>
      <c r="D16" s="1467">
        <f>C16</f>
        <v>302</v>
      </c>
      <c r="E16" s="1467">
        <v>553</v>
      </c>
      <c r="F16" s="1468">
        <v>266</v>
      </c>
      <c r="G16" s="3281">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276"/>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276"/>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277"/>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275">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276"/>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276"/>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277"/>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275">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276"/>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276"/>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277"/>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4">
        <f>I27/100</f>
        <v>2.9700000000000001E-2</v>
      </c>
      <c r="AE27" s="1724">
        <f>J27/100</f>
        <v>2.3399999999999997E-2</v>
      </c>
      <c r="AF27" s="1724">
        <f>AE27</f>
        <v>2.3399999999999997E-2</v>
      </c>
      <c r="AG27" s="1724">
        <f>K27/100</f>
        <v>3.2799999999999996E-2</v>
      </c>
      <c r="AH27" s="1724">
        <f>L27/100</f>
        <v>1.3600000000000001E-2</v>
      </c>
    </row>
    <row r="28" spans="1:34" ht="13.5" thickBot="1">
      <c r="A28" s="1459" t="s">
        <v>1159</v>
      </c>
      <c r="B28" s="1467">
        <v>299</v>
      </c>
      <c r="C28" s="1467">
        <v>252</v>
      </c>
      <c r="D28" s="1467">
        <f t="shared" si="97"/>
        <v>252</v>
      </c>
      <c r="E28" s="1467">
        <v>409</v>
      </c>
      <c r="F28" s="1468">
        <v>227</v>
      </c>
      <c r="G28" s="3282">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283"/>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283"/>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284"/>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275">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276"/>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276"/>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277"/>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275">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276">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276">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277">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275">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276">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276">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277">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275">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276">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276">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277">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275">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276">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276">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277">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275">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276">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276">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277">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275">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276">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276">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277">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275">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276">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276">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277">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275">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276">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276">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277">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275">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276">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276">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277">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275">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276">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276">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277">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1616</v>
      </c>
      <c r="B1" s="1955"/>
      <c r="C1" s="1955"/>
      <c r="D1" s="1955"/>
      <c r="E1" s="1955"/>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57"/>
      <c r="B4" s="2966" t="s">
        <v>1625</v>
      </c>
      <c r="C4" s="2966"/>
      <c r="D4" s="2966"/>
      <c r="E4" s="1957"/>
    </row>
    <row r="5" spans="1:5" ht="16.5" thickTop="1">
      <c r="A5" s="1955"/>
      <c r="B5" s="2964" t="s">
        <v>1617</v>
      </c>
      <c r="C5" s="1958" t="s">
        <v>1618</v>
      </c>
      <c r="D5" s="1038">
        <f ca="1">结果表!H101</f>
        <v>2338</v>
      </c>
      <c r="E5" s="1955"/>
    </row>
    <row r="6" spans="1:5" ht="15.75">
      <c r="A6" s="1955"/>
      <c r="B6" s="2964"/>
      <c r="C6" s="1958" t="s">
        <v>1619</v>
      </c>
      <c r="D6" s="1038" t="str">
        <f ca="1">NUMBERSTRING(INT(D5*10000),2)&amp;"元整"</f>
        <v>贰仟叁佰叁拾捌万元整</v>
      </c>
      <c r="E6" s="1955"/>
    </row>
    <row r="7" spans="1:5" ht="15.75">
      <c r="A7" s="1955"/>
      <c r="B7" s="2969"/>
      <c r="C7" s="1959" t="s">
        <v>1620</v>
      </c>
      <c r="D7" s="1039">
        <f ca="1">结果表!H102</f>
        <v>61526</v>
      </c>
      <c r="E7" s="1955"/>
    </row>
    <row r="8" spans="1:5" ht="15.75">
      <c r="A8" s="1955"/>
      <c r="B8" s="2970" t="str">
        <f>结果表!E103</f>
        <v>2.估价师知悉的法定优先受偿款</v>
      </c>
      <c r="C8" s="1960" t="s">
        <v>1621</v>
      </c>
      <c r="D8" s="1039">
        <f>结果表!H103</f>
        <v>0</v>
      </c>
      <c r="E8" s="1955"/>
    </row>
    <row r="9" spans="1:5" ht="15.75">
      <c r="A9" s="1955"/>
      <c r="B9" s="2972"/>
      <c r="C9" s="1958" t="s">
        <v>1619</v>
      </c>
      <c r="D9" s="1038" t="str">
        <f>NUMBERSTRING(INT(D8*10000),2)&amp;"元整"</f>
        <v>零元整</v>
      </c>
      <c r="E9" s="1955"/>
    </row>
    <row r="10" spans="1:5" ht="15">
      <c r="A10" s="1955"/>
      <c r="B10" s="1961" t="s">
        <v>1624</v>
      </c>
      <c r="C10" s="1962" t="s">
        <v>1622</v>
      </c>
      <c r="D10" s="1040">
        <f>结果表!H104</f>
        <v>0</v>
      </c>
      <c r="E10" s="1955"/>
    </row>
    <row r="11" spans="1:5" ht="15">
      <c r="A11" s="1955"/>
      <c r="B11" s="1961" t="s">
        <v>1626</v>
      </c>
      <c r="C11" s="1962" t="s">
        <v>1627</v>
      </c>
      <c r="D11" s="1040">
        <f>结果表!H105</f>
        <v>0</v>
      </c>
      <c r="E11" s="1955"/>
    </row>
    <row r="12" spans="1:5" ht="15">
      <c r="A12" s="1955"/>
      <c r="B12" s="1961" t="s">
        <v>1628</v>
      </c>
      <c r="C12" s="1962" t="s">
        <v>1627</v>
      </c>
      <c r="D12" s="1040">
        <f>结果表!H106</f>
        <v>0</v>
      </c>
      <c r="E12" s="1955"/>
    </row>
    <row r="13" spans="1:5" ht="15.75">
      <c r="A13" s="1955"/>
      <c r="B13" s="2963" t="str">
        <f>结果表!E107</f>
        <v>3.房地产抵押价值</v>
      </c>
      <c r="C13" s="1963" t="s">
        <v>1618</v>
      </c>
      <c r="D13" s="1041">
        <f ca="1">结果表!H107</f>
        <v>2338</v>
      </c>
      <c r="E13" s="1955"/>
    </row>
    <row r="14" spans="1:5" ht="15.75">
      <c r="A14" s="1955"/>
      <c r="B14" s="2964"/>
      <c r="C14" s="1958" t="s">
        <v>1619</v>
      </c>
      <c r="D14" s="1038" t="str">
        <f ca="1">NUMBERSTRING(INT(D13*10000),2)&amp;"元整"</f>
        <v>贰仟叁佰叁拾捌万元整</v>
      </c>
      <c r="E14" s="1955"/>
    </row>
    <row r="15" spans="1:5" ht="15">
      <c r="A15" s="1955"/>
      <c r="B15" s="2969"/>
      <c r="C15" s="1959" t="s">
        <v>1629</v>
      </c>
      <c r="D15" s="1050">
        <f ca="1">结果表!H108</f>
        <v>61526</v>
      </c>
      <c r="E15" s="1955"/>
    </row>
    <row r="16" spans="1:5" ht="15">
      <c r="A16" s="1955"/>
      <c r="B16" s="2970" t="str">
        <f>结果表!E109</f>
        <v>4.抵押担保权已注销时的房地产抵押价值</v>
      </c>
      <c r="C16" s="1963" t="s">
        <v>1630</v>
      </c>
      <c r="D16" s="1964">
        <f ca="1">结果表!H109</f>
        <v>2338</v>
      </c>
      <c r="E16" s="1955"/>
    </row>
    <row r="17" spans="1:5" ht="15.75">
      <c r="A17" s="1955"/>
      <c r="B17" s="2971"/>
      <c r="C17" s="1958" t="s">
        <v>1631</v>
      </c>
      <c r="D17" s="1038" t="str">
        <f ca="1">NUMBERSTRING(INT(D16*10000),2)&amp;"元整"</f>
        <v>贰仟叁佰叁拾捌万元整</v>
      </c>
      <c r="E17" s="1955"/>
    </row>
    <row r="18" spans="1:5" ht="15">
      <c r="A18" s="1955"/>
      <c r="B18" s="2972"/>
      <c r="C18" s="1959" t="s">
        <v>1620</v>
      </c>
      <c r="D18" s="1050">
        <f ca="1">结果表!H110</f>
        <v>61526</v>
      </c>
      <c r="E18" s="1955"/>
    </row>
    <row r="19" spans="1:5" ht="15.75">
      <c r="A19" s="1955"/>
      <c r="B19" s="2963" t="str">
        <f>结果表!E111</f>
        <v>——</v>
      </c>
      <c r="C19" s="1963" t="s">
        <v>1618</v>
      </c>
      <c r="D19" s="1039" t="str">
        <f>结果表!H111</f>
        <v>——</v>
      </c>
      <c r="E19" s="1955"/>
    </row>
    <row r="20" spans="1:5" ht="15.75">
      <c r="A20" s="1955"/>
      <c r="B20" s="2964"/>
      <c r="C20" s="1958" t="s">
        <v>1631</v>
      </c>
      <c r="D20" s="1038" t="e">
        <f>NUMBERSTRING(INT(D19*10000),2)&amp;"元整"</f>
        <v>#VALUE!</v>
      </c>
      <c r="E20" s="1955"/>
    </row>
    <row r="21" spans="1:5" ht="15.75" thickBot="1">
      <c r="A21" s="1955"/>
      <c r="B21" s="2965"/>
      <c r="C21" s="1965" t="s">
        <v>1629</v>
      </c>
      <c r="D21" s="1051" t="str">
        <f>结果表!H112</f>
        <v>——</v>
      </c>
      <c r="E21" s="1955"/>
    </row>
    <row r="22" spans="1:5" ht="15" thickTop="1">
      <c r="A22" s="1955"/>
      <c r="B22" s="1966" t="s">
        <v>1632</v>
      </c>
      <c r="C22" s="1955"/>
      <c r="D22" s="1955"/>
      <c r="E22" s="1955"/>
    </row>
    <row r="23" spans="1:5">
      <c r="A23" s="1955"/>
      <c r="B23" s="1955"/>
      <c r="C23" s="1955"/>
      <c r="D23" s="1955"/>
      <c r="E23" s="1955"/>
    </row>
    <row r="24" spans="1:5" ht="18.75">
      <c r="A24" s="1967"/>
      <c r="B24" s="1968" t="s">
        <v>1623</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188" activePane="bottomLeft" state="frozen"/>
      <selection activeCell="C50" sqref="C50"/>
      <selection pane="bottomLeft" activeCell="B21" sqref="B2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3002</v>
      </c>
      <c r="C1" s="3287" t="s">
        <v>3003</v>
      </c>
      <c r="D1" s="3288"/>
      <c r="E1" s="3288"/>
      <c r="F1" s="3288"/>
      <c r="G1" s="3288"/>
      <c r="H1" s="3288"/>
      <c r="I1" s="3288"/>
      <c r="J1" s="3288"/>
      <c r="K1" s="3288"/>
      <c r="L1" s="3288"/>
      <c r="M1" s="3288"/>
      <c r="N1" s="3288"/>
      <c r="O1" s="3288"/>
      <c r="P1" s="3288"/>
      <c r="Q1" s="3288"/>
      <c r="R1" s="3288"/>
      <c r="S1" s="3289"/>
      <c r="T1" s="1202" t="s">
        <v>3004</v>
      </c>
    </row>
    <row r="2" spans="1:45" s="707" customFormat="1" ht="38.25">
      <c r="A2" s="1203"/>
      <c r="B2" s="703" t="s">
        <v>3005</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500(含)-600</v>
      </c>
      <c r="I2" s="705" t="str">
        <f t="shared" si="0"/>
        <v>600(含)-700</v>
      </c>
      <c r="J2" s="705" t="str">
        <f t="shared" si="0"/>
        <v>700(含)-800</v>
      </c>
      <c r="K2" s="705" t="str">
        <f t="shared" si="0"/>
        <v>800(含)-900</v>
      </c>
      <c r="L2" s="705" t="str">
        <f t="shared" si="0"/>
        <v>900(含)-1000</v>
      </c>
      <c r="M2" s="705" t="str">
        <f t="shared" ref="M2" si="1">M3&amp;"(含)"&amp;"-"&amp;N3</f>
        <v>1000(含)-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100</v>
      </c>
      <c r="E3" s="595">
        <v>200</v>
      </c>
      <c r="F3" s="595">
        <v>300</v>
      </c>
      <c r="G3" s="595">
        <v>400</v>
      </c>
      <c r="H3" s="595">
        <v>500</v>
      </c>
      <c r="I3" s="595">
        <v>600</v>
      </c>
      <c r="J3" s="595">
        <v>700</v>
      </c>
      <c r="K3" s="595">
        <v>800</v>
      </c>
      <c r="L3" s="595">
        <v>900</v>
      </c>
      <c r="M3" s="595">
        <v>1000</v>
      </c>
      <c r="N3" s="1703"/>
      <c r="O3" s="1702"/>
      <c r="P3" s="1702"/>
      <c r="Q3" s="1702"/>
      <c r="R3" s="1702"/>
      <c r="S3" s="1704"/>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96</v>
      </c>
      <c r="D4" s="536">
        <v>97</v>
      </c>
      <c r="E4" s="536">
        <v>98</v>
      </c>
      <c r="F4" s="536">
        <v>99</v>
      </c>
      <c r="G4" s="536">
        <v>100</v>
      </c>
      <c r="H4" s="536">
        <v>99</v>
      </c>
      <c r="I4" s="536">
        <v>98</v>
      </c>
      <c r="J4" s="536">
        <v>97</v>
      </c>
      <c r="K4" s="536">
        <v>96</v>
      </c>
      <c r="L4" s="536">
        <v>95</v>
      </c>
      <c r="M4" s="536">
        <v>94</v>
      </c>
      <c r="N4" s="1706"/>
      <c r="O4" s="1705"/>
      <c r="P4" s="1705"/>
      <c r="Q4" s="1705"/>
      <c r="R4" s="1705"/>
      <c r="S4" s="1707"/>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4.25" thickTop="1">
      <c r="A5" s="1213"/>
      <c r="B5" s="2959" t="s">
        <v>3311</v>
      </c>
      <c r="C5" s="2955" t="s">
        <v>3299</v>
      </c>
      <c r="D5" s="2955" t="s">
        <v>3301</v>
      </c>
      <c r="E5" s="2955" t="s">
        <v>3303</v>
      </c>
      <c r="F5" s="1708"/>
      <c r="G5" s="1708"/>
      <c r="H5" s="1708"/>
      <c r="I5" s="1708"/>
      <c r="J5" s="1708"/>
      <c r="K5" s="1708"/>
      <c r="L5" s="1709"/>
      <c r="M5" s="1710"/>
      <c r="N5" s="1710"/>
      <c r="O5" s="1708"/>
      <c r="P5" s="1708"/>
      <c r="Q5" s="1708"/>
      <c r="R5" s="1708"/>
      <c r="S5" s="1711"/>
      <c r="T5" s="1217">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98</v>
      </c>
      <c r="E6" s="1117">
        <f t="shared" ref="E6:S6" si="7">D6-$T5</f>
        <v>96</v>
      </c>
      <c r="F6" s="1712">
        <f t="shared" si="7"/>
        <v>94</v>
      </c>
      <c r="G6" s="1712">
        <f t="shared" si="7"/>
        <v>92</v>
      </c>
      <c r="H6" s="1712">
        <f t="shared" si="7"/>
        <v>90</v>
      </c>
      <c r="I6" s="1712">
        <f t="shared" si="7"/>
        <v>88</v>
      </c>
      <c r="J6" s="1712">
        <f t="shared" si="7"/>
        <v>86</v>
      </c>
      <c r="K6" s="1712">
        <f t="shared" si="7"/>
        <v>84</v>
      </c>
      <c r="L6" s="1712">
        <f t="shared" si="7"/>
        <v>82</v>
      </c>
      <c r="M6" s="1712">
        <f t="shared" si="7"/>
        <v>80</v>
      </c>
      <c r="N6" s="1712">
        <f t="shared" si="7"/>
        <v>78</v>
      </c>
      <c r="O6" s="1712">
        <f t="shared" si="7"/>
        <v>76</v>
      </c>
      <c r="P6" s="1712">
        <f t="shared" si="7"/>
        <v>74</v>
      </c>
      <c r="Q6" s="1712">
        <f t="shared" si="7"/>
        <v>72</v>
      </c>
      <c r="R6" s="1712">
        <f t="shared" si="7"/>
        <v>70</v>
      </c>
      <c r="S6" s="1712">
        <f t="shared" si="7"/>
        <v>68</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7" t="s">
        <v>3006</v>
      </c>
      <c r="C7" s="1119"/>
      <c r="D7" s="1113"/>
      <c r="E7" s="1113"/>
      <c r="F7" s="1713"/>
      <c r="G7" s="1713"/>
      <c r="H7" s="1713"/>
      <c r="I7" s="1713"/>
      <c r="J7" s="1713"/>
      <c r="K7" s="1713"/>
      <c r="L7" s="1713"/>
      <c r="M7" s="1714"/>
      <c r="N7" s="1715"/>
      <c r="O7" s="1716"/>
      <c r="P7" s="1717"/>
      <c r="Q7" s="1718"/>
      <c r="R7" s="1719"/>
      <c r="S7" s="1720"/>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7" t="s">
        <v>3007</v>
      </c>
      <c r="C9" s="1119"/>
      <c r="D9" s="1113"/>
      <c r="E9" s="1113"/>
      <c r="F9" s="1713"/>
      <c r="G9" s="1713"/>
      <c r="H9" s="1713"/>
      <c r="I9" s="1713"/>
      <c r="J9" s="1713"/>
      <c r="K9" s="1713"/>
      <c r="L9" s="1721"/>
      <c r="M9" s="1714"/>
      <c r="N9" s="1715"/>
      <c r="O9" s="1716"/>
      <c r="P9" s="1717"/>
      <c r="Q9" s="1718"/>
      <c r="R9" s="1719"/>
      <c r="S9" s="1720"/>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6" t="s">
        <v>3008</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6" t="s">
        <v>3009</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6" t="s">
        <v>3010</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5" t="s">
        <v>3011</v>
      </c>
      <c r="B17" s="2906" t="s">
        <v>3012</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07" t="s">
        <v>3013</v>
      </c>
      <c r="E19" s="1789"/>
      <c r="F19" s="1789"/>
      <c r="G19" s="1789"/>
      <c r="H19" s="1278"/>
      <c r="I19" s="168"/>
      <c r="J19" s="168"/>
      <c r="K19" s="168"/>
      <c r="L19" s="168"/>
      <c r="M19" s="168"/>
      <c r="N19" s="168"/>
      <c r="O19" s="168"/>
      <c r="P19" s="168"/>
      <c r="Q19" s="168"/>
      <c r="R19" s="786"/>
      <c r="S19" s="138"/>
    </row>
    <row r="20" spans="1:45" ht="16.5" thickBot="1">
      <c r="A20" s="713" t="s">
        <v>3014</v>
      </c>
      <c r="B20" s="338">
        <f ca="1">IF(D20="——",S22,S22-F20)</f>
        <v>314815</v>
      </c>
      <c r="C20" s="168"/>
      <c r="D20" s="2908" t="s">
        <v>70</v>
      </c>
      <c r="E20" s="1790"/>
      <c r="F20" s="1202" t="e">
        <f ca="1">SUMIF(INDIRECT("'"&amp;H20&amp;"'"&amp;"!A:A"),"承租人权益价值",INDIRECT("'"&amp;H20&amp;"'"&amp;"!c:c"))</f>
        <v>#REF!</v>
      </c>
      <c r="G20" s="1202" t="s">
        <v>3015</v>
      </c>
      <c r="H20" s="2909"/>
      <c r="I20" s="168"/>
      <c r="J20" s="168"/>
      <c r="K20" s="168"/>
      <c r="L20" s="168"/>
      <c r="M20" s="168"/>
      <c r="N20" s="168"/>
      <c r="O20" s="168"/>
      <c r="P20" s="168"/>
      <c r="Q20" s="168"/>
      <c r="R20" s="786"/>
      <c r="S20" s="138"/>
    </row>
    <row r="21" spans="1:45" ht="15.75">
      <c r="A21" s="713" t="s">
        <v>3016</v>
      </c>
      <c r="B21" s="338">
        <f ca="1">R22</f>
        <v>61446</v>
      </c>
      <c r="C21" s="168"/>
      <c r="D21" s="168"/>
      <c r="E21" s="168"/>
      <c r="F21" s="168"/>
      <c r="G21" s="168"/>
      <c r="H21" s="168"/>
      <c r="I21" s="168"/>
      <c r="J21" s="168"/>
      <c r="K21" s="168"/>
      <c r="L21" s="168"/>
      <c r="M21" s="168"/>
      <c r="N21" s="168"/>
      <c r="O21" s="168"/>
      <c r="P21" s="168"/>
      <c r="Q21" s="168"/>
      <c r="R21" s="786"/>
      <c r="S21" s="138"/>
    </row>
    <row r="22" spans="1:45">
      <c r="A22" s="361" t="s">
        <v>3017</v>
      </c>
      <c r="B22" s="24">
        <f>SUM(B24:B10000)</f>
        <v>51234.81</v>
      </c>
      <c r="C22" s="3144" t="s">
        <v>33</v>
      </c>
      <c r="D22" s="3145"/>
      <c r="E22" s="3145"/>
      <c r="F22" s="3145"/>
      <c r="G22" s="3145"/>
      <c r="H22" s="3145"/>
      <c r="I22" s="3145"/>
      <c r="J22" s="3145"/>
      <c r="K22" s="3145"/>
      <c r="L22" s="3145"/>
      <c r="M22" s="3145"/>
      <c r="N22" s="3145"/>
      <c r="O22" s="3145"/>
      <c r="P22" s="3145"/>
      <c r="Q22" s="3286"/>
      <c r="R22" s="714">
        <f ca="1">ROUND(S22*10000/B22,0)</f>
        <v>61446</v>
      </c>
      <c r="S22" s="24">
        <f ca="1">SUM(S24:S10000)</f>
        <v>314815</v>
      </c>
    </row>
    <row r="23" spans="1:45" s="12" customFormat="1" ht="24">
      <c r="A23" s="11" t="s">
        <v>3018</v>
      </c>
      <c r="B23" s="11" t="s">
        <v>3019</v>
      </c>
      <c r="C23" s="11" t="s">
        <v>3020</v>
      </c>
      <c r="D23" s="11" t="str">
        <f>B5</f>
        <v>楼层</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抵押物清单!B80</f>
        <v>1401</v>
      </c>
      <c r="B24" s="716">
        <f>抵押物清单!D80</f>
        <v>380</v>
      </c>
      <c r="C24" s="717">
        <v>1</v>
      </c>
      <c r="D24" s="718" t="s">
        <v>3300</v>
      </c>
      <c r="E24" s="717">
        <v>1</v>
      </c>
      <c r="F24" s="718"/>
      <c r="G24" s="717">
        <v>1</v>
      </c>
      <c r="H24" s="718"/>
      <c r="I24" s="717">
        <v>1</v>
      </c>
      <c r="J24" s="718"/>
      <c r="K24" s="717">
        <v>1</v>
      </c>
      <c r="L24" s="718"/>
      <c r="M24" s="717">
        <v>1</v>
      </c>
      <c r="N24" s="718"/>
      <c r="O24" s="717">
        <v>1</v>
      </c>
      <c r="P24" s="718"/>
      <c r="Q24" s="717">
        <v>1</v>
      </c>
      <c r="R24" s="719">
        <f ca="1">结果表!I118</f>
        <v>61526</v>
      </c>
      <c r="S24" s="717">
        <f t="shared" ref="S24:S54" ca="1" si="11">ROUND(R24*B24/10000,0)</f>
        <v>2338</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f>抵押物清单!B2</f>
        <v>301</v>
      </c>
      <c r="B25" s="59">
        <f>抵押物清单!D2</f>
        <v>906.7</v>
      </c>
      <c r="C25" s="24">
        <f>IF(B25="",1,(LOOKUP(B25,$3:$3,$4:$4)-LOOKUP($B$24,$3:$3,$4:$4)+100)/100)</f>
        <v>0.96</v>
      </c>
      <c r="D25" s="2960" t="s">
        <v>3302</v>
      </c>
      <c r="E25" s="24">
        <f>(SUMIF($5:$5,D25,$6:$6)-SUMIF($5:$5,$D$24,$6:$6)+100)/100</f>
        <v>0.98</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57884</v>
      </c>
      <c r="S25" s="361">
        <f t="shared" ca="1" si="11"/>
        <v>5248</v>
      </c>
    </row>
    <row r="26" spans="1:45">
      <c r="A26" s="159">
        <f>抵押物清单!B3</f>
        <v>401</v>
      </c>
      <c r="B26" s="59">
        <f>抵押物清单!D3</f>
        <v>614.6</v>
      </c>
      <c r="C26" s="24">
        <f t="shared" ref="C26:C89" si="12">IF(B26="",1,(LOOKUP(B26,$3:$3,$4:$4)-LOOKUP($B$24,$3:$3,$4:$4)+100)/100)</f>
        <v>0.99</v>
      </c>
      <c r="D26" s="2960" t="s">
        <v>3302</v>
      </c>
      <c r="E26" s="24">
        <f t="shared" ref="E26:E89" si="13">(SUMIF($5:$5,D26,$6:$6)-SUMIF($5:$5,$D$24,$6:$6)+100)/100</f>
        <v>0.98</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ca="1" si="20">IF(B26="",0,ROUND($R$24*C26*E26*G26*I26*K26*M26*O26*Q26,0))</f>
        <v>59693</v>
      </c>
      <c r="S26" s="361">
        <f t="shared" ca="1" si="11"/>
        <v>3669</v>
      </c>
    </row>
    <row r="27" spans="1:45">
      <c r="A27" s="159">
        <f>抵押物清单!B4</f>
        <v>501</v>
      </c>
      <c r="B27" s="59">
        <f>抵押物清单!D4</f>
        <v>616.82000000000005</v>
      </c>
      <c r="C27" s="24">
        <f t="shared" si="12"/>
        <v>0.99</v>
      </c>
      <c r="D27" s="2960" t="s">
        <v>3302</v>
      </c>
      <c r="E27" s="24">
        <f t="shared" si="13"/>
        <v>0.98</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ca="1" si="20"/>
        <v>59693</v>
      </c>
      <c r="S27" s="361">
        <f t="shared" ca="1" si="11"/>
        <v>3682</v>
      </c>
    </row>
    <row r="28" spans="1:45">
      <c r="A28" s="159">
        <f>抵押物清单!B5</f>
        <v>601</v>
      </c>
      <c r="B28" s="59">
        <f>抵押物清单!D5</f>
        <v>372.91</v>
      </c>
      <c r="C28" s="24">
        <f t="shared" si="12"/>
        <v>1</v>
      </c>
      <c r="D28" s="2960" t="s">
        <v>3302</v>
      </c>
      <c r="E28" s="24">
        <f t="shared" si="13"/>
        <v>0.98</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ca="1" si="20"/>
        <v>60295</v>
      </c>
      <c r="S28" s="361">
        <f t="shared" ca="1" si="11"/>
        <v>2248</v>
      </c>
    </row>
    <row r="29" spans="1:45">
      <c r="A29" s="159">
        <f>抵押物清单!B6</f>
        <v>602</v>
      </c>
      <c r="B29" s="59">
        <f>抵押物清单!D6</f>
        <v>275.72000000000003</v>
      </c>
      <c r="C29" s="24">
        <f t="shared" si="12"/>
        <v>0.99</v>
      </c>
      <c r="D29" s="2960" t="s">
        <v>3302</v>
      </c>
      <c r="E29" s="24">
        <f t="shared" si="13"/>
        <v>0.98</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ca="1" si="20"/>
        <v>59693</v>
      </c>
      <c r="S29" s="361">
        <f t="shared" ca="1" si="11"/>
        <v>1646</v>
      </c>
    </row>
    <row r="30" spans="1:45">
      <c r="A30" s="159">
        <f>抵押物清单!B7</f>
        <v>603</v>
      </c>
      <c r="B30" s="59">
        <f>抵押物清单!D7</f>
        <v>144.9</v>
      </c>
      <c r="C30" s="24">
        <f t="shared" si="12"/>
        <v>0.98</v>
      </c>
      <c r="D30" s="2960" t="s">
        <v>3302</v>
      </c>
      <c r="E30" s="24">
        <f t="shared" si="13"/>
        <v>0.98</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ca="1" si="20"/>
        <v>59090</v>
      </c>
      <c r="S30" s="361">
        <f t="shared" ca="1" si="11"/>
        <v>856</v>
      </c>
    </row>
    <row r="31" spans="1:45">
      <c r="A31" s="159">
        <f>抵押物清单!B8</f>
        <v>604</v>
      </c>
      <c r="B31" s="59">
        <f>抵押物清单!D8</f>
        <v>471.02</v>
      </c>
      <c r="C31" s="24">
        <f t="shared" si="12"/>
        <v>1.01</v>
      </c>
      <c r="D31" s="2960" t="s">
        <v>3302</v>
      </c>
      <c r="E31" s="24">
        <f t="shared" si="13"/>
        <v>0.98</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ca="1" si="20"/>
        <v>60898</v>
      </c>
      <c r="S31" s="361">
        <f t="shared" ca="1" si="11"/>
        <v>2868</v>
      </c>
    </row>
    <row r="32" spans="1:45">
      <c r="A32" s="159">
        <f>抵押物清单!B9</f>
        <v>605</v>
      </c>
      <c r="B32" s="59">
        <f>抵押物清单!D9</f>
        <v>297.75</v>
      </c>
      <c r="C32" s="24">
        <f t="shared" si="12"/>
        <v>0.99</v>
      </c>
      <c r="D32" s="2960" t="s">
        <v>3302</v>
      </c>
      <c r="E32" s="24">
        <f t="shared" si="13"/>
        <v>0.98</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ca="1" si="20"/>
        <v>59693</v>
      </c>
      <c r="S32" s="361">
        <f t="shared" ca="1" si="11"/>
        <v>1777</v>
      </c>
    </row>
    <row r="33" spans="1:19">
      <c r="A33" s="159">
        <f>抵押物清单!B10</f>
        <v>701</v>
      </c>
      <c r="B33" s="59">
        <f>抵押物清单!D10</f>
        <v>375.27</v>
      </c>
      <c r="C33" s="24">
        <f t="shared" si="12"/>
        <v>1</v>
      </c>
      <c r="D33" s="2960" t="s">
        <v>3302</v>
      </c>
      <c r="E33" s="24">
        <f t="shared" si="13"/>
        <v>0.98</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ca="1" si="20"/>
        <v>60295</v>
      </c>
      <c r="S33" s="361">
        <f t="shared" ca="1" si="11"/>
        <v>2263</v>
      </c>
    </row>
    <row r="34" spans="1:19">
      <c r="A34" s="159">
        <f>抵押物清单!B11</f>
        <v>702</v>
      </c>
      <c r="B34" s="59">
        <f>抵押物清单!D11</f>
        <v>283.95999999999998</v>
      </c>
      <c r="C34" s="24">
        <f t="shared" si="12"/>
        <v>0.99</v>
      </c>
      <c r="D34" s="2960" t="s">
        <v>3302</v>
      </c>
      <c r="E34" s="24">
        <f t="shared" si="13"/>
        <v>0.98</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ca="1" si="20"/>
        <v>59693</v>
      </c>
      <c r="S34" s="361">
        <f t="shared" ca="1" si="11"/>
        <v>1695</v>
      </c>
    </row>
    <row r="35" spans="1:19">
      <c r="A35" s="159">
        <f>抵押物清单!B12</f>
        <v>703</v>
      </c>
      <c r="B35" s="59">
        <f>抵押物清单!D12</f>
        <v>138.26</v>
      </c>
      <c r="C35" s="24">
        <f t="shared" si="12"/>
        <v>0.98</v>
      </c>
      <c r="D35" s="2960" t="s">
        <v>3302</v>
      </c>
      <c r="E35" s="24">
        <f t="shared" si="13"/>
        <v>0.98</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ca="1" si="20"/>
        <v>59090</v>
      </c>
      <c r="S35" s="361">
        <f t="shared" ca="1" si="11"/>
        <v>817</v>
      </c>
    </row>
    <row r="36" spans="1:19">
      <c r="A36" s="159">
        <f>抵押物清单!B13</f>
        <v>704</v>
      </c>
      <c r="B36" s="59">
        <f>抵押物清单!D13</f>
        <v>375.27</v>
      </c>
      <c r="C36" s="24">
        <f t="shared" si="12"/>
        <v>1</v>
      </c>
      <c r="D36" s="2960" t="s">
        <v>3302</v>
      </c>
      <c r="E36" s="24">
        <f t="shared" si="13"/>
        <v>0.98</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ca="1" si="20"/>
        <v>60295</v>
      </c>
      <c r="S36" s="361">
        <f t="shared" ca="1" si="11"/>
        <v>2263</v>
      </c>
    </row>
    <row r="37" spans="1:19">
      <c r="A37" s="159">
        <f>抵押物清单!B14</f>
        <v>705</v>
      </c>
      <c r="B37" s="59">
        <f>抵押物清单!D14</f>
        <v>198.51</v>
      </c>
      <c r="C37" s="24">
        <f t="shared" si="12"/>
        <v>0.98</v>
      </c>
      <c r="D37" s="2960" t="s">
        <v>3302</v>
      </c>
      <c r="E37" s="24">
        <f t="shared" si="13"/>
        <v>0.98</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ca="1" si="20"/>
        <v>59090</v>
      </c>
      <c r="S37" s="361">
        <f t="shared" ca="1" si="11"/>
        <v>1173</v>
      </c>
    </row>
    <row r="38" spans="1:19">
      <c r="A38" s="159">
        <f>抵押物清单!B15</f>
        <v>706</v>
      </c>
      <c r="B38" s="59">
        <f>抵押物清单!D15</f>
        <v>375.27</v>
      </c>
      <c r="C38" s="24">
        <f t="shared" si="12"/>
        <v>1</v>
      </c>
      <c r="D38" s="2960" t="s">
        <v>3302</v>
      </c>
      <c r="E38" s="24">
        <f t="shared" si="13"/>
        <v>0.98</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ca="1" si="20"/>
        <v>60295</v>
      </c>
      <c r="S38" s="361">
        <f t="shared" ca="1" si="11"/>
        <v>2263</v>
      </c>
    </row>
    <row r="39" spans="1:19">
      <c r="A39" s="159">
        <f>抵押物清单!B16</f>
        <v>707</v>
      </c>
      <c r="B39" s="59">
        <f>抵押物清单!D16</f>
        <v>138.26</v>
      </c>
      <c r="C39" s="24">
        <f t="shared" si="12"/>
        <v>0.98</v>
      </c>
      <c r="D39" s="2960" t="s">
        <v>3302</v>
      </c>
      <c r="E39" s="24">
        <f t="shared" si="13"/>
        <v>0.98</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ca="1" si="20"/>
        <v>59090</v>
      </c>
      <c r="S39" s="361">
        <f t="shared" ca="1" si="11"/>
        <v>817</v>
      </c>
    </row>
    <row r="40" spans="1:19">
      <c r="A40" s="159">
        <f>抵押物清单!B17</f>
        <v>708</v>
      </c>
      <c r="B40" s="59">
        <f>抵押物清单!D17</f>
        <v>284.52</v>
      </c>
      <c r="C40" s="24">
        <f t="shared" si="12"/>
        <v>0.99</v>
      </c>
      <c r="D40" s="2960" t="s">
        <v>3302</v>
      </c>
      <c r="E40" s="24">
        <f t="shared" si="13"/>
        <v>0.98</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ca="1" si="20"/>
        <v>59693</v>
      </c>
      <c r="S40" s="361">
        <f t="shared" ca="1" si="11"/>
        <v>1698</v>
      </c>
    </row>
    <row r="41" spans="1:19">
      <c r="A41" s="159">
        <f>抵押物清单!B18</f>
        <v>709</v>
      </c>
      <c r="B41" s="59">
        <f>抵押物清单!D18</f>
        <v>375.27</v>
      </c>
      <c r="C41" s="24">
        <f t="shared" si="12"/>
        <v>1</v>
      </c>
      <c r="D41" s="2960" t="s">
        <v>3302</v>
      </c>
      <c r="E41" s="24">
        <f t="shared" si="13"/>
        <v>0.98</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ca="1" si="20"/>
        <v>60295</v>
      </c>
      <c r="S41" s="361">
        <f t="shared" ca="1" si="11"/>
        <v>2263</v>
      </c>
    </row>
    <row r="42" spans="1:19">
      <c r="A42" s="159">
        <f>抵押物清单!B19</f>
        <v>710</v>
      </c>
      <c r="B42" s="59">
        <f>抵押物清单!D19</f>
        <v>198.51</v>
      </c>
      <c r="C42" s="24">
        <f t="shared" si="12"/>
        <v>0.98</v>
      </c>
      <c r="D42" s="2960" t="s">
        <v>3302</v>
      </c>
      <c r="E42" s="24">
        <f t="shared" si="13"/>
        <v>0.98</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ca="1" si="20"/>
        <v>59090</v>
      </c>
      <c r="S42" s="361">
        <f t="shared" ca="1" si="11"/>
        <v>1173</v>
      </c>
    </row>
    <row r="43" spans="1:19">
      <c r="A43" s="159">
        <f>抵押物清单!B20</f>
        <v>801</v>
      </c>
      <c r="B43" s="59">
        <f>抵押物清单!D20</f>
        <v>375.27</v>
      </c>
      <c r="C43" s="24">
        <f t="shared" si="12"/>
        <v>1</v>
      </c>
      <c r="D43" s="2960" t="s">
        <v>3302</v>
      </c>
      <c r="E43" s="24">
        <f t="shared" si="13"/>
        <v>0.98</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ca="1" si="20"/>
        <v>60295</v>
      </c>
      <c r="S43" s="361">
        <f t="shared" ca="1" si="11"/>
        <v>2263</v>
      </c>
    </row>
    <row r="44" spans="1:19">
      <c r="A44" s="159">
        <f>抵押物清单!B21</f>
        <v>802</v>
      </c>
      <c r="B44" s="59">
        <f>抵押物清单!D21</f>
        <v>283.95999999999998</v>
      </c>
      <c r="C44" s="24">
        <f t="shared" si="12"/>
        <v>0.99</v>
      </c>
      <c r="D44" s="2960" t="s">
        <v>3302</v>
      </c>
      <c r="E44" s="24">
        <f t="shared" si="13"/>
        <v>0.98</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ca="1" si="20"/>
        <v>59693</v>
      </c>
      <c r="S44" s="361">
        <f t="shared" ca="1" si="11"/>
        <v>1695</v>
      </c>
    </row>
    <row r="45" spans="1:19">
      <c r="A45" s="159">
        <f>抵押物清单!B22</f>
        <v>803</v>
      </c>
      <c r="B45" s="59">
        <f>抵押物清单!D22</f>
        <v>138.26</v>
      </c>
      <c r="C45" s="24">
        <f t="shared" si="12"/>
        <v>0.98</v>
      </c>
      <c r="D45" s="2960" t="s">
        <v>3302</v>
      </c>
      <c r="E45" s="24">
        <f t="shared" si="13"/>
        <v>0.98</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ca="1" si="20"/>
        <v>59090</v>
      </c>
      <c r="S45" s="361">
        <f t="shared" ca="1" si="11"/>
        <v>817</v>
      </c>
    </row>
    <row r="46" spans="1:19">
      <c r="A46" s="159">
        <f>抵押物清单!B23</f>
        <v>804</v>
      </c>
      <c r="B46" s="59">
        <f>抵押物清单!D23</f>
        <v>375.27</v>
      </c>
      <c r="C46" s="24">
        <f t="shared" si="12"/>
        <v>1</v>
      </c>
      <c r="D46" s="2960" t="s">
        <v>3302</v>
      </c>
      <c r="E46" s="24">
        <f t="shared" si="13"/>
        <v>0.98</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ca="1" si="20"/>
        <v>60295</v>
      </c>
      <c r="S46" s="361">
        <f t="shared" ca="1" si="11"/>
        <v>2263</v>
      </c>
    </row>
    <row r="47" spans="1:19">
      <c r="A47" s="159">
        <f>抵押物清单!B24</f>
        <v>805</v>
      </c>
      <c r="B47" s="59">
        <f>抵押物清单!D24</f>
        <v>198.51</v>
      </c>
      <c r="C47" s="24">
        <f t="shared" si="12"/>
        <v>0.98</v>
      </c>
      <c r="D47" s="2960" t="s">
        <v>3302</v>
      </c>
      <c r="E47" s="24">
        <f t="shared" si="13"/>
        <v>0.98</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ca="1" si="20"/>
        <v>59090</v>
      </c>
      <c r="S47" s="361">
        <f t="shared" ca="1" si="11"/>
        <v>1173</v>
      </c>
    </row>
    <row r="48" spans="1:19">
      <c r="A48" s="159">
        <f>抵押物清单!B25</f>
        <v>806</v>
      </c>
      <c r="B48" s="59">
        <f>抵押物清单!D25</f>
        <v>375.27</v>
      </c>
      <c r="C48" s="24">
        <f t="shared" si="12"/>
        <v>1</v>
      </c>
      <c r="D48" s="2960" t="s">
        <v>3302</v>
      </c>
      <c r="E48" s="24">
        <f t="shared" si="13"/>
        <v>0.98</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ca="1" si="20"/>
        <v>60295</v>
      </c>
      <c r="S48" s="361">
        <f t="shared" ca="1" si="11"/>
        <v>2263</v>
      </c>
    </row>
    <row r="49" spans="1:19">
      <c r="A49" s="159">
        <f>抵押物清单!B26</f>
        <v>807</v>
      </c>
      <c r="B49" s="59">
        <f>抵押物清单!D26</f>
        <v>138.26</v>
      </c>
      <c r="C49" s="24">
        <f t="shared" si="12"/>
        <v>0.98</v>
      </c>
      <c r="D49" s="2960" t="s">
        <v>3302</v>
      </c>
      <c r="E49" s="24">
        <f t="shared" si="13"/>
        <v>0.98</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ca="1" si="20"/>
        <v>59090</v>
      </c>
      <c r="S49" s="361">
        <f t="shared" ca="1" si="11"/>
        <v>817</v>
      </c>
    </row>
    <row r="50" spans="1:19">
      <c r="A50" s="159">
        <f>抵押物清单!B27</f>
        <v>808</v>
      </c>
      <c r="B50" s="59">
        <f>抵押物清单!D27</f>
        <v>284.52</v>
      </c>
      <c r="C50" s="24">
        <f t="shared" si="12"/>
        <v>0.99</v>
      </c>
      <c r="D50" s="2960" t="s">
        <v>3302</v>
      </c>
      <c r="E50" s="24">
        <f t="shared" si="13"/>
        <v>0.98</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ca="1" si="20"/>
        <v>59693</v>
      </c>
      <c r="S50" s="361">
        <f t="shared" ca="1" si="11"/>
        <v>1698</v>
      </c>
    </row>
    <row r="51" spans="1:19">
      <c r="A51" s="159">
        <f>抵押物清单!B28</f>
        <v>809</v>
      </c>
      <c r="B51" s="59">
        <f>抵押物清单!D28</f>
        <v>375.27</v>
      </c>
      <c r="C51" s="24">
        <f t="shared" si="12"/>
        <v>1</v>
      </c>
      <c r="D51" s="2960" t="s">
        <v>3302</v>
      </c>
      <c r="E51" s="24">
        <f t="shared" si="13"/>
        <v>0.98</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ca="1" si="20"/>
        <v>60295</v>
      </c>
      <c r="S51" s="361">
        <f t="shared" ca="1" si="11"/>
        <v>2263</v>
      </c>
    </row>
    <row r="52" spans="1:19">
      <c r="A52" s="159">
        <f>抵押物清单!B29</f>
        <v>810</v>
      </c>
      <c r="B52" s="59">
        <f>抵押物清单!D29</f>
        <v>198.51</v>
      </c>
      <c r="C52" s="24">
        <f t="shared" si="12"/>
        <v>0.98</v>
      </c>
      <c r="D52" s="2960" t="s">
        <v>3302</v>
      </c>
      <c r="E52" s="24">
        <f t="shared" si="13"/>
        <v>0.98</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ca="1" si="20"/>
        <v>59090</v>
      </c>
      <c r="S52" s="361">
        <f t="shared" ca="1" si="11"/>
        <v>1173</v>
      </c>
    </row>
    <row r="53" spans="1:19">
      <c r="A53" s="159">
        <f>抵押物清单!B30</f>
        <v>901</v>
      </c>
      <c r="B53" s="59">
        <f>抵押物清单!D30</f>
        <v>377.64</v>
      </c>
      <c r="C53" s="24">
        <f t="shared" si="12"/>
        <v>1</v>
      </c>
      <c r="D53" s="2960" t="s">
        <v>3300</v>
      </c>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ca="1" si="20"/>
        <v>61526</v>
      </c>
      <c r="S53" s="361">
        <f t="shared" ca="1" si="11"/>
        <v>2323</v>
      </c>
    </row>
    <row r="54" spans="1:19">
      <c r="A54" s="159">
        <f>抵押物清单!B31</f>
        <v>902</v>
      </c>
      <c r="B54" s="59">
        <f>抵押物清单!D31</f>
        <v>285.48</v>
      </c>
      <c r="C54" s="24">
        <f t="shared" si="12"/>
        <v>0.99</v>
      </c>
      <c r="D54" s="2960" t="s">
        <v>3300</v>
      </c>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ca="1" si="20"/>
        <v>60911</v>
      </c>
      <c r="S54" s="361">
        <f t="shared" ca="1" si="11"/>
        <v>1739</v>
      </c>
    </row>
    <row r="55" spans="1:19">
      <c r="A55" s="159">
        <f>抵押物清单!B32</f>
        <v>903</v>
      </c>
      <c r="B55" s="59">
        <f>抵押物清单!D32</f>
        <v>138.15</v>
      </c>
      <c r="C55" s="24">
        <f t="shared" si="12"/>
        <v>0.98</v>
      </c>
      <c r="D55" s="2960" t="s">
        <v>3300</v>
      </c>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ca="1" si="20"/>
        <v>60295</v>
      </c>
      <c r="S55" s="361">
        <f t="shared" ref="S55:S77" ca="1" si="21">ROUND(R55*B55/10000,0)</f>
        <v>833</v>
      </c>
    </row>
    <row r="56" spans="1:19">
      <c r="A56" s="159">
        <f>抵押物清单!B33</f>
        <v>904</v>
      </c>
      <c r="B56" s="59">
        <f>抵押物清单!D33</f>
        <v>377.75</v>
      </c>
      <c r="C56" s="24">
        <f t="shared" si="12"/>
        <v>1</v>
      </c>
      <c r="D56" s="2960" t="s">
        <v>3300</v>
      </c>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ca="1" si="20"/>
        <v>61526</v>
      </c>
      <c r="S56" s="361">
        <f t="shared" ca="1" si="21"/>
        <v>2324</v>
      </c>
    </row>
    <row r="57" spans="1:19">
      <c r="A57" s="159">
        <f>抵押物清单!B34</f>
        <v>905</v>
      </c>
      <c r="B57" s="59">
        <f>抵押物清单!D34</f>
        <v>199.98</v>
      </c>
      <c r="C57" s="24">
        <f t="shared" si="12"/>
        <v>0.98</v>
      </c>
      <c r="D57" s="2960" t="s">
        <v>3300</v>
      </c>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ca="1" si="20"/>
        <v>60295</v>
      </c>
      <c r="S57" s="361">
        <f t="shared" ca="1" si="21"/>
        <v>1206</v>
      </c>
    </row>
    <row r="58" spans="1:19">
      <c r="A58" s="159">
        <f>抵押物清单!B35</f>
        <v>906</v>
      </c>
      <c r="B58" s="59">
        <f>抵押物清单!D35</f>
        <v>377.75</v>
      </c>
      <c r="C58" s="24">
        <f t="shared" si="12"/>
        <v>1</v>
      </c>
      <c r="D58" s="2960" t="s">
        <v>3300</v>
      </c>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ca="1" si="20"/>
        <v>61526</v>
      </c>
      <c r="S58" s="361">
        <f t="shared" ca="1" si="21"/>
        <v>2324</v>
      </c>
    </row>
    <row r="59" spans="1:19">
      <c r="A59" s="159">
        <f>抵押物清单!B36</f>
        <v>907</v>
      </c>
      <c r="B59" s="59">
        <f>抵押物清单!D36</f>
        <v>138.15</v>
      </c>
      <c r="C59" s="24">
        <f t="shared" si="12"/>
        <v>0.98</v>
      </c>
      <c r="D59" s="2960" t="s">
        <v>3300</v>
      </c>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ca="1" si="20"/>
        <v>60295</v>
      </c>
      <c r="S59" s="361">
        <f t="shared" ca="1" si="21"/>
        <v>833</v>
      </c>
    </row>
    <row r="60" spans="1:19">
      <c r="A60" s="159">
        <f>抵押物清单!B37</f>
        <v>908</v>
      </c>
      <c r="B60" s="59">
        <f>抵押物清单!D37</f>
        <v>286.02999999999997</v>
      </c>
      <c r="C60" s="24">
        <f t="shared" si="12"/>
        <v>0.99</v>
      </c>
      <c r="D60" s="2960" t="s">
        <v>3300</v>
      </c>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ca="1" si="20"/>
        <v>60911</v>
      </c>
      <c r="S60" s="361">
        <f t="shared" ca="1" si="21"/>
        <v>1742</v>
      </c>
    </row>
    <row r="61" spans="1:19">
      <c r="A61" s="159">
        <f>抵押物清单!B38</f>
        <v>909</v>
      </c>
      <c r="B61" s="59">
        <f>抵押物清单!D38</f>
        <v>377.64</v>
      </c>
      <c r="C61" s="24">
        <f t="shared" si="12"/>
        <v>1</v>
      </c>
      <c r="D61" s="2960" t="s">
        <v>3300</v>
      </c>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ca="1" si="20"/>
        <v>61526</v>
      </c>
      <c r="S61" s="361">
        <f t="shared" ca="1" si="21"/>
        <v>2323</v>
      </c>
    </row>
    <row r="62" spans="1:19">
      <c r="A62" s="159">
        <f>抵押物清单!B39</f>
        <v>910</v>
      </c>
      <c r="B62" s="59">
        <f>抵押物清单!D39</f>
        <v>199.98</v>
      </c>
      <c r="C62" s="24">
        <f t="shared" si="12"/>
        <v>0.98</v>
      </c>
      <c r="D62" s="2960" t="s">
        <v>3300</v>
      </c>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ca="1" si="20"/>
        <v>60295</v>
      </c>
      <c r="S62" s="361">
        <f t="shared" ca="1" si="21"/>
        <v>1206</v>
      </c>
    </row>
    <row r="63" spans="1:19">
      <c r="A63" s="159">
        <f>抵押物清单!B40</f>
        <v>1001</v>
      </c>
      <c r="B63" s="59">
        <f>抵押物清单!D40</f>
        <v>377.64</v>
      </c>
      <c r="C63" s="24">
        <f t="shared" si="12"/>
        <v>1</v>
      </c>
      <c r="D63" s="2960" t="s">
        <v>3300</v>
      </c>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ca="1" si="20"/>
        <v>61526</v>
      </c>
      <c r="S63" s="361">
        <f t="shared" ca="1" si="21"/>
        <v>2323</v>
      </c>
    </row>
    <row r="64" spans="1:19">
      <c r="A64" s="159">
        <f>抵押物清单!B41</f>
        <v>1002</v>
      </c>
      <c r="B64" s="59">
        <f>抵押物清单!D41</f>
        <v>285.48</v>
      </c>
      <c r="C64" s="24">
        <f t="shared" si="12"/>
        <v>0.99</v>
      </c>
      <c r="D64" s="2960" t="s">
        <v>3300</v>
      </c>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ca="1" si="20"/>
        <v>60911</v>
      </c>
      <c r="S64" s="361">
        <f t="shared" ca="1" si="21"/>
        <v>1739</v>
      </c>
    </row>
    <row r="65" spans="1:19">
      <c r="A65" s="159">
        <f>抵押物清单!B42</f>
        <v>1003</v>
      </c>
      <c r="B65" s="59">
        <f>抵押物清单!D42</f>
        <v>138.15</v>
      </c>
      <c r="C65" s="24">
        <f t="shared" si="12"/>
        <v>0.98</v>
      </c>
      <c r="D65" s="2960" t="s">
        <v>3300</v>
      </c>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ca="1" si="20"/>
        <v>60295</v>
      </c>
      <c r="S65" s="361">
        <f t="shared" ca="1" si="21"/>
        <v>833</v>
      </c>
    </row>
    <row r="66" spans="1:19">
      <c r="A66" s="159">
        <f>抵押物清单!B43</f>
        <v>1004</v>
      </c>
      <c r="B66" s="59">
        <f>抵押物清单!D43</f>
        <v>377.75</v>
      </c>
      <c r="C66" s="24">
        <f t="shared" si="12"/>
        <v>1</v>
      </c>
      <c r="D66" s="2960" t="s">
        <v>3300</v>
      </c>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ca="1" si="20"/>
        <v>61526</v>
      </c>
      <c r="S66" s="361">
        <f t="shared" ca="1" si="21"/>
        <v>2324</v>
      </c>
    </row>
    <row r="67" spans="1:19">
      <c r="A67" s="159">
        <f>抵押物清单!B44</f>
        <v>1005</v>
      </c>
      <c r="B67" s="59">
        <f>抵押物清单!D44</f>
        <v>199.98</v>
      </c>
      <c r="C67" s="24">
        <f t="shared" si="12"/>
        <v>0.98</v>
      </c>
      <c r="D67" s="2960" t="s">
        <v>3300</v>
      </c>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ca="1" si="20"/>
        <v>60295</v>
      </c>
      <c r="S67" s="361">
        <f t="shared" ca="1" si="21"/>
        <v>1206</v>
      </c>
    </row>
    <row r="68" spans="1:19">
      <c r="A68" s="159">
        <f>抵押物清单!B45</f>
        <v>1006</v>
      </c>
      <c r="B68" s="59">
        <f>抵押物清单!D45</f>
        <v>377.75</v>
      </c>
      <c r="C68" s="24">
        <f t="shared" si="12"/>
        <v>1</v>
      </c>
      <c r="D68" s="2960" t="s">
        <v>3300</v>
      </c>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ca="1" si="20"/>
        <v>61526</v>
      </c>
      <c r="S68" s="361">
        <f t="shared" ca="1" si="21"/>
        <v>2324</v>
      </c>
    </row>
    <row r="69" spans="1:19">
      <c r="A69" s="159">
        <f>抵押物清单!B46</f>
        <v>1007</v>
      </c>
      <c r="B69" s="59">
        <f>抵押物清单!D46</f>
        <v>138.15</v>
      </c>
      <c r="C69" s="24">
        <f t="shared" si="12"/>
        <v>0.98</v>
      </c>
      <c r="D69" s="2960" t="s">
        <v>3300</v>
      </c>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ca="1" si="20"/>
        <v>60295</v>
      </c>
      <c r="S69" s="361">
        <f t="shared" ca="1" si="21"/>
        <v>833</v>
      </c>
    </row>
    <row r="70" spans="1:19">
      <c r="A70" s="159">
        <f>抵押物清单!B47</f>
        <v>1008</v>
      </c>
      <c r="B70" s="59">
        <f>抵押物清单!D47</f>
        <v>286.02999999999997</v>
      </c>
      <c r="C70" s="24">
        <f t="shared" si="12"/>
        <v>0.99</v>
      </c>
      <c r="D70" s="2960" t="s">
        <v>3300</v>
      </c>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ca="1" si="20"/>
        <v>60911</v>
      </c>
      <c r="S70" s="361">
        <f t="shared" ca="1" si="21"/>
        <v>1742</v>
      </c>
    </row>
    <row r="71" spans="1:19">
      <c r="A71" s="159">
        <f>抵押物清单!B48</f>
        <v>1009</v>
      </c>
      <c r="B71" s="59">
        <f>抵押物清单!D48</f>
        <v>377.64</v>
      </c>
      <c r="C71" s="24">
        <f t="shared" si="12"/>
        <v>1</v>
      </c>
      <c r="D71" s="2960" t="s">
        <v>3300</v>
      </c>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ca="1" si="20"/>
        <v>61526</v>
      </c>
      <c r="S71" s="361">
        <f t="shared" ca="1" si="21"/>
        <v>2323</v>
      </c>
    </row>
    <row r="72" spans="1:19">
      <c r="A72" s="159">
        <f>抵押物清单!B49</f>
        <v>1010</v>
      </c>
      <c r="B72" s="59">
        <f>抵押物清单!D49</f>
        <v>199.98</v>
      </c>
      <c r="C72" s="24">
        <f t="shared" si="12"/>
        <v>0.98</v>
      </c>
      <c r="D72" s="2960" t="s">
        <v>3300</v>
      </c>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ca="1" si="20"/>
        <v>60295</v>
      </c>
      <c r="S72" s="361">
        <f t="shared" ca="1" si="21"/>
        <v>1206</v>
      </c>
    </row>
    <row r="73" spans="1:19">
      <c r="A73" s="159">
        <f>抵押物清单!B50</f>
        <v>1101</v>
      </c>
      <c r="B73" s="59">
        <f>抵押物清单!D50</f>
        <v>377.64</v>
      </c>
      <c r="C73" s="24">
        <f t="shared" si="12"/>
        <v>1</v>
      </c>
      <c r="D73" s="2960" t="s">
        <v>3300</v>
      </c>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ca="1" si="20"/>
        <v>61526</v>
      </c>
      <c r="S73" s="361">
        <f t="shared" ca="1" si="21"/>
        <v>2323</v>
      </c>
    </row>
    <row r="74" spans="1:19">
      <c r="A74" s="159">
        <f>抵押物清单!B51</f>
        <v>1102</v>
      </c>
      <c r="B74" s="59">
        <f>抵押物清单!D51</f>
        <v>285.48</v>
      </c>
      <c r="C74" s="24">
        <f t="shared" si="12"/>
        <v>0.99</v>
      </c>
      <c r="D74" s="2960" t="s">
        <v>3300</v>
      </c>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ca="1" si="20"/>
        <v>60911</v>
      </c>
      <c r="S74" s="361">
        <f t="shared" ca="1" si="21"/>
        <v>1739</v>
      </c>
    </row>
    <row r="75" spans="1:19">
      <c r="A75" s="159">
        <f>抵押物清单!B52</f>
        <v>1103</v>
      </c>
      <c r="B75" s="59">
        <f>抵押物清单!D52</f>
        <v>138.15</v>
      </c>
      <c r="C75" s="24">
        <f t="shared" si="12"/>
        <v>0.98</v>
      </c>
      <c r="D75" s="2960" t="s">
        <v>3300</v>
      </c>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ca="1" si="20"/>
        <v>60295</v>
      </c>
      <c r="S75" s="361">
        <f t="shared" ca="1" si="21"/>
        <v>833</v>
      </c>
    </row>
    <row r="76" spans="1:19">
      <c r="A76" s="159">
        <f>抵押物清单!B53</f>
        <v>1104</v>
      </c>
      <c r="B76" s="59">
        <f>抵押物清单!D53</f>
        <v>377.75</v>
      </c>
      <c r="C76" s="24">
        <f t="shared" si="12"/>
        <v>1</v>
      </c>
      <c r="D76" s="2960" t="s">
        <v>3300</v>
      </c>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ca="1" si="20"/>
        <v>61526</v>
      </c>
      <c r="S76" s="361">
        <f t="shared" ca="1" si="21"/>
        <v>2324</v>
      </c>
    </row>
    <row r="77" spans="1:19">
      <c r="A77" s="159">
        <f>抵押物清单!B54</f>
        <v>1105</v>
      </c>
      <c r="B77" s="59">
        <f>抵押物清单!D54</f>
        <v>199.98</v>
      </c>
      <c r="C77" s="24">
        <f t="shared" si="12"/>
        <v>0.98</v>
      </c>
      <c r="D77" s="2960" t="s">
        <v>3300</v>
      </c>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ca="1" si="20"/>
        <v>60295</v>
      </c>
      <c r="S77" s="361">
        <f t="shared" ca="1" si="21"/>
        <v>1206</v>
      </c>
    </row>
    <row r="78" spans="1:19">
      <c r="A78" s="159">
        <f>抵押物清单!B55</f>
        <v>1106</v>
      </c>
      <c r="B78" s="59">
        <f>抵押物清单!D55</f>
        <v>377.75</v>
      </c>
      <c r="C78" s="24">
        <f t="shared" si="12"/>
        <v>1</v>
      </c>
      <c r="D78" s="2960" t="s">
        <v>3300</v>
      </c>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ca="1" si="20"/>
        <v>61526</v>
      </c>
      <c r="S78" s="361">
        <f t="shared" ref="S78:S122" ca="1" si="22">ROUND(R78*B78/10000,0)</f>
        <v>2324</v>
      </c>
    </row>
    <row r="79" spans="1:19">
      <c r="A79" s="159">
        <f>抵押物清单!B56</f>
        <v>1107</v>
      </c>
      <c r="B79" s="59">
        <f>抵押物清单!D56</f>
        <v>138.15</v>
      </c>
      <c r="C79" s="24">
        <f t="shared" si="12"/>
        <v>0.98</v>
      </c>
      <c r="D79" s="2960" t="s">
        <v>3300</v>
      </c>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ca="1" si="20"/>
        <v>60295</v>
      </c>
      <c r="S79" s="361">
        <f t="shared" ca="1" si="22"/>
        <v>833</v>
      </c>
    </row>
    <row r="80" spans="1:19">
      <c r="A80" s="159">
        <f>抵押物清单!B57</f>
        <v>1108</v>
      </c>
      <c r="B80" s="59">
        <f>抵押物清单!D57</f>
        <v>286.02999999999997</v>
      </c>
      <c r="C80" s="24">
        <f t="shared" si="12"/>
        <v>0.99</v>
      </c>
      <c r="D80" s="2960" t="s">
        <v>3300</v>
      </c>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ca="1" si="20"/>
        <v>60911</v>
      </c>
      <c r="S80" s="361">
        <f t="shared" ca="1" si="22"/>
        <v>1742</v>
      </c>
    </row>
    <row r="81" spans="1:19">
      <c r="A81" s="159">
        <f>抵押物清单!B58</f>
        <v>1109</v>
      </c>
      <c r="B81" s="59">
        <f>抵押物清单!D58</f>
        <v>377.64</v>
      </c>
      <c r="C81" s="24">
        <f t="shared" si="12"/>
        <v>1</v>
      </c>
      <c r="D81" s="2960" t="s">
        <v>3300</v>
      </c>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ca="1" si="20"/>
        <v>61526</v>
      </c>
      <c r="S81" s="361">
        <f t="shared" ca="1" si="22"/>
        <v>2323</v>
      </c>
    </row>
    <row r="82" spans="1:19">
      <c r="A82" s="159">
        <f>抵押物清单!B59</f>
        <v>1110</v>
      </c>
      <c r="B82" s="59">
        <f>抵押物清单!D59</f>
        <v>199.98</v>
      </c>
      <c r="C82" s="24">
        <f t="shared" si="12"/>
        <v>0.98</v>
      </c>
      <c r="D82" s="2960" t="s">
        <v>3300</v>
      </c>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ca="1" si="20"/>
        <v>60295</v>
      </c>
      <c r="S82" s="361">
        <f t="shared" ca="1" si="22"/>
        <v>1206</v>
      </c>
    </row>
    <row r="83" spans="1:19">
      <c r="A83" s="159">
        <f>抵押物清单!B60</f>
        <v>1201</v>
      </c>
      <c r="B83" s="59">
        <f>抵押物清单!D60</f>
        <v>380</v>
      </c>
      <c r="C83" s="24">
        <f t="shared" si="12"/>
        <v>1</v>
      </c>
      <c r="D83" s="2960" t="s">
        <v>3300</v>
      </c>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ca="1" si="20"/>
        <v>61526</v>
      </c>
      <c r="S83" s="361">
        <f t="shared" ca="1" si="22"/>
        <v>2338</v>
      </c>
    </row>
    <row r="84" spans="1:19">
      <c r="A84" s="159">
        <f>抵押物清单!B61</f>
        <v>1202</v>
      </c>
      <c r="B84" s="59">
        <f>抵押物清单!D61</f>
        <v>286.95999999999998</v>
      </c>
      <c r="C84" s="24">
        <f t="shared" si="12"/>
        <v>0.99</v>
      </c>
      <c r="D84" s="2960" t="s">
        <v>3300</v>
      </c>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ca="1" si="20"/>
        <v>60911</v>
      </c>
      <c r="S84" s="361">
        <f t="shared" ca="1" si="22"/>
        <v>1748</v>
      </c>
    </row>
    <row r="85" spans="1:19">
      <c r="A85" s="159">
        <f>抵押物清单!B62</f>
        <v>1203</v>
      </c>
      <c r="B85" s="59">
        <f>抵押物清单!D62</f>
        <v>138.16</v>
      </c>
      <c r="C85" s="24">
        <f t="shared" si="12"/>
        <v>0.98</v>
      </c>
      <c r="D85" s="2960" t="s">
        <v>3300</v>
      </c>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ca="1" si="20"/>
        <v>60295</v>
      </c>
      <c r="S85" s="361">
        <f t="shared" ca="1" si="22"/>
        <v>833</v>
      </c>
    </row>
    <row r="86" spans="1:19">
      <c r="A86" s="159">
        <f>抵押物清单!B63</f>
        <v>1204</v>
      </c>
      <c r="B86" s="59">
        <f>抵押物清单!D63</f>
        <v>380.12</v>
      </c>
      <c r="C86" s="24">
        <f t="shared" si="12"/>
        <v>1</v>
      </c>
      <c r="D86" s="2960" t="s">
        <v>3300</v>
      </c>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ca="1" si="20"/>
        <v>61526</v>
      </c>
      <c r="S86" s="361">
        <f t="shared" ca="1" si="22"/>
        <v>2339</v>
      </c>
    </row>
    <row r="87" spans="1:19">
      <c r="A87" s="159">
        <f>抵押物清单!B64</f>
        <v>1205</v>
      </c>
      <c r="B87" s="59">
        <f>抵押物清单!D64</f>
        <v>201.45</v>
      </c>
      <c r="C87" s="24">
        <f t="shared" si="12"/>
        <v>0.99</v>
      </c>
      <c r="D87" s="2960" t="s">
        <v>3300</v>
      </c>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ca="1" si="20"/>
        <v>60911</v>
      </c>
      <c r="S87" s="361">
        <f t="shared" ca="1" si="22"/>
        <v>1227</v>
      </c>
    </row>
    <row r="88" spans="1:19">
      <c r="A88" s="159">
        <f>抵押物清单!B65</f>
        <v>1206</v>
      </c>
      <c r="B88" s="59">
        <f>抵押物清单!D65</f>
        <v>380.12</v>
      </c>
      <c r="C88" s="24">
        <f t="shared" si="12"/>
        <v>1</v>
      </c>
      <c r="D88" s="2960" t="s">
        <v>3300</v>
      </c>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ca="1" si="20"/>
        <v>61526</v>
      </c>
      <c r="S88" s="361">
        <f t="shared" ca="1" si="22"/>
        <v>2339</v>
      </c>
    </row>
    <row r="89" spans="1:19">
      <c r="A89" s="159">
        <f>抵押物清单!B66</f>
        <v>1207</v>
      </c>
      <c r="B89" s="59">
        <f>抵押物清单!D66</f>
        <v>138.16</v>
      </c>
      <c r="C89" s="24">
        <f t="shared" si="12"/>
        <v>0.98</v>
      </c>
      <c r="D89" s="2960" t="s">
        <v>3300</v>
      </c>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ca="1" si="20"/>
        <v>60295</v>
      </c>
      <c r="S89" s="361">
        <f t="shared" ca="1" si="22"/>
        <v>833</v>
      </c>
    </row>
    <row r="90" spans="1:19">
      <c r="A90" s="159">
        <f>抵押物清单!B67</f>
        <v>1208</v>
      </c>
      <c r="B90" s="59">
        <f>抵押物清单!D67</f>
        <v>287.52</v>
      </c>
      <c r="C90" s="24">
        <f t="shared" ref="C90:C153" si="23">IF(B90="",1,(LOOKUP(B90,$3:$3,$4:$4)-LOOKUP($B$24,$3:$3,$4:$4)+100)/100)</f>
        <v>0.99</v>
      </c>
      <c r="D90" s="2960" t="s">
        <v>3300</v>
      </c>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ca="1" si="31">IF(B90="",0,ROUND($R$24*C90*E90*G90*I90*K90*M90*O90*Q90,0))</f>
        <v>60911</v>
      </c>
      <c r="S90" s="361">
        <f t="shared" ca="1" si="22"/>
        <v>1751</v>
      </c>
    </row>
    <row r="91" spans="1:19">
      <c r="A91" s="159">
        <f>抵押物清单!B68</f>
        <v>1209</v>
      </c>
      <c r="B91" s="59">
        <f>抵押物清单!D68</f>
        <v>380</v>
      </c>
      <c r="C91" s="24">
        <f t="shared" si="23"/>
        <v>1</v>
      </c>
      <c r="D91" s="2960" t="s">
        <v>3300</v>
      </c>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ca="1" si="31"/>
        <v>61526</v>
      </c>
      <c r="S91" s="361">
        <f t="shared" ca="1" si="22"/>
        <v>2338</v>
      </c>
    </row>
    <row r="92" spans="1:19">
      <c r="A92" s="159">
        <f>抵押物清单!B69</f>
        <v>1210</v>
      </c>
      <c r="B92" s="59">
        <f>抵押物清单!D69</f>
        <v>201.45</v>
      </c>
      <c r="C92" s="24">
        <f t="shared" si="23"/>
        <v>0.99</v>
      </c>
      <c r="D92" s="2960" t="s">
        <v>3300</v>
      </c>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ca="1" si="31"/>
        <v>60911</v>
      </c>
      <c r="S92" s="361">
        <f t="shared" ca="1" si="22"/>
        <v>1227</v>
      </c>
    </row>
    <row r="93" spans="1:19">
      <c r="A93" s="159">
        <f>抵押物清单!B70</f>
        <v>1301</v>
      </c>
      <c r="B93" s="59">
        <f>抵押物清单!D70</f>
        <v>380</v>
      </c>
      <c r="C93" s="24">
        <f t="shared" si="23"/>
        <v>1</v>
      </c>
      <c r="D93" s="2960" t="s">
        <v>3300</v>
      </c>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ca="1" si="31"/>
        <v>61526</v>
      </c>
      <c r="S93" s="361">
        <f t="shared" ca="1" si="22"/>
        <v>2338</v>
      </c>
    </row>
    <row r="94" spans="1:19">
      <c r="A94" s="159">
        <f>抵押物清单!B71</f>
        <v>1302</v>
      </c>
      <c r="B94" s="59">
        <f>抵押物清单!D71</f>
        <v>286.95999999999998</v>
      </c>
      <c r="C94" s="24">
        <f t="shared" si="23"/>
        <v>0.99</v>
      </c>
      <c r="D94" s="2960" t="s">
        <v>3300</v>
      </c>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ca="1" si="31"/>
        <v>60911</v>
      </c>
      <c r="S94" s="361">
        <f t="shared" ca="1" si="22"/>
        <v>1748</v>
      </c>
    </row>
    <row r="95" spans="1:19">
      <c r="A95" s="159">
        <f>抵押物清单!B72</f>
        <v>1303</v>
      </c>
      <c r="B95" s="59">
        <f>抵押物清单!D72</f>
        <v>138.16</v>
      </c>
      <c r="C95" s="24">
        <f t="shared" si="23"/>
        <v>0.98</v>
      </c>
      <c r="D95" s="2960" t="s">
        <v>3300</v>
      </c>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ca="1" si="31"/>
        <v>60295</v>
      </c>
      <c r="S95" s="361">
        <f t="shared" ca="1" si="22"/>
        <v>833</v>
      </c>
    </row>
    <row r="96" spans="1:19">
      <c r="A96" s="159">
        <f>抵押物清单!B73</f>
        <v>1304</v>
      </c>
      <c r="B96" s="59">
        <f>抵押物清单!D73</f>
        <v>380.12</v>
      </c>
      <c r="C96" s="24">
        <f t="shared" si="23"/>
        <v>1</v>
      </c>
      <c r="D96" s="2960" t="s">
        <v>3300</v>
      </c>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ca="1" si="31"/>
        <v>61526</v>
      </c>
      <c r="S96" s="361">
        <f t="shared" ca="1" si="22"/>
        <v>2339</v>
      </c>
    </row>
    <row r="97" spans="1:19">
      <c r="A97" s="159">
        <f>抵押物清单!B74</f>
        <v>1305</v>
      </c>
      <c r="B97" s="59">
        <f>抵押物清单!D74</f>
        <v>201.45</v>
      </c>
      <c r="C97" s="24">
        <f t="shared" si="23"/>
        <v>0.99</v>
      </c>
      <c r="D97" s="2960" t="s">
        <v>3300</v>
      </c>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ca="1" si="31"/>
        <v>60911</v>
      </c>
      <c r="S97" s="361">
        <f t="shared" ca="1" si="22"/>
        <v>1227</v>
      </c>
    </row>
    <row r="98" spans="1:19">
      <c r="A98" s="159">
        <f>抵押物清单!B75</f>
        <v>1306</v>
      </c>
      <c r="B98" s="59">
        <f>抵押物清单!D75</f>
        <v>380.12</v>
      </c>
      <c r="C98" s="24">
        <f t="shared" si="23"/>
        <v>1</v>
      </c>
      <c r="D98" s="2960" t="s">
        <v>3300</v>
      </c>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ca="1" si="31"/>
        <v>61526</v>
      </c>
      <c r="S98" s="361">
        <f t="shared" ca="1" si="22"/>
        <v>2339</v>
      </c>
    </row>
    <row r="99" spans="1:19">
      <c r="A99" s="159">
        <f>抵押物清单!B76</f>
        <v>1307</v>
      </c>
      <c r="B99" s="59">
        <f>抵押物清单!D76</f>
        <v>138.16</v>
      </c>
      <c r="C99" s="24">
        <f t="shared" si="23"/>
        <v>0.98</v>
      </c>
      <c r="D99" s="2960" t="s">
        <v>3300</v>
      </c>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ca="1" si="31"/>
        <v>60295</v>
      </c>
      <c r="S99" s="361">
        <f t="shared" ca="1" si="22"/>
        <v>833</v>
      </c>
    </row>
    <row r="100" spans="1:19">
      <c r="A100" s="159">
        <f>抵押物清单!B77</f>
        <v>1308</v>
      </c>
      <c r="B100" s="59">
        <f>抵押物清单!D77</f>
        <v>287.52</v>
      </c>
      <c r="C100" s="24">
        <f t="shared" si="23"/>
        <v>0.99</v>
      </c>
      <c r="D100" s="2960" t="s">
        <v>3300</v>
      </c>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ca="1" si="31"/>
        <v>60911</v>
      </c>
      <c r="S100" s="361">
        <f t="shared" ca="1" si="22"/>
        <v>1751</v>
      </c>
    </row>
    <row r="101" spans="1:19">
      <c r="A101" s="159">
        <f>抵押物清单!B78</f>
        <v>1309</v>
      </c>
      <c r="B101" s="59">
        <f>抵押物清单!D78</f>
        <v>380</v>
      </c>
      <c r="C101" s="24">
        <f t="shared" si="23"/>
        <v>1</v>
      </c>
      <c r="D101" s="2960" t="s">
        <v>3300</v>
      </c>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ca="1" si="31"/>
        <v>61526</v>
      </c>
      <c r="S101" s="361">
        <f t="shared" ca="1" si="22"/>
        <v>2338</v>
      </c>
    </row>
    <row r="102" spans="1:19">
      <c r="A102" s="159">
        <f>抵押物清单!B79</f>
        <v>1310</v>
      </c>
      <c r="B102" s="59">
        <f>抵押物清单!D79</f>
        <v>201.45</v>
      </c>
      <c r="C102" s="24">
        <f t="shared" si="23"/>
        <v>0.99</v>
      </c>
      <c r="D102" s="2960" t="s">
        <v>3300</v>
      </c>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ca="1" si="31"/>
        <v>60911</v>
      </c>
      <c r="S102" s="361">
        <f t="shared" ca="1" si="22"/>
        <v>1227</v>
      </c>
    </row>
    <row r="103" spans="1:19">
      <c r="A103" s="159">
        <f>抵押物清单!B81</f>
        <v>1402</v>
      </c>
      <c r="B103" s="59">
        <f>抵押物清单!D81</f>
        <v>286.95999999999998</v>
      </c>
      <c r="C103" s="24">
        <f t="shared" si="23"/>
        <v>0.99</v>
      </c>
      <c r="D103" s="2960" t="s">
        <v>3300</v>
      </c>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ca="1" si="31"/>
        <v>60911</v>
      </c>
      <c r="S103" s="361">
        <f t="shared" ca="1" si="22"/>
        <v>1748</v>
      </c>
    </row>
    <row r="104" spans="1:19">
      <c r="A104" s="159">
        <f>抵押物清单!B82</f>
        <v>1403</v>
      </c>
      <c r="B104" s="59">
        <f>抵押物清单!D82</f>
        <v>138.16</v>
      </c>
      <c r="C104" s="24">
        <f t="shared" si="23"/>
        <v>0.98</v>
      </c>
      <c r="D104" s="2960" t="s">
        <v>3300</v>
      </c>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ca="1" si="31"/>
        <v>60295</v>
      </c>
      <c r="S104" s="361">
        <f t="shared" ca="1" si="22"/>
        <v>833</v>
      </c>
    </row>
    <row r="105" spans="1:19">
      <c r="A105" s="159">
        <f>抵押物清单!B83</f>
        <v>1404</v>
      </c>
      <c r="B105" s="59">
        <f>抵押物清单!D83</f>
        <v>380.12</v>
      </c>
      <c r="C105" s="24">
        <f t="shared" si="23"/>
        <v>1</v>
      </c>
      <c r="D105" s="2960" t="s">
        <v>3300</v>
      </c>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ca="1" si="31"/>
        <v>61526</v>
      </c>
      <c r="S105" s="361">
        <f t="shared" ca="1" si="22"/>
        <v>2339</v>
      </c>
    </row>
    <row r="106" spans="1:19">
      <c r="A106" s="159">
        <f>抵押物清单!B84</f>
        <v>1405</v>
      </c>
      <c r="B106" s="59">
        <f>抵押物清单!D84</f>
        <v>201.45</v>
      </c>
      <c r="C106" s="24">
        <f t="shared" si="23"/>
        <v>0.99</v>
      </c>
      <c r="D106" s="2960" t="s">
        <v>3300</v>
      </c>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ca="1" si="31"/>
        <v>60911</v>
      </c>
      <c r="S106" s="361">
        <f t="shared" ca="1" si="22"/>
        <v>1227</v>
      </c>
    </row>
    <row r="107" spans="1:19">
      <c r="A107" s="159">
        <f>抵押物清单!B85</f>
        <v>1406</v>
      </c>
      <c r="B107" s="59">
        <f>抵押物清单!D85</f>
        <v>380.12</v>
      </c>
      <c r="C107" s="24">
        <f t="shared" si="23"/>
        <v>1</v>
      </c>
      <c r="D107" s="2960" t="s">
        <v>3300</v>
      </c>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ca="1" si="31"/>
        <v>61526</v>
      </c>
      <c r="S107" s="361">
        <f t="shared" ca="1" si="22"/>
        <v>2339</v>
      </c>
    </row>
    <row r="108" spans="1:19">
      <c r="A108" s="159">
        <f>抵押物清单!B86</f>
        <v>1407</v>
      </c>
      <c r="B108" s="59">
        <f>抵押物清单!D86</f>
        <v>138.16</v>
      </c>
      <c r="C108" s="24">
        <f t="shared" si="23"/>
        <v>0.98</v>
      </c>
      <c r="D108" s="2960" t="s">
        <v>3300</v>
      </c>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ca="1" si="31"/>
        <v>60295</v>
      </c>
      <c r="S108" s="361">
        <f t="shared" ca="1" si="22"/>
        <v>833</v>
      </c>
    </row>
    <row r="109" spans="1:19">
      <c r="A109" s="159">
        <f>抵押物清单!B87</f>
        <v>1408</v>
      </c>
      <c r="B109" s="59">
        <f>抵押物清单!D87</f>
        <v>287.52</v>
      </c>
      <c r="C109" s="24">
        <f t="shared" si="23"/>
        <v>0.99</v>
      </c>
      <c r="D109" s="2960" t="s">
        <v>3300</v>
      </c>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ca="1" si="31"/>
        <v>60911</v>
      </c>
      <c r="S109" s="361">
        <f t="shared" ca="1" si="22"/>
        <v>1751</v>
      </c>
    </row>
    <row r="110" spans="1:19">
      <c r="A110" s="159">
        <f>抵押物清单!B88</f>
        <v>1409</v>
      </c>
      <c r="B110" s="59">
        <f>抵押物清单!D88</f>
        <v>380</v>
      </c>
      <c r="C110" s="24">
        <f t="shared" si="23"/>
        <v>1</v>
      </c>
      <c r="D110" s="2960" t="s">
        <v>3300</v>
      </c>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ca="1" si="31"/>
        <v>61526</v>
      </c>
      <c r="S110" s="361">
        <f t="shared" ca="1" si="22"/>
        <v>2338</v>
      </c>
    </row>
    <row r="111" spans="1:19">
      <c r="A111" s="159">
        <f>抵押物清单!B89</f>
        <v>1410</v>
      </c>
      <c r="B111" s="59">
        <f>抵押物清单!D89</f>
        <v>201.45</v>
      </c>
      <c r="C111" s="24">
        <f t="shared" si="23"/>
        <v>0.99</v>
      </c>
      <c r="D111" s="2960" t="s">
        <v>3300</v>
      </c>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ca="1" si="31"/>
        <v>60911</v>
      </c>
      <c r="S111" s="361">
        <f t="shared" ca="1" si="22"/>
        <v>1227</v>
      </c>
    </row>
    <row r="112" spans="1:19">
      <c r="A112" s="159">
        <f>抵押物清单!B90</f>
        <v>1601</v>
      </c>
      <c r="B112" s="59">
        <f>抵押物清单!D90</f>
        <v>385.62</v>
      </c>
      <c r="C112" s="24">
        <f t="shared" si="23"/>
        <v>1</v>
      </c>
      <c r="D112" s="2960" t="s">
        <v>3300</v>
      </c>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ca="1" si="31"/>
        <v>61526</v>
      </c>
      <c r="S112" s="361">
        <f t="shared" ca="1" si="22"/>
        <v>2373</v>
      </c>
    </row>
    <row r="113" spans="1:19">
      <c r="A113" s="159">
        <f>抵押物清单!B91</f>
        <v>1602</v>
      </c>
      <c r="B113" s="59">
        <f>抵押物清单!D91</f>
        <v>141.11000000000001</v>
      </c>
      <c r="C113" s="24">
        <f t="shared" si="23"/>
        <v>0.98</v>
      </c>
      <c r="D113" s="2960" t="s">
        <v>3300</v>
      </c>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ca="1" si="31"/>
        <v>60295</v>
      </c>
      <c r="S113" s="361">
        <f t="shared" ca="1" si="22"/>
        <v>851</v>
      </c>
    </row>
    <row r="114" spans="1:19">
      <c r="A114" s="159">
        <f>抵押物清单!B92</f>
        <v>1603</v>
      </c>
      <c r="B114" s="59">
        <f>抵押物清单!D92</f>
        <v>292.73</v>
      </c>
      <c r="C114" s="24">
        <f t="shared" si="23"/>
        <v>0.99</v>
      </c>
      <c r="D114" s="2960" t="s">
        <v>3300</v>
      </c>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ca="1" si="31"/>
        <v>60911</v>
      </c>
      <c r="S114" s="361">
        <f t="shared" ca="1" si="22"/>
        <v>1783</v>
      </c>
    </row>
    <row r="115" spans="1:19">
      <c r="A115" s="159">
        <f>抵押物清单!B93</f>
        <v>1604</v>
      </c>
      <c r="B115" s="59">
        <f>抵押物清单!D93</f>
        <v>385.52</v>
      </c>
      <c r="C115" s="24">
        <f t="shared" si="23"/>
        <v>1</v>
      </c>
      <c r="D115" s="2960" t="s">
        <v>3300</v>
      </c>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ca="1" si="31"/>
        <v>61526</v>
      </c>
      <c r="S115" s="361">
        <f t="shared" ca="1" si="22"/>
        <v>2372</v>
      </c>
    </row>
    <row r="116" spans="1:19">
      <c r="A116" s="159">
        <f>抵押物清单!B94</f>
        <v>1605</v>
      </c>
      <c r="B116" s="59">
        <f>抵押物清单!D94</f>
        <v>205.4</v>
      </c>
      <c r="C116" s="24">
        <f t="shared" si="23"/>
        <v>0.99</v>
      </c>
      <c r="D116" s="2960" t="s">
        <v>3300</v>
      </c>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ca="1" si="31"/>
        <v>60911</v>
      </c>
      <c r="S116" s="361">
        <f t="shared" ca="1" si="22"/>
        <v>1251</v>
      </c>
    </row>
    <row r="117" spans="1:19">
      <c r="A117" s="159">
        <f>抵押物清单!B95</f>
        <v>1606</v>
      </c>
      <c r="B117" s="59">
        <f>抵押物清单!D95</f>
        <v>385.52</v>
      </c>
      <c r="C117" s="24">
        <f t="shared" si="23"/>
        <v>1</v>
      </c>
      <c r="D117" s="2960" t="s">
        <v>3300</v>
      </c>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ca="1" si="31"/>
        <v>61526</v>
      </c>
      <c r="S117" s="361">
        <f t="shared" ca="1" si="22"/>
        <v>2372</v>
      </c>
    </row>
    <row r="118" spans="1:19">
      <c r="A118" s="159">
        <f>抵押物清单!B96</f>
        <v>1607</v>
      </c>
      <c r="B118" s="59">
        <f>抵押物清单!D96</f>
        <v>292.93</v>
      </c>
      <c r="C118" s="24">
        <f t="shared" si="23"/>
        <v>0.99</v>
      </c>
      <c r="D118" s="2960" t="s">
        <v>3300</v>
      </c>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ca="1" si="31"/>
        <v>60911</v>
      </c>
      <c r="S118" s="361">
        <f t="shared" ca="1" si="22"/>
        <v>1784</v>
      </c>
    </row>
    <row r="119" spans="1:19">
      <c r="A119" s="159">
        <f>抵押物清单!B97</f>
        <v>1608</v>
      </c>
      <c r="B119" s="59">
        <f>抵押物清单!D97</f>
        <v>141.11000000000001</v>
      </c>
      <c r="C119" s="24">
        <f t="shared" si="23"/>
        <v>0.98</v>
      </c>
      <c r="D119" s="2960" t="s">
        <v>3300</v>
      </c>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ca="1" si="31"/>
        <v>60295</v>
      </c>
      <c r="S119" s="361">
        <f t="shared" ca="1" si="22"/>
        <v>851</v>
      </c>
    </row>
    <row r="120" spans="1:19">
      <c r="A120" s="159">
        <f>抵押物清单!B98</f>
        <v>1609</v>
      </c>
      <c r="B120" s="59">
        <f>抵押物清单!D98</f>
        <v>385.62</v>
      </c>
      <c r="C120" s="24">
        <f t="shared" si="23"/>
        <v>1</v>
      </c>
      <c r="D120" s="2960" t="s">
        <v>3300</v>
      </c>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ca="1" si="31"/>
        <v>61526</v>
      </c>
      <c r="S120" s="361">
        <f t="shared" ca="1" si="22"/>
        <v>2373</v>
      </c>
    </row>
    <row r="121" spans="1:19">
      <c r="A121" s="159">
        <f>抵押物清单!B99</f>
        <v>1610</v>
      </c>
      <c r="B121" s="59">
        <f>抵押物清单!D99</f>
        <v>205.4</v>
      </c>
      <c r="C121" s="24">
        <f t="shared" si="23"/>
        <v>0.99</v>
      </c>
      <c r="D121" s="2960" t="s">
        <v>3300</v>
      </c>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ca="1" si="31"/>
        <v>60911</v>
      </c>
      <c r="S121" s="361">
        <f t="shared" ca="1" si="22"/>
        <v>1251</v>
      </c>
    </row>
    <row r="122" spans="1:19">
      <c r="A122" s="159">
        <f>抵押物清单!B100</f>
        <v>1701</v>
      </c>
      <c r="B122" s="59">
        <f>抵押物清单!D100</f>
        <v>385.62</v>
      </c>
      <c r="C122" s="24">
        <f t="shared" si="23"/>
        <v>1</v>
      </c>
      <c r="D122" s="2960" t="s">
        <v>3298</v>
      </c>
      <c r="E122" s="24">
        <f t="shared" si="24"/>
        <v>1.02</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ca="1" si="31"/>
        <v>62757</v>
      </c>
      <c r="S122" s="361">
        <f t="shared" ca="1" si="22"/>
        <v>2420</v>
      </c>
    </row>
    <row r="123" spans="1:19">
      <c r="A123" s="159">
        <f>抵押物清单!B101</f>
        <v>1702</v>
      </c>
      <c r="B123" s="59">
        <f>抵押物清单!D101</f>
        <v>141.11000000000001</v>
      </c>
      <c r="C123" s="24">
        <f t="shared" si="23"/>
        <v>0.98</v>
      </c>
      <c r="D123" s="2960" t="s">
        <v>3298</v>
      </c>
      <c r="E123" s="24">
        <f t="shared" si="24"/>
        <v>1.02</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ca="1" si="31"/>
        <v>61501</v>
      </c>
      <c r="S123" s="361">
        <f t="shared" ref="S123:S186" ca="1" si="32">ROUND(R123*B123/10000,0)</f>
        <v>868</v>
      </c>
    </row>
    <row r="124" spans="1:19">
      <c r="A124" s="159">
        <f>抵押物清单!B102</f>
        <v>1703</v>
      </c>
      <c r="B124" s="59">
        <f>抵押物清单!D102</f>
        <v>292.73</v>
      </c>
      <c r="C124" s="24">
        <f t="shared" si="23"/>
        <v>0.99</v>
      </c>
      <c r="D124" s="2960" t="s">
        <v>3298</v>
      </c>
      <c r="E124" s="24">
        <f t="shared" si="24"/>
        <v>1.02</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ca="1" si="31"/>
        <v>62129</v>
      </c>
      <c r="S124" s="361">
        <f t="shared" ca="1" si="32"/>
        <v>1819</v>
      </c>
    </row>
    <row r="125" spans="1:19">
      <c r="A125" s="159">
        <f>抵押物清单!B103</f>
        <v>1704</v>
      </c>
      <c r="B125" s="59">
        <f>抵押物清单!D103</f>
        <v>385.52</v>
      </c>
      <c r="C125" s="24">
        <f t="shared" si="23"/>
        <v>1</v>
      </c>
      <c r="D125" s="2960" t="s">
        <v>3298</v>
      </c>
      <c r="E125" s="24">
        <f t="shared" si="24"/>
        <v>1.02</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ca="1" si="31"/>
        <v>62757</v>
      </c>
      <c r="S125" s="361">
        <f t="shared" ca="1" si="32"/>
        <v>2419</v>
      </c>
    </row>
    <row r="126" spans="1:19">
      <c r="A126" s="159">
        <f>抵押物清单!B104</f>
        <v>1705</v>
      </c>
      <c r="B126" s="59">
        <f>抵押物清单!D104</f>
        <v>205.4</v>
      </c>
      <c r="C126" s="24">
        <f t="shared" si="23"/>
        <v>0.99</v>
      </c>
      <c r="D126" s="2960" t="s">
        <v>3298</v>
      </c>
      <c r="E126" s="24">
        <f t="shared" si="24"/>
        <v>1.02</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ca="1" si="31"/>
        <v>62129</v>
      </c>
      <c r="S126" s="361">
        <f t="shared" ca="1" si="32"/>
        <v>1276</v>
      </c>
    </row>
    <row r="127" spans="1:19">
      <c r="A127" s="159">
        <f>抵押物清单!B105</f>
        <v>1706</v>
      </c>
      <c r="B127" s="59">
        <f>抵押物清单!D105</f>
        <v>385.52</v>
      </c>
      <c r="C127" s="24">
        <f t="shared" si="23"/>
        <v>1</v>
      </c>
      <c r="D127" s="2960" t="s">
        <v>3298</v>
      </c>
      <c r="E127" s="24">
        <f t="shared" si="24"/>
        <v>1.02</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ca="1" si="31"/>
        <v>62757</v>
      </c>
      <c r="S127" s="361">
        <f t="shared" ca="1" si="32"/>
        <v>2419</v>
      </c>
    </row>
    <row r="128" spans="1:19">
      <c r="A128" s="159">
        <f>抵押物清单!B106</f>
        <v>1707</v>
      </c>
      <c r="B128" s="59">
        <f>抵押物清单!D106</f>
        <v>292.93</v>
      </c>
      <c r="C128" s="24">
        <f t="shared" si="23"/>
        <v>0.99</v>
      </c>
      <c r="D128" s="2960" t="s">
        <v>3298</v>
      </c>
      <c r="E128" s="24">
        <f t="shared" si="24"/>
        <v>1.02</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ca="1" si="31"/>
        <v>62129</v>
      </c>
      <c r="S128" s="361">
        <f t="shared" ca="1" si="32"/>
        <v>1820</v>
      </c>
    </row>
    <row r="129" spans="1:19">
      <c r="A129" s="159">
        <f>抵押物清单!B107</f>
        <v>1708</v>
      </c>
      <c r="B129" s="59">
        <f>抵押物清单!D107</f>
        <v>141.11000000000001</v>
      </c>
      <c r="C129" s="24">
        <f t="shared" si="23"/>
        <v>0.98</v>
      </c>
      <c r="D129" s="2960" t="s">
        <v>3298</v>
      </c>
      <c r="E129" s="24">
        <f t="shared" si="24"/>
        <v>1.02</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ca="1" si="31"/>
        <v>61501</v>
      </c>
      <c r="S129" s="361">
        <f t="shared" ca="1" si="32"/>
        <v>868</v>
      </c>
    </row>
    <row r="130" spans="1:19">
      <c r="A130" s="159">
        <f>抵押物清单!B108</f>
        <v>1709</v>
      </c>
      <c r="B130" s="59">
        <f>抵押物清单!D108</f>
        <v>385.62</v>
      </c>
      <c r="C130" s="24">
        <f t="shared" si="23"/>
        <v>1</v>
      </c>
      <c r="D130" s="2960" t="s">
        <v>3298</v>
      </c>
      <c r="E130" s="24">
        <f t="shared" si="24"/>
        <v>1.02</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ca="1" si="31"/>
        <v>62757</v>
      </c>
      <c r="S130" s="361">
        <f t="shared" ca="1" si="32"/>
        <v>2420</v>
      </c>
    </row>
    <row r="131" spans="1:19">
      <c r="A131" s="159">
        <f>抵押物清单!B109</f>
        <v>1710</v>
      </c>
      <c r="B131" s="59">
        <f>抵押物清单!D109</f>
        <v>205.4</v>
      </c>
      <c r="C131" s="24">
        <f t="shared" si="23"/>
        <v>0.99</v>
      </c>
      <c r="D131" s="2960" t="s">
        <v>3298</v>
      </c>
      <c r="E131" s="24">
        <f t="shared" si="24"/>
        <v>1.02</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ca="1" si="31"/>
        <v>62129</v>
      </c>
      <c r="S131" s="361">
        <f t="shared" ca="1" si="32"/>
        <v>1276</v>
      </c>
    </row>
    <row r="132" spans="1:19">
      <c r="A132" s="159">
        <f>抵押物清单!B110</f>
        <v>1801</v>
      </c>
      <c r="B132" s="59">
        <f>抵押物清单!D110</f>
        <v>385.62</v>
      </c>
      <c r="C132" s="24">
        <f t="shared" si="23"/>
        <v>1</v>
      </c>
      <c r="D132" s="2960" t="s">
        <v>3298</v>
      </c>
      <c r="E132" s="24">
        <f t="shared" si="24"/>
        <v>1.02</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ca="1" si="31"/>
        <v>62757</v>
      </c>
      <c r="S132" s="361">
        <f t="shared" ca="1" si="32"/>
        <v>2420</v>
      </c>
    </row>
    <row r="133" spans="1:19">
      <c r="A133" s="159">
        <f>抵押物清单!B111</f>
        <v>1802</v>
      </c>
      <c r="B133" s="59">
        <f>抵押物清单!D111</f>
        <v>141.11000000000001</v>
      </c>
      <c r="C133" s="24">
        <f t="shared" si="23"/>
        <v>0.98</v>
      </c>
      <c r="D133" s="2960" t="s">
        <v>3298</v>
      </c>
      <c r="E133" s="24">
        <f t="shared" si="24"/>
        <v>1.02</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ca="1" si="31"/>
        <v>61501</v>
      </c>
      <c r="S133" s="361">
        <f t="shared" ca="1" si="32"/>
        <v>868</v>
      </c>
    </row>
    <row r="134" spans="1:19">
      <c r="A134" s="159">
        <f>抵押物清单!B112</f>
        <v>1803</v>
      </c>
      <c r="B134" s="59">
        <f>抵押物清单!D112</f>
        <v>292.73</v>
      </c>
      <c r="C134" s="24">
        <f t="shared" si="23"/>
        <v>0.99</v>
      </c>
      <c r="D134" s="2960" t="s">
        <v>3298</v>
      </c>
      <c r="E134" s="24">
        <f t="shared" si="24"/>
        <v>1.02</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ca="1" si="31"/>
        <v>62129</v>
      </c>
      <c r="S134" s="361">
        <f t="shared" ca="1" si="32"/>
        <v>1819</v>
      </c>
    </row>
    <row r="135" spans="1:19">
      <c r="A135" s="159">
        <f>抵押物清单!B113</f>
        <v>1804</v>
      </c>
      <c r="B135" s="59">
        <f>抵押物清单!D113</f>
        <v>385.52</v>
      </c>
      <c r="C135" s="24">
        <f t="shared" si="23"/>
        <v>1</v>
      </c>
      <c r="D135" s="2960" t="s">
        <v>3298</v>
      </c>
      <c r="E135" s="24">
        <f t="shared" si="24"/>
        <v>1.02</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ca="1" si="31"/>
        <v>62757</v>
      </c>
      <c r="S135" s="361">
        <f t="shared" ca="1" si="32"/>
        <v>2419</v>
      </c>
    </row>
    <row r="136" spans="1:19">
      <c r="A136" s="159">
        <f>抵押物清单!B114</f>
        <v>1805</v>
      </c>
      <c r="B136" s="59">
        <f>抵押物清单!D114</f>
        <v>205.4</v>
      </c>
      <c r="C136" s="24">
        <f t="shared" si="23"/>
        <v>0.99</v>
      </c>
      <c r="D136" s="2960" t="s">
        <v>3298</v>
      </c>
      <c r="E136" s="24">
        <f t="shared" si="24"/>
        <v>1.02</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ca="1" si="31"/>
        <v>62129</v>
      </c>
      <c r="S136" s="361">
        <f t="shared" ca="1" si="32"/>
        <v>1276</v>
      </c>
    </row>
    <row r="137" spans="1:19">
      <c r="A137" s="159">
        <f>抵押物清单!B115</f>
        <v>1806</v>
      </c>
      <c r="B137" s="59">
        <f>抵押物清单!D115</f>
        <v>385.52</v>
      </c>
      <c r="C137" s="24">
        <f t="shared" si="23"/>
        <v>1</v>
      </c>
      <c r="D137" s="2960" t="s">
        <v>3298</v>
      </c>
      <c r="E137" s="24">
        <f t="shared" si="24"/>
        <v>1.02</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ca="1" si="31"/>
        <v>62757</v>
      </c>
      <c r="S137" s="361">
        <f t="shared" ca="1" si="32"/>
        <v>2419</v>
      </c>
    </row>
    <row r="138" spans="1:19">
      <c r="A138" s="159">
        <f>抵押物清单!B116</f>
        <v>1807</v>
      </c>
      <c r="B138" s="59">
        <f>抵押物清单!D116</f>
        <v>292.93</v>
      </c>
      <c r="C138" s="24">
        <f t="shared" si="23"/>
        <v>0.99</v>
      </c>
      <c r="D138" s="2960" t="s">
        <v>3298</v>
      </c>
      <c r="E138" s="24">
        <f t="shared" si="24"/>
        <v>1.02</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ca="1" si="31"/>
        <v>62129</v>
      </c>
      <c r="S138" s="361">
        <f t="shared" ca="1" si="32"/>
        <v>1820</v>
      </c>
    </row>
    <row r="139" spans="1:19">
      <c r="A139" s="159">
        <f>抵押物清单!B117</f>
        <v>1808</v>
      </c>
      <c r="B139" s="59">
        <f>抵押物清单!D117</f>
        <v>141.11000000000001</v>
      </c>
      <c r="C139" s="24">
        <f t="shared" si="23"/>
        <v>0.98</v>
      </c>
      <c r="D139" s="2960" t="s">
        <v>3298</v>
      </c>
      <c r="E139" s="24">
        <f t="shared" si="24"/>
        <v>1.02</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ca="1" si="31"/>
        <v>61501</v>
      </c>
      <c r="S139" s="361">
        <f t="shared" ca="1" si="32"/>
        <v>868</v>
      </c>
    </row>
    <row r="140" spans="1:19">
      <c r="A140" s="159">
        <f>抵押物清单!B118</f>
        <v>1809</v>
      </c>
      <c r="B140" s="59">
        <f>抵押物清单!D118</f>
        <v>385.62</v>
      </c>
      <c r="C140" s="24">
        <f t="shared" si="23"/>
        <v>1</v>
      </c>
      <c r="D140" s="2960" t="s">
        <v>3298</v>
      </c>
      <c r="E140" s="24">
        <f t="shared" si="24"/>
        <v>1.02</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ca="1" si="31"/>
        <v>62757</v>
      </c>
      <c r="S140" s="361">
        <f t="shared" ca="1" si="32"/>
        <v>2420</v>
      </c>
    </row>
    <row r="141" spans="1:19">
      <c r="A141" s="159">
        <f>抵押物清单!B119</f>
        <v>1810</v>
      </c>
      <c r="B141" s="59">
        <f>抵押物清单!D119</f>
        <v>205.4</v>
      </c>
      <c r="C141" s="24">
        <f t="shared" si="23"/>
        <v>0.99</v>
      </c>
      <c r="D141" s="2960" t="s">
        <v>3298</v>
      </c>
      <c r="E141" s="24">
        <f t="shared" si="24"/>
        <v>1.02</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ca="1" si="31"/>
        <v>62129</v>
      </c>
      <c r="S141" s="361">
        <f t="shared" ca="1" si="32"/>
        <v>1276</v>
      </c>
    </row>
    <row r="142" spans="1:19">
      <c r="A142" s="159">
        <f>抵押物清单!B120</f>
        <v>1901</v>
      </c>
      <c r="B142" s="59">
        <f>抵押物清单!D120</f>
        <v>385.62</v>
      </c>
      <c r="C142" s="24">
        <f t="shared" si="23"/>
        <v>1</v>
      </c>
      <c r="D142" s="2960" t="s">
        <v>3298</v>
      </c>
      <c r="E142" s="24">
        <f t="shared" si="24"/>
        <v>1.02</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ca="1" si="31"/>
        <v>62757</v>
      </c>
      <c r="S142" s="361">
        <f t="shared" ca="1" si="32"/>
        <v>2420</v>
      </c>
    </row>
    <row r="143" spans="1:19">
      <c r="A143" s="159">
        <f>抵押物清单!B121</f>
        <v>1902</v>
      </c>
      <c r="B143" s="59">
        <f>抵押物清单!D121</f>
        <v>141.11000000000001</v>
      </c>
      <c r="C143" s="24">
        <f t="shared" si="23"/>
        <v>0.98</v>
      </c>
      <c r="D143" s="2960" t="s">
        <v>3298</v>
      </c>
      <c r="E143" s="24">
        <f t="shared" si="24"/>
        <v>1.02</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ca="1" si="31"/>
        <v>61501</v>
      </c>
      <c r="S143" s="361">
        <f t="shared" ca="1" si="32"/>
        <v>868</v>
      </c>
    </row>
    <row r="144" spans="1:19">
      <c r="A144" s="159">
        <f>抵押物清单!B122</f>
        <v>1903</v>
      </c>
      <c r="B144" s="59">
        <f>抵押物清单!D122</f>
        <v>292.73</v>
      </c>
      <c r="C144" s="24">
        <f t="shared" si="23"/>
        <v>0.99</v>
      </c>
      <c r="D144" s="2960" t="s">
        <v>3298</v>
      </c>
      <c r="E144" s="24">
        <f t="shared" si="24"/>
        <v>1.02</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ca="1" si="31"/>
        <v>62129</v>
      </c>
      <c r="S144" s="361">
        <f t="shared" ca="1" si="32"/>
        <v>1819</v>
      </c>
    </row>
    <row r="145" spans="1:19">
      <c r="A145" s="159">
        <f>抵押物清单!B123</f>
        <v>1904</v>
      </c>
      <c r="B145" s="59">
        <f>抵押物清单!D123</f>
        <v>385.52</v>
      </c>
      <c r="C145" s="24">
        <f t="shared" si="23"/>
        <v>1</v>
      </c>
      <c r="D145" s="2960" t="s">
        <v>3298</v>
      </c>
      <c r="E145" s="24">
        <f t="shared" si="24"/>
        <v>1.02</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ca="1" si="31"/>
        <v>62757</v>
      </c>
      <c r="S145" s="361">
        <f t="shared" ca="1" si="32"/>
        <v>2419</v>
      </c>
    </row>
    <row r="146" spans="1:19">
      <c r="A146" s="159">
        <f>抵押物清单!B124</f>
        <v>1905</v>
      </c>
      <c r="B146" s="59">
        <f>抵押物清单!D124</f>
        <v>205.4</v>
      </c>
      <c r="C146" s="24">
        <f t="shared" si="23"/>
        <v>0.99</v>
      </c>
      <c r="D146" s="2960" t="s">
        <v>3298</v>
      </c>
      <c r="E146" s="24">
        <f t="shared" si="24"/>
        <v>1.02</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ca="1" si="31"/>
        <v>62129</v>
      </c>
      <c r="S146" s="361">
        <f t="shared" ca="1" si="32"/>
        <v>1276</v>
      </c>
    </row>
    <row r="147" spans="1:19">
      <c r="A147" s="159">
        <f>抵押物清单!B125</f>
        <v>1906</v>
      </c>
      <c r="B147" s="59">
        <f>抵押物清单!D125</f>
        <v>385.52</v>
      </c>
      <c r="C147" s="24">
        <f t="shared" si="23"/>
        <v>1</v>
      </c>
      <c r="D147" s="2960" t="s">
        <v>3298</v>
      </c>
      <c r="E147" s="24">
        <f t="shared" si="24"/>
        <v>1.02</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ca="1" si="31"/>
        <v>62757</v>
      </c>
      <c r="S147" s="361">
        <f t="shared" ca="1" si="32"/>
        <v>2419</v>
      </c>
    </row>
    <row r="148" spans="1:19">
      <c r="A148" s="159">
        <f>抵押物清单!B126</f>
        <v>1907</v>
      </c>
      <c r="B148" s="59">
        <f>抵押物清单!D126</f>
        <v>292.93</v>
      </c>
      <c r="C148" s="24">
        <f t="shared" si="23"/>
        <v>0.99</v>
      </c>
      <c r="D148" s="2960" t="s">
        <v>3298</v>
      </c>
      <c r="E148" s="24">
        <f t="shared" si="24"/>
        <v>1.02</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ca="1" si="31"/>
        <v>62129</v>
      </c>
      <c r="S148" s="361">
        <f t="shared" ca="1" si="32"/>
        <v>1820</v>
      </c>
    </row>
    <row r="149" spans="1:19">
      <c r="A149" s="159">
        <f>抵押物清单!B127</f>
        <v>1908</v>
      </c>
      <c r="B149" s="59">
        <f>抵押物清单!D127</f>
        <v>141.11000000000001</v>
      </c>
      <c r="C149" s="24">
        <f t="shared" si="23"/>
        <v>0.98</v>
      </c>
      <c r="D149" s="2960" t="s">
        <v>3298</v>
      </c>
      <c r="E149" s="24">
        <f t="shared" si="24"/>
        <v>1.02</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ca="1" si="31"/>
        <v>61501</v>
      </c>
      <c r="S149" s="361">
        <f t="shared" ca="1" si="32"/>
        <v>868</v>
      </c>
    </row>
    <row r="150" spans="1:19">
      <c r="A150" s="159">
        <f>抵押物清单!B128</f>
        <v>1909</v>
      </c>
      <c r="B150" s="59">
        <f>抵押物清单!D128</f>
        <v>385.62</v>
      </c>
      <c r="C150" s="24">
        <f t="shared" si="23"/>
        <v>1</v>
      </c>
      <c r="D150" s="2960" t="s">
        <v>3298</v>
      </c>
      <c r="E150" s="24">
        <f t="shared" si="24"/>
        <v>1.02</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ca="1" si="31"/>
        <v>62757</v>
      </c>
      <c r="S150" s="361">
        <f t="shared" ca="1" si="32"/>
        <v>2420</v>
      </c>
    </row>
    <row r="151" spans="1:19">
      <c r="A151" s="159">
        <f>抵押物清单!B129</f>
        <v>1910</v>
      </c>
      <c r="B151" s="59">
        <f>抵押物清单!D129</f>
        <v>205.4</v>
      </c>
      <c r="C151" s="24">
        <f t="shared" si="23"/>
        <v>0.99</v>
      </c>
      <c r="D151" s="2960" t="s">
        <v>3298</v>
      </c>
      <c r="E151" s="24">
        <f t="shared" si="24"/>
        <v>1.02</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ca="1" si="31"/>
        <v>62129</v>
      </c>
      <c r="S151" s="361">
        <f t="shared" ca="1" si="32"/>
        <v>1276</v>
      </c>
    </row>
    <row r="152" spans="1:19">
      <c r="A152" s="159">
        <f>抵押物清单!B130</f>
        <v>2001</v>
      </c>
      <c r="B152" s="59">
        <f>抵押物清单!D130</f>
        <v>385.62</v>
      </c>
      <c r="C152" s="24">
        <f t="shared" si="23"/>
        <v>1</v>
      </c>
      <c r="D152" s="2960" t="s">
        <v>3298</v>
      </c>
      <c r="E152" s="24">
        <f t="shared" si="24"/>
        <v>1.02</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ca="1" si="31"/>
        <v>62757</v>
      </c>
      <c r="S152" s="361">
        <f t="shared" ca="1" si="32"/>
        <v>2420</v>
      </c>
    </row>
    <row r="153" spans="1:19">
      <c r="A153" s="159">
        <f>抵押物清单!B131</f>
        <v>2002</v>
      </c>
      <c r="B153" s="59">
        <f>抵押物清单!D131</f>
        <v>141.11000000000001</v>
      </c>
      <c r="C153" s="24">
        <f t="shared" si="23"/>
        <v>0.98</v>
      </c>
      <c r="D153" s="2960" t="s">
        <v>3298</v>
      </c>
      <c r="E153" s="24">
        <f t="shared" si="24"/>
        <v>1.02</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ca="1" si="31"/>
        <v>61501</v>
      </c>
      <c r="S153" s="361">
        <f t="shared" ca="1" si="32"/>
        <v>868</v>
      </c>
    </row>
    <row r="154" spans="1:19">
      <c r="A154" s="159">
        <f>抵押物清单!B132</f>
        <v>2003</v>
      </c>
      <c r="B154" s="59">
        <f>抵押物清单!D132</f>
        <v>292.73</v>
      </c>
      <c r="C154" s="24">
        <f t="shared" ref="C154:C217" si="33">IF(B154="",1,(LOOKUP(B154,$3:$3,$4:$4)-LOOKUP($B$24,$3:$3,$4:$4)+100)/100)</f>
        <v>0.99</v>
      </c>
      <c r="D154" s="2960" t="s">
        <v>3298</v>
      </c>
      <c r="E154" s="24">
        <f t="shared" ref="E154:E217" si="34">(SUMIF($5:$5,D154,$6:$6)-SUMIF($5:$5,$D$24,$6:$6)+100)/100</f>
        <v>1.02</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ca="1" si="41">IF(B154="",0,ROUND($R$24*C154*E154*G154*I154*K154*M154*O154*Q154,0))</f>
        <v>62129</v>
      </c>
      <c r="S154" s="361">
        <f t="shared" ca="1" si="32"/>
        <v>1819</v>
      </c>
    </row>
    <row r="155" spans="1:19">
      <c r="A155" s="159">
        <f>抵押物清单!B133</f>
        <v>2004</v>
      </c>
      <c r="B155" s="59">
        <f>抵押物清单!D133</f>
        <v>385.52</v>
      </c>
      <c r="C155" s="24">
        <f t="shared" si="33"/>
        <v>1</v>
      </c>
      <c r="D155" s="2960" t="s">
        <v>3298</v>
      </c>
      <c r="E155" s="24">
        <f t="shared" si="34"/>
        <v>1.02</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ca="1" si="41"/>
        <v>62757</v>
      </c>
      <c r="S155" s="361">
        <f t="shared" ca="1" si="32"/>
        <v>2419</v>
      </c>
    </row>
    <row r="156" spans="1:19">
      <c r="A156" s="159">
        <f>抵押物清单!B134</f>
        <v>2005</v>
      </c>
      <c r="B156" s="59">
        <f>抵押物清单!D134</f>
        <v>205.4</v>
      </c>
      <c r="C156" s="24">
        <f t="shared" si="33"/>
        <v>0.99</v>
      </c>
      <c r="D156" s="2960" t="s">
        <v>3298</v>
      </c>
      <c r="E156" s="24">
        <f t="shared" si="34"/>
        <v>1.02</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ca="1" si="41"/>
        <v>62129</v>
      </c>
      <c r="S156" s="361">
        <f t="shared" ca="1" si="32"/>
        <v>1276</v>
      </c>
    </row>
    <row r="157" spans="1:19">
      <c r="A157" s="159">
        <f>抵押物清单!B135</f>
        <v>2006</v>
      </c>
      <c r="B157" s="59">
        <f>抵押物清单!D135</f>
        <v>385.52</v>
      </c>
      <c r="C157" s="24">
        <f t="shared" si="33"/>
        <v>1</v>
      </c>
      <c r="D157" s="2960" t="s">
        <v>3298</v>
      </c>
      <c r="E157" s="24">
        <f t="shared" si="34"/>
        <v>1.02</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ca="1" si="41"/>
        <v>62757</v>
      </c>
      <c r="S157" s="361">
        <f t="shared" ca="1" si="32"/>
        <v>2419</v>
      </c>
    </row>
    <row r="158" spans="1:19">
      <c r="A158" s="159">
        <f>抵押物清单!B136</f>
        <v>2007</v>
      </c>
      <c r="B158" s="59">
        <f>抵押物清单!D136</f>
        <v>292.93</v>
      </c>
      <c r="C158" s="24">
        <f t="shared" si="33"/>
        <v>0.99</v>
      </c>
      <c r="D158" s="2960" t="s">
        <v>3298</v>
      </c>
      <c r="E158" s="24">
        <f t="shared" si="34"/>
        <v>1.02</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ca="1" si="41"/>
        <v>62129</v>
      </c>
      <c r="S158" s="361">
        <f t="shared" ca="1" si="32"/>
        <v>1820</v>
      </c>
    </row>
    <row r="159" spans="1:19">
      <c r="A159" s="159">
        <f>抵押物清单!B137</f>
        <v>2008</v>
      </c>
      <c r="B159" s="59">
        <f>抵押物清单!D137</f>
        <v>141.11000000000001</v>
      </c>
      <c r="C159" s="24">
        <f t="shared" si="33"/>
        <v>0.98</v>
      </c>
      <c r="D159" s="2960" t="s">
        <v>3298</v>
      </c>
      <c r="E159" s="24">
        <f t="shared" si="34"/>
        <v>1.02</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ca="1" si="41"/>
        <v>61501</v>
      </c>
      <c r="S159" s="361">
        <f t="shared" ca="1" si="32"/>
        <v>868</v>
      </c>
    </row>
    <row r="160" spans="1:19">
      <c r="A160" s="159">
        <f>抵押物清单!B138</f>
        <v>2009</v>
      </c>
      <c r="B160" s="59">
        <f>抵押物清单!D138</f>
        <v>385.62</v>
      </c>
      <c r="C160" s="24">
        <f t="shared" si="33"/>
        <v>1</v>
      </c>
      <c r="D160" s="2960" t="s">
        <v>3298</v>
      </c>
      <c r="E160" s="24">
        <f t="shared" si="34"/>
        <v>1.02</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ca="1" si="41"/>
        <v>62757</v>
      </c>
      <c r="S160" s="361">
        <f t="shared" ca="1" si="32"/>
        <v>2420</v>
      </c>
    </row>
    <row r="161" spans="1:19">
      <c r="A161" s="159">
        <f>抵押物清单!B139</f>
        <v>2010</v>
      </c>
      <c r="B161" s="59">
        <f>抵押物清单!D139</f>
        <v>205.4</v>
      </c>
      <c r="C161" s="24">
        <f t="shared" si="33"/>
        <v>0.99</v>
      </c>
      <c r="D161" s="2960" t="s">
        <v>3298</v>
      </c>
      <c r="E161" s="24">
        <f t="shared" si="34"/>
        <v>1.02</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ca="1" si="41"/>
        <v>62129</v>
      </c>
      <c r="S161" s="361">
        <f t="shared" ca="1" si="32"/>
        <v>1276</v>
      </c>
    </row>
    <row r="162" spans="1:19">
      <c r="A162" s="159">
        <f>抵押物清单!B140</f>
        <v>2101</v>
      </c>
      <c r="B162" s="59">
        <f>抵押物清单!D140</f>
        <v>388.03</v>
      </c>
      <c r="C162" s="24">
        <f t="shared" si="33"/>
        <v>1</v>
      </c>
      <c r="D162" s="2960" t="s">
        <v>3298</v>
      </c>
      <c r="E162" s="24">
        <f t="shared" si="34"/>
        <v>1.02</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ca="1" si="41"/>
        <v>62757</v>
      </c>
      <c r="S162" s="361">
        <f t="shared" ca="1" si="32"/>
        <v>2435</v>
      </c>
    </row>
    <row r="163" spans="1:19">
      <c r="A163" s="159">
        <f>抵押物清单!B141</f>
        <v>2102</v>
      </c>
      <c r="B163" s="59">
        <f>抵押物清单!D141</f>
        <v>141.09</v>
      </c>
      <c r="C163" s="24">
        <f t="shared" si="33"/>
        <v>0.98</v>
      </c>
      <c r="D163" s="2960" t="s">
        <v>3298</v>
      </c>
      <c r="E163" s="24">
        <f t="shared" si="34"/>
        <v>1.02</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ca="1" si="41"/>
        <v>61501</v>
      </c>
      <c r="S163" s="361">
        <f t="shared" ca="1" si="32"/>
        <v>868</v>
      </c>
    </row>
    <row r="164" spans="1:19">
      <c r="A164" s="159">
        <f>抵押物清单!B142</f>
        <v>2103</v>
      </c>
      <c r="B164" s="59">
        <f>抵押物清单!D142</f>
        <v>294.19</v>
      </c>
      <c r="C164" s="24">
        <f t="shared" si="33"/>
        <v>0.99</v>
      </c>
      <c r="D164" s="2960" t="s">
        <v>3298</v>
      </c>
      <c r="E164" s="24">
        <f t="shared" si="34"/>
        <v>1.02</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ca="1" si="41"/>
        <v>62129</v>
      </c>
      <c r="S164" s="361">
        <f t="shared" ca="1" si="32"/>
        <v>1828</v>
      </c>
    </row>
    <row r="165" spans="1:19">
      <c r="A165" s="159">
        <f>抵押物清单!B143</f>
        <v>2104</v>
      </c>
      <c r="B165" s="59">
        <f>抵押物清单!D143</f>
        <v>387.93</v>
      </c>
      <c r="C165" s="24">
        <f t="shared" si="33"/>
        <v>1</v>
      </c>
      <c r="D165" s="2960" t="s">
        <v>3298</v>
      </c>
      <c r="E165" s="24">
        <f t="shared" si="34"/>
        <v>1.02</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ca="1" si="41"/>
        <v>62757</v>
      </c>
      <c r="S165" s="361">
        <f t="shared" ca="1" si="32"/>
        <v>2435</v>
      </c>
    </row>
    <row r="166" spans="1:19">
      <c r="A166" s="159">
        <f>抵押物清单!B144</f>
        <v>2105</v>
      </c>
      <c r="B166" s="59">
        <f>抵押物清单!D144</f>
        <v>206.9</v>
      </c>
      <c r="C166" s="24">
        <f t="shared" si="33"/>
        <v>0.99</v>
      </c>
      <c r="D166" s="2960" t="s">
        <v>3298</v>
      </c>
      <c r="E166" s="24">
        <f t="shared" si="34"/>
        <v>1.02</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ca="1" si="41"/>
        <v>62129</v>
      </c>
      <c r="S166" s="361">
        <f t="shared" ca="1" si="32"/>
        <v>1285</v>
      </c>
    </row>
    <row r="167" spans="1:19">
      <c r="A167" s="159">
        <f>抵押物清单!B145</f>
        <v>2106</v>
      </c>
      <c r="B167" s="59">
        <f>抵押物清单!D145</f>
        <v>387.93</v>
      </c>
      <c r="C167" s="24">
        <f t="shared" si="33"/>
        <v>1</v>
      </c>
      <c r="D167" s="2960" t="s">
        <v>3298</v>
      </c>
      <c r="E167" s="24">
        <f t="shared" si="34"/>
        <v>1.02</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ca="1" si="41"/>
        <v>62757</v>
      </c>
      <c r="S167" s="361">
        <f t="shared" ca="1" si="32"/>
        <v>2435</v>
      </c>
    </row>
    <row r="168" spans="1:19">
      <c r="A168" s="159">
        <f>抵押物清单!B146</f>
        <v>2107</v>
      </c>
      <c r="B168" s="59">
        <f>抵押物清单!D146</f>
        <v>294.39</v>
      </c>
      <c r="C168" s="24">
        <f t="shared" si="33"/>
        <v>0.99</v>
      </c>
      <c r="D168" s="2960" t="s">
        <v>3298</v>
      </c>
      <c r="E168" s="24">
        <f t="shared" si="34"/>
        <v>1.02</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ca="1" si="41"/>
        <v>62129</v>
      </c>
      <c r="S168" s="361">
        <f t="shared" ca="1" si="32"/>
        <v>1829</v>
      </c>
    </row>
    <row r="169" spans="1:19">
      <c r="A169" s="159">
        <f>抵押物清单!B147</f>
        <v>2108</v>
      </c>
      <c r="B169" s="59">
        <f>抵押物清单!D147</f>
        <v>141.09</v>
      </c>
      <c r="C169" s="24">
        <f t="shared" si="33"/>
        <v>0.98</v>
      </c>
      <c r="D169" s="2960" t="s">
        <v>3298</v>
      </c>
      <c r="E169" s="24">
        <f t="shared" si="34"/>
        <v>1.02</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ca="1" si="41"/>
        <v>61501</v>
      </c>
      <c r="S169" s="361">
        <f t="shared" ca="1" si="32"/>
        <v>868</v>
      </c>
    </row>
    <row r="170" spans="1:19">
      <c r="A170" s="159">
        <f>抵押物清单!B148</f>
        <v>2109</v>
      </c>
      <c r="B170" s="59">
        <f>抵押物清单!D148</f>
        <v>388.03</v>
      </c>
      <c r="C170" s="24">
        <f t="shared" si="33"/>
        <v>1</v>
      </c>
      <c r="D170" s="2960" t="s">
        <v>3298</v>
      </c>
      <c r="E170" s="24">
        <f t="shared" si="34"/>
        <v>1.02</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ca="1" si="41"/>
        <v>62757</v>
      </c>
      <c r="S170" s="361">
        <f t="shared" ca="1" si="32"/>
        <v>2435</v>
      </c>
    </row>
    <row r="171" spans="1:19">
      <c r="A171" s="159">
        <f>抵押物清单!B149</f>
        <v>2110</v>
      </c>
      <c r="B171" s="59">
        <f>抵押物清单!D149</f>
        <v>206.9</v>
      </c>
      <c r="C171" s="24">
        <f t="shared" si="33"/>
        <v>0.99</v>
      </c>
      <c r="D171" s="2960" t="s">
        <v>3298</v>
      </c>
      <c r="E171" s="24">
        <f t="shared" si="34"/>
        <v>1.02</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ca="1" si="41"/>
        <v>62129</v>
      </c>
      <c r="S171" s="361">
        <f t="shared" ca="1" si="32"/>
        <v>1285</v>
      </c>
    </row>
    <row r="172" spans="1:19">
      <c r="A172" s="159">
        <f>抵押物清单!B150</f>
        <v>2201</v>
      </c>
      <c r="B172" s="59">
        <f>抵押物清单!D150</f>
        <v>388.03</v>
      </c>
      <c r="C172" s="24">
        <f t="shared" si="33"/>
        <v>1</v>
      </c>
      <c r="D172" s="2960" t="s">
        <v>3298</v>
      </c>
      <c r="E172" s="24">
        <f t="shared" si="34"/>
        <v>1.02</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ca="1" si="41"/>
        <v>62757</v>
      </c>
      <c r="S172" s="361">
        <f t="shared" ca="1" si="32"/>
        <v>2435</v>
      </c>
    </row>
    <row r="173" spans="1:19">
      <c r="A173" s="159">
        <f>抵押物清单!B151</f>
        <v>2202</v>
      </c>
      <c r="B173" s="59">
        <f>抵押物清单!D151</f>
        <v>141.09</v>
      </c>
      <c r="C173" s="24">
        <f t="shared" si="33"/>
        <v>0.98</v>
      </c>
      <c r="D173" s="2960" t="s">
        <v>3298</v>
      </c>
      <c r="E173" s="24">
        <f t="shared" si="34"/>
        <v>1.02</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ca="1" si="41"/>
        <v>61501</v>
      </c>
      <c r="S173" s="361">
        <f t="shared" ca="1" si="32"/>
        <v>868</v>
      </c>
    </row>
    <row r="174" spans="1:19">
      <c r="A174" s="159">
        <f>抵押物清单!B152</f>
        <v>2203</v>
      </c>
      <c r="B174" s="59">
        <f>抵押物清单!D152</f>
        <v>294.19</v>
      </c>
      <c r="C174" s="24">
        <f t="shared" si="33"/>
        <v>0.99</v>
      </c>
      <c r="D174" s="2960" t="s">
        <v>3298</v>
      </c>
      <c r="E174" s="24">
        <f t="shared" si="34"/>
        <v>1.02</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ca="1" si="41"/>
        <v>62129</v>
      </c>
      <c r="S174" s="361">
        <f t="shared" ca="1" si="32"/>
        <v>1828</v>
      </c>
    </row>
    <row r="175" spans="1:19">
      <c r="A175" s="159">
        <f>抵押物清单!B153</f>
        <v>2204</v>
      </c>
      <c r="B175" s="59">
        <f>抵押物清单!D153</f>
        <v>387.93</v>
      </c>
      <c r="C175" s="24">
        <f t="shared" si="33"/>
        <v>1</v>
      </c>
      <c r="D175" s="2960" t="s">
        <v>3298</v>
      </c>
      <c r="E175" s="24">
        <f t="shared" si="34"/>
        <v>1.02</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ca="1" si="41"/>
        <v>62757</v>
      </c>
      <c r="S175" s="361">
        <f t="shared" ca="1" si="32"/>
        <v>2435</v>
      </c>
    </row>
    <row r="176" spans="1:19">
      <c r="A176" s="159">
        <f>抵押物清单!B154</f>
        <v>2205</v>
      </c>
      <c r="B176" s="59">
        <f>抵押物清单!D154</f>
        <v>206.9</v>
      </c>
      <c r="C176" s="24">
        <f t="shared" si="33"/>
        <v>0.99</v>
      </c>
      <c r="D176" s="2960" t="s">
        <v>3298</v>
      </c>
      <c r="E176" s="24">
        <f t="shared" si="34"/>
        <v>1.02</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ca="1" si="41"/>
        <v>62129</v>
      </c>
      <c r="S176" s="361">
        <f t="shared" ca="1" si="32"/>
        <v>1285</v>
      </c>
    </row>
    <row r="177" spans="1:19">
      <c r="A177" s="159">
        <f>抵押物清单!B155</f>
        <v>2206</v>
      </c>
      <c r="B177" s="59">
        <f>抵押物清单!D155</f>
        <v>387.93</v>
      </c>
      <c r="C177" s="24">
        <f t="shared" si="33"/>
        <v>1</v>
      </c>
      <c r="D177" s="2960" t="s">
        <v>3298</v>
      </c>
      <c r="E177" s="24">
        <f t="shared" si="34"/>
        <v>1.02</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ca="1" si="41"/>
        <v>62757</v>
      </c>
      <c r="S177" s="361">
        <f t="shared" ca="1" si="32"/>
        <v>2435</v>
      </c>
    </row>
    <row r="178" spans="1:19">
      <c r="A178" s="159">
        <f>抵押物清单!B156</f>
        <v>2207</v>
      </c>
      <c r="B178" s="59">
        <f>抵押物清单!D156</f>
        <v>294.39</v>
      </c>
      <c r="C178" s="24">
        <f t="shared" si="33"/>
        <v>0.99</v>
      </c>
      <c r="D178" s="2960" t="s">
        <v>3298</v>
      </c>
      <c r="E178" s="24">
        <f t="shared" si="34"/>
        <v>1.02</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ca="1" si="41"/>
        <v>62129</v>
      </c>
      <c r="S178" s="361">
        <f t="shared" ca="1" si="32"/>
        <v>1829</v>
      </c>
    </row>
    <row r="179" spans="1:19">
      <c r="A179" s="159">
        <f>抵押物清单!B157</f>
        <v>2208</v>
      </c>
      <c r="B179" s="59">
        <f>抵押物清单!D157</f>
        <v>141.09</v>
      </c>
      <c r="C179" s="24">
        <f t="shared" si="33"/>
        <v>0.98</v>
      </c>
      <c r="D179" s="2960" t="s">
        <v>3298</v>
      </c>
      <c r="E179" s="24">
        <f t="shared" si="34"/>
        <v>1.02</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ca="1" si="41"/>
        <v>61501</v>
      </c>
      <c r="S179" s="361">
        <f t="shared" ca="1" si="32"/>
        <v>868</v>
      </c>
    </row>
    <row r="180" spans="1:19">
      <c r="A180" s="159">
        <f>抵押物清单!B158</f>
        <v>2209</v>
      </c>
      <c r="B180" s="59">
        <f>抵押物清单!D158</f>
        <v>388.03</v>
      </c>
      <c r="C180" s="24">
        <f t="shared" si="33"/>
        <v>1</v>
      </c>
      <c r="D180" s="2960" t="s">
        <v>3298</v>
      </c>
      <c r="E180" s="24">
        <f t="shared" si="34"/>
        <v>1.02</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ca="1" si="41"/>
        <v>62757</v>
      </c>
      <c r="S180" s="361">
        <f t="shared" ca="1" si="32"/>
        <v>2435</v>
      </c>
    </row>
    <row r="181" spans="1:19">
      <c r="A181" s="159">
        <f>抵押物清单!B159</f>
        <v>2210</v>
      </c>
      <c r="B181" s="59">
        <f>抵押物清单!D159</f>
        <v>206.9</v>
      </c>
      <c r="C181" s="24">
        <f t="shared" si="33"/>
        <v>0.99</v>
      </c>
      <c r="D181" s="2960" t="s">
        <v>3298</v>
      </c>
      <c r="E181" s="24">
        <f t="shared" si="34"/>
        <v>1.02</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ca="1" si="41"/>
        <v>62129</v>
      </c>
      <c r="S181" s="361">
        <f t="shared" ca="1" si="32"/>
        <v>1285</v>
      </c>
    </row>
    <row r="182" spans="1:19">
      <c r="A182" s="159">
        <f>抵押物清单!B160</f>
        <v>2301</v>
      </c>
      <c r="B182" s="59">
        <f>抵押物清单!D160</f>
        <v>388.03</v>
      </c>
      <c r="C182" s="24">
        <f t="shared" si="33"/>
        <v>1</v>
      </c>
      <c r="D182" s="2960" t="s">
        <v>3298</v>
      </c>
      <c r="E182" s="24">
        <f t="shared" si="34"/>
        <v>1.02</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ca="1" si="41"/>
        <v>62757</v>
      </c>
      <c r="S182" s="361">
        <f t="shared" ca="1" si="32"/>
        <v>2435</v>
      </c>
    </row>
    <row r="183" spans="1:19">
      <c r="A183" s="159">
        <f>抵押物清单!B161</f>
        <v>2302</v>
      </c>
      <c r="B183" s="59">
        <f>抵押物清单!D161</f>
        <v>141.09</v>
      </c>
      <c r="C183" s="24">
        <f t="shared" si="33"/>
        <v>0.98</v>
      </c>
      <c r="D183" s="2960" t="s">
        <v>3298</v>
      </c>
      <c r="E183" s="24">
        <f t="shared" si="34"/>
        <v>1.02</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ca="1" si="41"/>
        <v>61501</v>
      </c>
      <c r="S183" s="361">
        <f t="shared" ca="1" si="32"/>
        <v>868</v>
      </c>
    </row>
    <row r="184" spans="1:19">
      <c r="A184" s="159">
        <f>抵押物清单!B162</f>
        <v>2303</v>
      </c>
      <c r="B184" s="59">
        <f>抵押物清单!D162</f>
        <v>294.19</v>
      </c>
      <c r="C184" s="24">
        <f t="shared" si="33"/>
        <v>0.99</v>
      </c>
      <c r="D184" s="2960" t="s">
        <v>3298</v>
      </c>
      <c r="E184" s="24">
        <f t="shared" si="34"/>
        <v>1.02</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ca="1" si="41"/>
        <v>62129</v>
      </c>
      <c r="S184" s="361">
        <f t="shared" ca="1" si="32"/>
        <v>1828</v>
      </c>
    </row>
    <row r="185" spans="1:19">
      <c r="A185" s="159">
        <f>抵押物清单!B163</f>
        <v>2304</v>
      </c>
      <c r="B185" s="59">
        <f>抵押物清单!D163</f>
        <v>387.93</v>
      </c>
      <c r="C185" s="24">
        <f t="shared" si="33"/>
        <v>1</v>
      </c>
      <c r="D185" s="2960" t="s">
        <v>3298</v>
      </c>
      <c r="E185" s="24">
        <f t="shared" si="34"/>
        <v>1.02</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ca="1" si="41"/>
        <v>62757</v>
      </c>
      <c r="S185" s="361">
        <f t="shared" ca="1" si="32"/>
        <v>2435</v>
      </c>
    </row>
    <row r="186" spans="1:19">
      <c r="A186" s="159">
        <f>抵押物清单!B164</f>
        <v>2305</v>
      </c>
      <c r="B186" s="59">
        <f>抵押物清单!D164</f>
        <v>206.9</v>
      </c>
      <c r="C186" s="24">
        <f t="shared" si="33"/>
        <v>0.99</v>
      </c>
      <c r="D186" s="2960" t="s">
        <v>3298</v>
      </c>
      <c r="E186" s="24">
        <f t="shared" si="34"/>
        <v>1.02</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ca="1" si="41"/>
        <v>62129</v>
      </c>
      <c r="S186" s="361">
        <f t="shared" ca="1" si="32"/>
        <v>1285</v>
      </c>
    </row>
    <row r="187" spans="1:19">
      <c r="A187" s="159">
        <f>抵押物清单!B165</f>
        <v>2306</v>
      </c>
      <c r="B187" s="59">
        <f>抵押物清单!D165</f>
        <v>387.93</v>
      </c>
      <c r="C187" s="24">
        <f t="shared" si="33"/>
        <v>1</v>
      </c>
      <c r="D187" s="2960" t="s">
        <v>3298</v>
      </c>
      <c r="E187" s="24">
        <f t="shared" si="34"/>
        <v>1.02</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ca="1" si="41"/>
        <v>62757</v>
      </c>
      <c r="S187" s="361">
        <f t="shared" ref="S187:S222" ca="1" si="42">ROUND(R187*B187/10000,0)</f>
        <v>2435</v>
      </c>
    </row>
    <row r="188" spans="1:19">
      <c r="A188" s="159">
        <f>抵押物清单!B166</f>
        <v>2307</v>
      </c>
      <c r="B188" s="59">
        <f>抵押物清单!D166</f>
        <v>294.39</v>
      </c>
      <c r="C188" s="24">
        <f t="shared" si="33"/>
        <v>0.99</v>
      </c>
      <c r="D188" s="2960" t="s">
        <v>3298</v>
      </c>
      <c r="E188" s="24">
        <f t="shared" si="34"/>
        <v>1.02</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ca="1" si="41"/>
        <v>62129</v>
      </c>
      <c r="S188" s="361">
        <f t="shared" ca="1" si="42"/>
        <v>1829</v>
      </c>
    </row>
    <row r="189" spans="1:19">
      <c r="A189" s="159">
        <f>抵押物清单!B167</f>
        <v>2308</v>
      </c>
      <c r="B189" s="59">
        <f>抵押物清单!D167</f>
        <v>141.09</v>
      </c>
      <c r="C189" s="24">
        <f t="shared" si="33"/>
        <v>0.98</v>
      </c>
      <c r="D189" s="2960" t="s">
        <v>3298</v>
      </c>
      <c r="E189" s="24">
        <f t="shared" si="34"/>
        <v>1.02</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ca="1" si="41"/>
        <v>61501</v>
      </c>
      <c r="S189" s="361">
        <f t="shared" ca="1" si="42"/>
        <v>868</v>
      </c>
    </row>
    <row r="190" spans="1:19">
      <c r="A190" s="159">
        <f>抵押物清单!B168</f>
        <v>2309</v>
      </c>
      <c r="B190" s="59">
        <f>抵押物清单!D168</f>
        <v>388.03</v>
      </c>
      <c r="C190" s="24">
        <f t="shared" si="33"/>
        <v>1</v>
      </c>
      <c r="D190" s="2960" t="s">
        <v>3298</v>
      </c>
      <c r="E190" s="24">
        <f t="shared" si="34"/>
        <v>1.02</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ca="1" si="41"/>
        <v>62757</v>
      </c>
      <c r="S190" s="361">
        <f t="shared" ca="1" si="42"/>
        <v>2435</v>
      </c>
    </row>
    <row r="191" spans="1:19">
      <c r="A191" s="159">
        <f>抵押物清单!B169</f>
        <v>2310</v>
      </c>
      <c r="B191" s="59">
        <f>抵押物清单!D169</f>
        <v>206.9</v>
      </c>
      <c r="C191" s="24">
        <f t="shared" si="33"/>
        <v>0.99</v>
      </c>
      <c r="D191" s="2960" t="s">
        <v>3298</v>
      </c>
      <c r="E191" s="24">
        <f t="shared" si="34"/>
        <v>1.02</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ca="1" si="41"/>
        <v>62129</v>
      </c>
      <c r="S191" s="361">
        <f t="shared" ca="1" si="42"/>
        <v>1285</v>
      </c>
    </row>
    <row r="192" spans="1:19">
      <c r="A192" s="159">
        <f>抵押物清单!B170</f>
        <v>2401</v>
      </c>
      <c r="B192" s="59">
        <f>抵押物清单!D170</f>
        <v>388.03</v>
      </c>
      <c r="C192" s="24">
        <f t="shared" si="33"/>
        <v>1</v>
      </c>
      <c r="D192" s="2960" t="s">
        <v>3298</v>
      </c>
      <c r="E192" s="24">
        <f t="shared" si="34"/>
        <v>1.02</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ca="1" si="41"/>
        <v>62757</v>
      </c>
      <c r="S192" s="361">
        <f t="shared" ca="1" si="42"/>
        <v>2435</v>
      </c>
    </row>
    <row r="193" spans="1:19">
      <c r="A193" s="159">
        <f>抵押物清单!B171</f>
        <v>2402</v>
      </c>
      <c r="B193" s="59">
        <f>抵押物清单!D171</f>
        <v>141.09</v>
      </c>
      <c r="C193" s="24">
        <f t="shared" si="33"/>
        <v>0.98</v>
      </c>
      <c r="D193" s="2960" t="s">
        <v>3298</v>
      </c>
      <c r="E193" s="24">
        <f t="shared" si="34"/>
        <v>1.02</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ca="1" si="41"/>
        <v>61501</v>
      </c>
      <c r="S193" s="361">
        <f t="shared" ca="1" si="42"/>
        <v>868</v>
      </c>
    </row>
    <row r="194" spans="1:19">
      <c r="A194" s="159">
        <f>抵押物清单!B172</f>
        <v>2403</v>
      </c>
      <c r="B194" s="59">
        <f>抵押物清单!D172</f>
        <v>294.19</v>
      </c>
      <c r="C194" s="24">
        <f t="shared" si="33"/>
        <v>0.99</v>
      </c>
      <c r="D194" s="2960" t="s">
        <v>3298</v>
      </c>
      <c r="E194" s="24">
        <f t="shared" si="34"/>
        <v>1.02</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ca="1" si="41"/>
        <v>62129</v>
      </c>
      <c r="S194" s="361">
        <f t="shared" ca="1" si="42"/>
        <v>1828</v>
      </c>
    </row>
    <row r="195" spans="1:19">
      <c r="A195" s="159">
        <f>抵押物清单!B173</f>
        <v>2404</v>
      </c>
      <c r="B195" s="59">
        <f>抵押物清单!D173</f>
        <v>387.93</v>
      </c>
      <c r="C195" s="24">
        <f t="shared" si="33"/>
        <v>1</v>
      </c>
      <c r="D195" s="2960" t="s">
        <v>3298</v>
      </c>
      <c r="E195" s="24">
        <f t="shared" si="34"/>
        <v>1.02</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ca="1" si="41"/>
        <v>62757</v>
      </c>
      <c r="S195" s="361">
        <f t="shared" ca="1" si="42"/>
        <v>2435</v>
      </c>
    </row>
    <row r="196" spans="1:19">
      <c r="A196" s="159">
        <f>抵押物清单!B174</f>
        <v>2405</v>
      </c>
      <c r="B196" s="59">
        <f>抵押物清单!D174</f>
        <v>206.9</v>
      </c>
      <c r="C196" s="24">
        <f t="shared" si="33"/>
        <v>0.99</v>
      </c>
      <c r="D196" s="2960" t="s">
        <v>3298</v>
      </c>
      <c r="E196" s="24">
        <f t="shared" si="34"/>
        <v>1.02</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ca="1" si="41"/>
        <v>62129</v>
      </c>
      <c r="S196" s="361">
        <f t="shared" ca="1" si="42"/>
        <v>1285</v>
      </c>
    </row>
    <row r="197" spans="1:19">
      <c r="A197" s="159">
        <f>抵押物清单!B175</f>
        <v>2406</v>
      </c>
      <c r="B197" s="59">
        <f>抵押物清单!D175</f>
        <v>387.93</v>
      </c>
      <c r="C197" s="24">
        <f t="shared" si="33"/>
        <v>1</v>
      </c>
      <c r="D197" s="2960" t="s">
        <v>3298</v>
      </c>
      <c r="E197" s="24">
        <f t="shared" si="34"/>
        <v>1.02</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ca="1" si="41"/>
        <v>62757</v>
      </c>
      <c r="S197" s="361">
        <f t="shared" ca="1" si="42"/>
        <v>2435</v>
      </c>
    </row>
    <row r="198" spans="1:19">
      <c r="A198" s="159">
        <f>抵押物清单!B176</f>
        <v>2407</v>
      </c>
      <c r="B198" s="59">
        <f>抵押物清单!D176</f>
        <v>294.39</v>
      </c>
      <c r="C198" s="24">
        <f t="shared" si="33"/>
        <v>0.99</v>
      </c>
      <c r="D198" s="2960" t="s">
        <v>3298</v>
      </c>
      <c r="E198" s="24">
        <f t="shared" si="34"/>
        <v>1.02</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ca="1" si="41"/>
        <v>62129</v>
      </c>
      <c r="S198" s="361">
        <f t="shared" ca="1" si="42"/>
        <v>1829</v>
      </c>
    </row>
    <row r="199" spans="1:19">
      <c r="A199" s="159">
        <f>抵押物清单!B177</f>
        <v>2408</v>
      </c>
      <c r="B199" s="59">
        <f>抵押物清单!D177</f>
        <v>141.09</v>
      </c>
      <c r="C199" s="24">
        <f t="shared" si="33"/>
        <v>0.98</v>
      </c>
      <c r="D199" s="2960" t="s">
        <v>3298</v>
      </c>
      <c r="E199" s="24">
        <f t="shared" si="34"/>
        <v>1.02</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ca="1" si="41"/>
        <v>61501</v>
      </c>
      <c r="S199" s="361">
        <f t="shared" ca="1" si="42"/>
        <v>868</v>
      </c>
    </row>
    <row r="200" spans="1:19">
      <c r="A200" s="159">
        <f>抵押物清单!B178</f>
        <v>2409</v>
      </c>
      <c r="B200" s="59">
        <f>抵押物清单!D178</f>
        <v>388.03</v>
      </c>
      <c r="C200" s="24">
        <f t="shared" si="33"/>
        <v>1</v>
      </c>
      <c r="D200" s="2960" t="s">
        <v>3298</v>
      </c>
      <c r="E200" s="24">
        <f t="shared" si="34"/>
        <v>1.02</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ca="1" si="41"/>
        <v>62757</v>
      </c>
      <c r="S200" s="361">
        <f t="shared" ca="1" si="42"/>
        <v>2435</v>
      </c>
    </row>
    <row r="201" spans="1:19">
      <c r="A201" s="159">
        <f>抵押物清单!B179</f>
        <v>2410</v>
      </c>
      <c r="B201" s="59">
        <f>抵押物清单!D179</f>
        <v>206.9</v>
      </c>
      <c r="C201" s="24">
        <f t="shared" si="33"/>
        <v>0.99</v>
      </c>
      <c r="D201" s="2960" t="s">
        <v>3298</v>
      </c>
      <c r="E201" s="24">
        <f t="shared" si="34"/>
        <v>1.02</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ca="1" si="41"/>
        <v>62129</v>
      </c>
      <c r="S201" s="361">
        <f t="shared" ca="1" si="42"/>
        <v>1285</v>
      </c>
    </row>
    <row r="202" spans="1:19">
      <c r="A202" s="159"/>
      <c r="B202" s="59"/>
      <c r="C202" s="24">
        <f t="shared" si="33"/>
        <v>1</v>
      </c>
      <c r="D202" s="718"/>
      <c r="E202" s="24">
        <f t="shared" si="34"/>
        <v>0.02</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0.02</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0.02</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0.02</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0.02</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0.02</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0.02</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0.02</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0.02</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0.02</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0.02</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0.02</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0.02</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0.02</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0.02</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0.02</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0.02</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0.02</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0.02</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0.02</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0.02</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0.02</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0.02</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0.02</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0.02</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0.02</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0.02</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0.02</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0.02</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0.02</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0.02</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0.02</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0.02</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0.02</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0.02</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0.02</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0.02</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0.02</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0.02</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0.02</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0.02</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0.02</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0.02</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0.02</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0.02</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0.02</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0.02</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0.02</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0.02</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0.02</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0.02</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0.02</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0.02</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0.02</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0.02</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0.02</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0.02</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0.02</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0.02</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0.02</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0.02</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0.02</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0.02</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0.02</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0.02</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0.02</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0.02</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0.02</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0.02</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0.02</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0.02</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0.02</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0.02</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0.02</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0.02</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0.02</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0.02</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0.02</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0.02</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0.02</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0.02</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0.02</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0.02</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0.02</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0.02</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0.02</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0.02</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0.02</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0.02</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0.02</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0.02</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0.02</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0.02</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0.02</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0.02</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0.02</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0.02</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0.02</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0.02</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0.02</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0.02</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0.02</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0.02</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0.02</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0.02</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0.02</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0.02</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0.02</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0.02</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0.02</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0.02</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0.02</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0.02</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0.02</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0.02</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0.02</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0.02</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0.02</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0.02</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0.02</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0.02</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0.02</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0.02</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0.02</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0.02</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0.02</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0.02</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0.02</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0.02</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0.02</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0.02</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0.02</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0.02</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0.02</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0.02</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0.02</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0.02</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0.02</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0.02</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0.02</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0.02</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0.02</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0.02</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0.02</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0.02</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0.02</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0.02</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0.02</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0.02</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0.02</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0.02</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0.02</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0.02</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0.02</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0.02</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0.02</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0.02</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0.02</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0.02</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0.02</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0.02</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0.02</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0.02</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0.02</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0.02</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0.02</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0.02</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0.02</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0.02</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0.02</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0.02</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0.02</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0.02</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0.02</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0.02</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0.02</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0.02</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0.02</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0.02</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0.02</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0.02</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0.02</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0.02</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0.02</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0.02</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0.02</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0.02</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0.02</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0.02</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0.02</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0.02</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0.02</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0.02</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0.02</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0.02</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0.02</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0.02</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0.02</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0.02</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0.02</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0.02</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0.02</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0.02</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0.02</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0.02</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0.02</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0.02</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0.02</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0.02</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0.02</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0.02</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0.02</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0.02</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0.02</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0.02</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0.02</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0.02</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0.02</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0.02</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0.02</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0.02</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0.02</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0.02</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0.02</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0.02</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0.02</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0.02</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0.02</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0.02</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0.02</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0.02</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0.02</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0.02</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0.02</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0.02</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0.02</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0.02</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0.02</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0.02</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0.02</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0.02</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0.02</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0.02</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0.02</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0.02</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0.02</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0.02</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0.02</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0.02</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0.02</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0.02</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0.02</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0.02</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0.02</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0.02</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0.02</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0.02</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0.02</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0.02</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0.02</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0.02</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0.02</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0.02</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0.02</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0.02</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0.02</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0.02</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0.02</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0.02</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0.02</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0.02</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0.02</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0.02</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0.02</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0.02</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0.02</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0.02</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0.02</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0.02</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0.02</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0.02</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0.02</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0.02</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0.02</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0.02</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0.02</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0.02</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0.02</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0.02</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0.02</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0.02</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0.02</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0.02</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0.02</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0.02</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0.02</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0.02</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0.02</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0.02</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0.02</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0.02</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0.02</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0.02</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0.02</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0.02</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0.02</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0.02</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0.02</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0.02</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0.02</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0.02</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0.02</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0.02</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0.02</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0.02</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0.02</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0.02</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0.02</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0.02</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0.02</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0.02</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0.02</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0.02</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31014</v>
      </c>
      <c r="C2" s="2" t="s">
        <v>133</v>
      </c>
      <c r="D2" s="243"/>
      <c r="E2" s="243"/>
      <c r="F2" s="243"/>
      <c r="G2" s="243"/>
    </row>
    <row r="3" spans="1:7" s="244" customFormat="1" ht="18" customHeight="1" thickBot="1">
      <c r="A3" s="247" t="s">
        <v>85</v>
      </c>
      <c r="B3" s="248">
        <f ca="1">ROUND(B2*10000/'数据-汇总表'!E3,0)</f>
        <v>816158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160</v>
      </c>
      <c r="F9" s="265"/>
      <c r="G9" s="270"/>
    </row>
    <row r="10" spans="1:7" s="258" customFormat="1" ht="13.5" customHeight="1">
      <c r="A10" s="948" t="s">
        <v>801</v>
      </c>
      <c r="B10" s="268" t="s">
        <v>94</v>
      </c>
      <c r="C10" s="269">
        <f>ROUND(D10*E10/10000,0)</f>
        <v>8</v>
      </c>
      <c r="D10" s="1030">
        <f>'数据-汇总表'!E6</f>
        <v>380</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8</v>
      </c>
      <c r="D19" s="1034">
        <f>'数据-汇总表'!E3</f>
        <v>380</v>
      </c>
      <c r="E19" s="255">
        <f>'数据-取费表'!B31</f>
        <v>200</v>
      </c>
      <c r="F19" s="275"/>
      <c r="G19" s="1" t="s">
        <v>1071</v>
      </c>
    </row>
    <row r="20" spans="1:7" s="258" customFormat="1" ht="13.5" customHeight="1">
      <c r="A20" s="946" t="s">
        <v>1054</v>
      </c>
      <c r="B20" s="254" t="s">
        <v>104</v>
      </c>
      <c r="C20" s="276">
        <f>ROUND((C5+C19)*F20,0)</f>
        <v>412</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2025</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2004</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1</v>
      </c>
      <c r="D24" s="282"/>
      <c r="E24" s="282"/>
      <c r="F24" s="283"/>
      <c r="G24" s="284" t="s">
        <v>109</v>
      </c>
    </row>
    <row r="25" spans="1:7" s="258" customFormat="1" ht="24">
      <c r="A25" s="949" t="s">
        <v>793</v>
      </c>
      <c r="B25" s="259" t="s">
        <v>1055</v>
      </c>
      <c r="C25" s="1353">
        <f ca="1">ROUND(IF('数据-取费表'!B22&lt;=1,C20*F22*'数据-取费表'!B23/2,C20*(POWER((1+F22),'数据-取费表'!B23/2)-1)),0)</f>
        <v>20</v>
      </c>
      <c r="D25" s="282"/>
      <c r="E25" s="285"/>
      <c r="F25" s="283"/>
      <c r="G25" s="286" t="s">
        <v>110</v>
      </c>
    </row>
    <row r="26" spans="1:7" s="258" customFormat="1">
      <c r="A26" s="949" t="s">
        <v>795</v>
      </c>
      <c r="B26" s="259" t="s">
        <v>1057</v>
      </c>
      <c r="C26" s="282">
        <f ca="1">ROUND(IF('数据-取费表'!B22&lt;=1,F21*F22*'数据-取费表'!B23/2,F21*(POWER((1+F22),'数据-取费表'!B23/2)-1)),4)</f>
        <v>1E-3</v>
      </c>
      <c r="D26" s="282"/>
      <c r="E26" s="285"/>
      <c r="F26" s="283"/>
      <c r="G26" s="287"/>
    </row>
    <row r="27" spans="1:7" s="258" customFormat="1" ht="24.75">
      <c r="A27" s="946" t="s">
        <v>787</v>
      </c>
      <c r="B27" s="288" t="s">
        <v>112</v>
      </c>
      <c r="C27" s="289">
        <f>C28</f>
        <v>5258</v>
      </c>
      <c r="D27" s="279">
        <f>C29</f>
        <v>5.0000000000000001E-3</v>
      </c>
      <c r="E27" s="280" t="s">
        <v>126</v>
      </c>
      <c r="F27" s="290">
        <f>'数据-取费表'!Q16</f>
        <v>0.25</v>
      </c>
      <c r="G27" s="291" t="s">
        <v>1066</v>
      </c>
    </row>
    <row r="28" spans="1:7" s="258" customFormat="1" ht="13.5" customHeight="1">
      <c r="A28" s="949" t="s">
        <v>794</v>
      </c>
      <c r="B28" s="292" t="s">
        <v>1059</v>
      </c>
      <c r="C28" s="293">
        <f>ROUND((C5+C19+C20)*F27*'数据-取费表'!B21/'数据-取费表'!B20,0)</f>
        <v>5258</v>
      </c>
      <c r="D28" s="279"/>
      <c r="E28" s="280"/>
      <c r="F28" s="290"/>
      <c r="G28" s="291"/>
    </row>
    <row r="29" spans="1:7" s="258" customFormat="1" ht="13.5" customHeight="1">
      <c r="A29" s="949" t="s">
        <v>792</v>
      </c>
      <c r="B29" s="292" t="s">
        <v>1060</v>
      </c>
      <c r="C29" s="282">
        <f>ROUND(C21*F27*'数据-取费表'!B21/'数据-取费表'!B20,4)</f>
        <v>5.0000000000000001E-3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30753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187</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171</v>
      </c>
      <c r="D34" s="261"/>
      <c r="E34" s="264"/>
      <c r="F34" s="301">
        <f>IF('数据-取费表'!B24=0,1,'数据-取费表'!N16)</f>
        <v>1</v>
      </c>
      <c r="G34" s="263" t="s">
        <v>116</v>
      </c>
    </row>
    <row r="35" spans="1:7" ht="13.5" customHeight="1">
      <c r="A35" s="949" t="s">
        <v>796</v>
      </c>
      <c r="B35" s="259" t="s">
        <v>60</v>
      </c>
      <c r="C35" s="264">
        <f>ROUND(C34*F35,0)</f>
        <v>5</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8</v>
      </c>
      <c r="D37" s="261">
        <f>'数据-汇总表'!E3</f>
        <v>380</v>
      </c>
      <c r="E37" s="293">
        <f>'数据-取费表'!B35</f>
        <v>200</v>
      </c>
      <c r="F37" s="303"/>
      <c r="G37" s="305" t="s">
        <v>119</v>
      </c>
    </row>
    <row r="38" spans="1:7" ht="13.5" customHeight="1">
      <c r="A38" s="949" t="s">
        <v>799</v>
      </c>
      <c r="B38" s="259" t="s">
        <v>63</v>
      </c>
      <c r="C38" s="264">
        <f>ROUND(C34*F38,0)</f>
        <v>3</v>
      </c>
      <c r="D38" s="264"/>
      <c r="E38" s="264"/>
      <c r="F38" s="303">
        <f>'数据-取费表'!B36</f>
        <v>1.4999999999999999E-2</v>
      </c>
      <c r="G38" s="263" t="s">
        <v>117</v>
      </c>
    </row>
    <row r="39" spans="1:7" s="258" customFormat="1" ht="13.5" customHeight="1">
      <c r="A39" s="946" t="s">
        <v>783</v>
      </c>
      <c r="B39" s="254" t="s">
        <v>104</v>
      </c>
      <c r="C39" s="276">
        <f>ROUND(C33*F20,0)</f>
        <v>4</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9</v>
      </c>
      <c r="D41" s="279">
        <f ca="1">C44</f>
        <v>1E-3</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9</v>
      </c>
      <c r="D42" s="282"/>
      <c r="E42" s="282"/>
      <c r="F42" s="283"/>
      <c r="G42" s="3149" t="s">
        <v>121</v>
      </c>
    </row>
    <row r="43" spans="1:7" ht="13.5" customHeight="1">
      <c r="A43" s="949" t="s">
        <v>792</v>
      </c>
      <c r="B43" s="259" t="s">
        <v>1061</v>
      </c>
      <c r="C43" s="282">
        <f ca="1">ROUND(IF('数据-取费表'!B22&lt;=1,C39*F22*'数据-取费表'!B21/2,C39*(POWER((1+F22),'数据-取费表'!B21/2)-1)),0)</f>
        <v>0</v>
      </c>
      <c r="D43" s="282"/>
      <c r="E43" s="282"/>
      <c r="F43" s="283"/>
      <c r="G43" s="3150"/>
    </row>
    <row r="44" spans="1:7" ht="13.5" customHeight="1">
      <c r="A44" s="949" t="s">
        <v>793</v>
      </c>
      <c r="B44" s="259" t="s">
        <v>1063</v>
      </c>
      <c r="C44" s="282">
        <f ca="1">ROUND(IF('数据-取费表'!B22&lt;=1,C40*F22*'数据-取费表'!B21/2,C40*(POWER((1+F22),'数据-取费表'!B21/2)-1)),4)</f>
        <v>1E-3</v>
      </c>
      <c r="D44" s="282"/>
      <c r="E44" s="282"/>
      <c r="F44" s="283"/>
      <c r="G44" s="3151"/>
    </row>
    <row r="45" spans="1:7" s="258" customFormat="1" ht="13.5" customHeight="1">
      <c r="A45" s="946" t="s">
        <v>786</v>
      </c>
      <c r="B45" s="288" t="s">
        <v>112</v>
      </c>
      <c r="C45" s="289">
        <f>C46</f>
        <v>48</v>
      </c>
      <c r="D45" s="279">
        <f>C47</f>
        <v>5.0000000000000001E-3</v>
      </c>
      <c r="E45" s="280" t="s">
        <v>129</v>
      </c>
      <c r="F45" s="290"/>
      <c r="G45" s="291" t="s">
        <v>1069</v>
      </c>
    </row>
    <row r="46" spans="1:7" s="258" customFormat="1" ht="13.5" customHeight="1">
      <c r="A46" s="949" t="s">
        <v>794</v>
      </c>
      <c r="B46" s="292" t="s">
        <v>1062</v>
      </c>
      <c r="C46" s="293">
        <f>ROUND((C33+C39)*F27,0)</f>
        <v>48</v>
      </c>
      <c r="D46" s="307"/>
      <c r="E46" s="280"/>
      <c r="F46" s="290"/>
      <c r="G46" s="291"/>
    </row>
    <row r="47" spans="1:7" s="258" customFormat="1" ht="13.5" customHeight="1">
      <c r="A47" s="949" t="s">
        <v>792</v>
      </c>
      <c r="B47" s="292" t="s">
        <v>1064</v>
      </c>
      <c r="C47" s="282">
        <f>ROUND(C40*F27,4)</f>
        <v>5.0000000000000001E-3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269</v>
      </c>
      <c r="D49" s="276"/>
      <c r="E49" s="276"/>
      <c r="F49" s="308"/>
      <c r="G49" s="278" t="s">
        <v>1070</v>
      </c>
    </row>
    <row r="50" spans="1:7" s="302" customFormat="1" ht="24">
      <c r="A50" s="946" t="s">
        <v>789</v>
      </c>
      <c r="B50" s="254" t="s">
        <v>124</v>
      </c>
      <c r="C50" s="276"/>
      <c r="D50" s="276"/>
      <c r="E50" s="276"/>
      <c r="F50" s="308">
        <f>IF('数据-取费表'!B24=0,'数据-取费表'!N16,1)</f>
        <v>0.97</v>
      </c>
      <c r="G50" s="291" t="s">
        <v>125</v>
      </c>
    </row>
    <row r="51" spans="1:7" ht="16.5" customHeight="1">
      <c r="A51" s="946" t="s">
        <v>790</v>
      </c>
      <c r="B51" s="254" t="s">
        <v>132</v>
      </c>
      <c r="C51" s="276">
        <f ca="1">ROUND(C49*F50,0)</f>
        <v>261</v>
      </c>
      <c r="D51" s="276"/>
      <c r="E51" s="276"/>
      <c r="F51" s="308"/>
      <c r="G51" s="278" t="s">
        <v>64</v>
      </c>
    </row>
    <row r="52" spans="1:7" s="252" customFormat="1" ht="16.5" thickBot="1">
      <c r="A52" s="309" t="s">
        <v>65</v>
      </c>
      <c r="B52" s="310"/>
      <c r="C52" s="311">
        <f ca="1">C31+C51</f>
        <v>31014</v>
      </c>
      <c r="D52" s="310"/>
      <c r="E52" s="310"/>
      <c r="F52" s="310"/>
      <c r="G52" s="312"/>
    </row>
    <row r="55" spans="1:7" ht="15">
      <c r="B55" s="314" t="s">
        <v>66</v>
      </c>
      <c r="C55" s="315"/>
    </row>
    <row r="56" spans="1:7">
      <c r="B56" s="317" t="s">
        <v>67</v>
      </c>
      <c r="C56" s="318">
        <f ca="1">ROUND(C51/C52,3)</f>
        <v>8.0000000000000002E-3</v>
      </c>
    </row>
    <row r="57" spans="1:7">
      <c r="B57" s="317" t="s">
        <v>68</v>
      </c>
      <c r="C57" s="319">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90" t="s">
        <v>156</v>
      </c>
      <c r="B1" s="3290"/>
      <c r="C1" s="3290"/>
      <c r="D1" s="3290"/>
      <c r="E1" s="3290"/>
      <c r="F1" s="329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1" t="s">
        <v>169</v>
      </c>
      <c r="B2" s="3291"/>
      <c r="C2" s="3291"/>
      <c r="D2" s="3291"/>
      <c r="E2" s="3291"/>
      <c r="F2" s="329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0" t="s">
        <v>868</v>
      </c>
      <c r="B1" s="3290"/>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43672</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1636</v>
      </c>
      <c r="B2" s="2983" t="s">
        <v>1637</v>
      </c>
      <c r="C2" s="2983" t="s">
        <v>1638</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77"/>
      <c r="B3" s="2977"/>
      <c r="C3" s="2977"/>
      <c r="D3" s="1042" t="s">
        <v>1633</v>
      </c>
      <c r="E3" s="1042" t="s">
        <v>1639</v>
      </c>
      <c r="F3" s="1042" t="s">
        <v>1633</v>
      </c>
      <c r="G3" s="1042" t="s">
        <v>1634</v>
      </c>
      <c r="H3" s="1042" t="s">
        <v>1633</v>
      </c>
      <c r="I3" s="1042" t="s">
        <v>1634</v>
      </c>
    </row>
    <row r="4" spans="1:9" ht="75">
      <c r="A4" s="1969" t="str">
        <f>项目基本情况!S2</f>
        <v>北京市北京市丰台区丽泽路16号院2号楼3层301号等178套办公用房房地产出让国有建设用地使用权及在建建筑物房地产</v>
      </c>
      <c r="B4" s="1042">
        <f>项目基本情况!C17</f>
        <v>380</v>
      </c>
      <c r="C4" s="1042">
        <f>项目基本情况!C18</f>
        <v>0</v>
      </c>
      <c r="D4" s="1042" t="e">
        <f ca="1">结果表!D118</f>
        <v>#REF!</v>
      </c>
      <c r="E4" s="1042" t="e">
        <f ca="1">结果表!E118</f>
        <v>#REF!</v>
      </c>
      <c r="F4" s="1042" t="e">
        <f ca="1">结果表!F118</f>
        <v>#REF!</v>
      </c>
      <c r="G4" s="1042" t="e">
        <f ca="1">结果表!G118</f>
        <v>#REF!</v>
      </c>
      <c r="H4" s="1042">
        <f ca="1">结果表!H118</f>
        <v>2338</v>
      </c>
      <c r="I4" s="1042">
        <f ca="1">结果表!I118</f>
        <v>61526</v>
      </c>
    </row>
    <row r="5" spans="1:9" ht="30" customHeight="1">
      <c r="A5" s="2977" t="s">
        <v>1635</v>
      </c>
      <c r="B5" s="2977"/>
      <c r="C5" s="2977"/>
      <c r="D5" s="2978" t="e">
        <f ca="1">结果表!D119</f>
        <v>#REF!</v>
      </c>
      <c r="E5" s="2978"/>
      <c r="F5" s="2978" t="e">
        <f ca="1">结果表!F119</f>
        <v>#REF!</v>
      </c>
      <c r="G5" s="2978"/>
      <c r="H5" s="2978" t="str">
        <f ca="1">结果表!H119</f>
        <v>贰仟叁佰叁拾捌万元整</v>
      </c>
      <c r="I5" s="2978"/>
    </row>
    <row r="6" spans="1:9" ht="15.75">
      <c r="A6" s="2976" t="str">
        <f>结果表!A120</f>
        <v>估价师知悉的法定优先受偿款</v>
      </c>
      <c r="B6" s="2976"/>
      <c r="C6" s="2976"/>
      <c r="D6" s="2976">
        <f>结果表!D120</f>
        <v>0</v>
      </c>
      <c r="E6" s="2976"/>
      <c r="F6" s="2976"/>
      <c r="G6" s="2976"/>
      <c r="H6" s="2976"/>
      <c r="I6" s="2976"/>
    </row>
    <row r="7" spans="1:9" ht="15">
      <c r="A7" s="2977" t="s">
        <v>1635</v>
      </c>
      <c r="B7" s="2977"/>
      <c r="C7" s="2977"/>
      <c r="D7" s="2979" t="str">
        <f>结果表!D121</f>
        <v>零元整</v>
      </c>
      <c r="E7" s="2980"/>
      <c r="F7" s="2980"/>
      <c r="G7" s="2980"/>
      <c r="H7" s="2980"/>
      <c r="I7" s="2981"/>
    </row>
    <row r="8" spans="1:9" ht="15.75">
      <c r="A8" s="2976" t="str">
        <f>结果表!A122</f>
        <v>房地产抵押价值</v>
      </c>
      <c r="B8" s="2976"/>
      <c r="C8" s="2976"/>
      <c r="D8" s="2976">
        <f ca="1">结果表!D122</f>
        <v>2338</v>
      </c>
      <c r="E8" s="2976"/>
      <c r="F8" s="2976"/>
      <c r="G8" s="2976"/>
      <c r="H8" s="2976"/>
      <c r="I8" s="2976"/>
    </row>
    <row r="9" spans="1:9" ht="15">
      <c r="A9" s="2977" t="s">
        <v>1635</v>
      </c>
      <c r="B9" s="2977"/>
      <c r="C9" s="2977"/>
      <c r="D9" s="2978" t="str">
        <f ca="1">结果表!D123</f>
        <v>贰仟叁佰叁拾捌万元整</v>
      </c>
      <c r="E9" s="2978"/>
      <c r="F9" s="2978"/>
      <c r="G9" s="2978"/>
      <c r="H9" s="2978"/>
      <c r="I9" s="2978"/>
    </row>
    <row r="10" spans="1:9" ht="15.75">
      <c r="A10" s="2976" t="str">
        <f>结果表!A124</f>
        <v>抵押担保权已注销时的房地产抵押价值</v>
      </c>
      <c r="B10" s="2976"/>
      <c r="C10" s="2976"/>
      <c r="D10" s="2976">
        <f ca="1">结果表!D124</f>
        <v>2338</v>
      </c>
      <c r="E10" s="2976"/>
      <c r="F10" s="2976"/>
      <c r="G10" s="2976"/>
      <c r="H10" s="2976"/>
      <c r="I10" s="2976"/>
    </row>
    <row r="11" spans="1:9" ht="15">
      <c r="A11" s="2977" t="s">
        <v>1635</v>
      </c>
      <c r="B11" s="2977"/>
      <c r="C11" s="2977"/>
      <c r="D11" s="2978" t="str">
        <f ca="1">结果表!D125</f>
        <v>贰仟叁佰叁拾捌万元整</v>
      </c>
      <c r="E11" s="2978"/>
      <c r="F11" s="2978"/>
      <c r="G11" s="2978"/>
      <c r="H11" s="2978"/>
      <c r="I11" s="2978"/>
    </row>
    <row r="12" spans="1:9" ht="15.75">
      <c r="A12" s="2976" t="str">
        <f>结果表!A126</f>
        <v/>
      </c>
      <c r="B12" s="2976"/>
      <c r="C12" s="2976"/>
      <c r="D12" s="2976" t="str">
        <f>结果表!D126</f>
        <v>——</v>
      </c>
      <c r="E12" s="2976"/>
      <c r="F12" s="2976"/>
      <c r="G12" s="2976"/>
      <c r="H12" s="2976"/>
      <c r="I12" s="2976"/>
    </row>
    <row r="13" spans="1:9" ht="15.75" thickBot="1">
      <c r="A13" s="2973" t="s">
        <v>1635</v>
      </c>
      <c r="B13" s="2973"/>
      <c r="C13" s="2973"/>
      <c r="D13" s="2974" t="e">
        <f>结果表!D127</f>
        <v>#VALUE!</v>
      </c>
      <c r="E13" s="2974"/>
      <c r="F13" s="2974"/>
      <c r="G13" s="2974"/>
      <c r="H13" s="2974"/>
      <c r="I13" s="2974"/>
    </row>
    <row r="14" spans="1:9" ht="15" thickTop="1">
      <c r="A14" s="2975" t="s">
        <v>1640</v>
      </c>
      <c r="B14" s="2975"/>
      <c r="C14" s="2975"/>
      <c r="D14" s="2975"/>
      <c r="E14" s="2975"/>
      <c r="F14" s="2975"/>
      <c r="G14" s="2975"/>
      <c r="H14" s="2975"/>
      <c r="I14" s="2975"/>
    </row>
    <row r="16" spans="1:9" ht="18.75">
      <c r="A16" s="1970" t="s">
        <v>1623</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2990" t="s">
        <v>1657</v>
      </c>
      <c r="B1" s="2990"/>
      <c r="C1" s="2990"/>
      <c r="D1" s="2990"/>
    </row>
    <row r="2" spans="1:4" ht="18">
      <c r="A2" s="2991" t="s">
        <v>1641</v>
      </c>
      <c r="B2" s="2991"/>
      <c r="C2" s="2991"/>
      <c r="D2" s="2991"/>
    </row>
    <row r="3" spans="1:4" ht="18.75">
      <c r="A3" s="1973" t="s">
        <v>1642</v>
      </c>
      <c r="B3" s="1973" t="s">
        <v>1643</v>
      </c>
      <c r="C3" s="1973" t="s">
        <v>1644</v>
      </c>
      <c r="D3" s="1973" t="s">
        <v>1645</v>
      </c>
    </row>
    <row r="4" spans="1:4" ht="56.25" customHeight="1">
      <c r="A4" s="1974" t="str">
        <f>项目基本情况!B4</f>
        <v>吴薇</v>
      </c>
      <c r="B4" s="1975">
        <f ca="1">项目基本情况!C4</f>
        <v>1419970001</v>
      </c>
      <c r="C4" s="1976"/>
      <c r="D4" s="1977" t="s">
        <v>1646</v>
      </c>
    </row>
    <row r="5" spans="1:4" ht="56.25" customHeight="1">
      <c r="A5" s="1974" t="str">
        <f>项目基本情况!D4</f>
        <v>郑燚</v>
      </c>
      <c r="B5" s="1975">
        <f ca="1">项目基本情况!E4</f>
        <v>1120070131</v>
      </c>
      <c r="C5" s="1978"/>
      <c r="D5" s="1977" t="s">
        <v>1646</v>
      </c>
    </row>
    <row r="6" spans="1:4" ht="18">
      <c r="A6" s="2991" t="s">
        <v>1647</v>
      </c>
      <c r="B6" s="2991"/>
      <c r="C6" s="2991"/>
      <c r="D6" s="2991"/>
    </row>
    <row r="7" spans="1:4" ht="18.75">
      <c r="A7" s="1973" t="s">
        <v>1642</v>
      </c>
      <c r="B7" s="1975" t="s">
        <v>1648</v>
      </c>
      <c r="C7" s="1973" t="s">
        <v>1644</v>
      </c>
      <c r="D7" s="1973" t="s">
        <v>1645</v>
      </c>
    </row>
    <row r="8" spans="1:4" ht="56.25" customHeight="1">
      <c r="A8" s="1979" t="s">
        <v>866</v>
      </c>
      <c r="B8" s="1979" t="s">
        <v>1</v>
      </c>
      <c r="C8" s="1976"/>
      <c r="D8" s="1977" t="s">
        <v>1646</v>
      </c>
    </row>
    <row r="9" spans="1:4">
      <c r="A9" s="726"/>
      <c r="B9" s="726"/>
      <c r="C9" s="726"/>
      <c r="D9" s="726"/>
    </row>
    <row r="10" spans="1:4" ht="18.75">
      <c r="A10" s="1980" t="s">
        <v>1649</v>
      </c>
      <c r="B10" s="726"/>
      <c r="C10" s="726"/>
      <c r="D10" s="726"/>
    </row>
    <row r="11" spans="1:4" ht="30" customHeight="1">
      <c r="A11" s="2992" t="s">
        <v>1650</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4" t="str">
        <f>IF(项目基本情况!B8="抵押","4.本次评估估价师所知悉的法定优先受偿款情况说明如下：","——")</f>
        <v>4.本次评估估价师所知悉的法定优先受偿款情况说明如下：</v>
      </c>
      <c r="B14" s="2989"/>
      <c r="C14" s="2989"/>
      <c r="D14" s="2989"/>
    </row>
    <row r="15" spans="1:4" ht="42" customHeight="1">
      <c r="A15" s="29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4"/>
      <c r="C15" s="2984"/>
      <c r="D15" s="2984"/>
    </row>
    <row r="16" spans="1:4" ht="30" customHeight="1">
      <c r="A16" s="2986" t="s">
        <v>1651</v>
      </c>
      <c r="B16" s="2986"/>
      <c r="C16" s="2986"/>
      <c r="D16" s="2986"/>
    </row>
    <row r="17" spans="1:4" ht="144" customHeight="1">
      <c r="A17" s="2986" t="s">
        <v>1652</v>
      </c>
      <c r="B17" s="2986"/>
      <c r="C17" s="2986"/>
      <c r="D17" s="2986"/>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7"/>
      <c r="C21" s="2987"/>
      <c r="D21" s="2987"/>
    </row>
    <row r="22" spans="1:4" ht="18.75" customHeight="1">
      <c r="A22" s="2988" t="s">
        <v>1653</v>
      </c>
      <c r="B22" s="2988"/>
      <c r="C22" s="2988"/>
      <c r="D22" s="2988"/>
    </row>
    <row r="23" spans="1:4">
      <c r="A23" s="1981"/>
      <c r="B23" s="1953"/>
      <c r="C23" s="1953"/>
      <c r="D23" s="1953"/>
    </row>
    <row r="24" spans="1:4">
      <c r="A24" s="1981"/>
      <c r="B24" s="1953"/>
      <c r="C24" s="1953"/>
      <c r="D24" s="1953"/>
    </row>
    <row r="25" spans="1:4" ht="18.75">
      <c r="A25" s="1982" t="s">
        <v>1654</v>
      </c>
    </row>
    <row r="26" spans="1:4" ht="18">
      <c r="A26" s="1951"/>
    </row>
    <row r="27" spans="1:4" ht="18.75">
      <c r="A27" s="1951" t="s">
        <v>1655</v>
      </c>
    </row>
    <row r="30" spans="1:4" ht="18.75">
      <c r="D30" s="1982" t="s">
        <v>1656</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1658</v>
      </c>
    </row>
    <row r="3" spans="1:7">
      <c r="A3" s="1987" t="s">
        <v>82</v>
      </c>
      <c r="B3" s="1971" t="s">
        <v>1659</v>
      </c>
      <c r="G3" s="1988"/>
    </row>
    <row r="4" spans="1:7">
      <c r="G4" s="1988"/>
    </row>
    <row r="5" spans="1:7">
      <c r="A5" s="1990" t="s">
        <v>73</v>
      </c>
      <c r="B5" s="1971" t="s">
        <v>1660</v>
      </c>
      <c r="G5" s="1988"/>
    </row>
    <row r="6" spans="1:7">
      <c r="G6" s="1988"/>
    </row>
    <row r="7" spans="1:7">
      <c r="A7" s="1991" t="s">
        <v>135</v>
      </c>
      <c r="B7" s="1971" t="s">
        <v>1661</v>
      </c>
      <c r="G7" s="1988"/>
    </row>
    <row r="8" spans="1:7">
      <c r="G8" s="1988"/>
    </row>
    <row r="9" spans="1:7">
      <c r="A9" s="1992" t="s">
        <v>74</v>
      </c>
      <c r="B9" s="1971" t="s">
        <v>1662</v>
      </c>
    </row>
    <row r="11" spans="1:7">
      <c r="A11" s="1993" t="s">
        <v>75</v>
      </c>
      <c r="B11" s="1994" t="s">
        <v>72</v>
      </c>
    </row>
    <row r="13" spans="1:7">
      <c r="A13" s="1995" t="s">
        <v>1663</v>
      </c>
    </row>
    <row r="15" spans="1:7" ht="13.5">
      <c r="A15" s="2998" t="s">
        <v>1664</v>
      </c>
      <c r="B15" s="2993" t="s">
        <v>136</v>
      </c>
      <c r="C15" s="2994"/>
    </row>
    <row r="16" spans="1:7" ht="13.5">
      <c r="A16" s="2999"/>
      <c r="B16" s="2993" t="s">
        <v>69</v>
      </c>
      <c r="C16" s="2994"/>
    </row>
    <row r="17" spans="1:3" ht="13.5">
      <c r="A17" s="2999"/>
      <c r="B17" s="2996" t="s">
        <v>1665</v>
      </c>
      <c r="C17" s="1996" t="s">
        <v>1664</v>
      </c>
    </row>
    <row r="18" spans="1:3" ht="13.5">
      <c r="A18" s="2999"/>
      <c r="B18" s="2996"/>
      <c r="C18" s="1996" t="s">
        <v>1666</v>
      </c>
    </row>
    <row r="19" spans="1:3" ht="13.5">
      <c r="A19" s="2999"/>
      <c r="B19" s="2996"/>
      <c r="C19" s="1996" t="s">
        <v>1667</v>
      </c>
    </row>
    <row r="20" spans="1:3" ht="13.5">
      <c r="A20" s="3000"/>
      <c r="B20" s="2995" t="s">
        <v>1668</v>
      </c>
      <c r="C20" s="2994"/>
    </row>
    <row r="21" spans="1:3" ht="13.5">
      <c r="A21" s="1997" t="s">
        <v>1669</v>
      </c>
      <c r="B21" s="1998"/>
      <c r="C21" s="1999"/>
    </row>
    <row r="22" spans="1:3" ht="13.5">
      <c r="A22" s="2997" t="s">
        <v>1670</v>
      </c>
      <c r="B22" s="2995" t="s">
        <v>1671</v>
      </c>
      <c r="C22" s="2994"/>
    </row>
    <row r="23" spans="1:3" ht="13.5">
      <c r="A23" s="2997"/>
      <c r="B23" s="2995" t="s">
        <v>1672</v>
      </c>
      <c r="C23" s="2994"/>
    </row>
    <row r="24" spans="1:3" ht="13.5">
      <c r="A24" s="2997"/>
      <c r="B24" s="2995" t="s">
        <v>1673</v>
      </c>
      <c r="C24" s="2994"/>
    </row>
    <row r="25" spans="1:3" ht="13.5">
      <c r="A25" s="2997"/>
      <c r="B25" s="2996" t="s">
        <v>1674</v>
      </c>
      <c r="C25" s="1996" t="s">
        <v>1675</v>
      </c>
    </row>
    <row r="26" spans="1:3" ht="13.5">
      <c r="A26" s="2997"/>
      <c r="B26" s="2996"/>
      <c r="C26" s="1996" t="s">
        <v>1676</v>
      </c>
    </row>
    <row r="27" spans="1:3" ht="13.5">
      <c r="A27" s="2997"/>
      <c r="B27" s="2996"/>
      <c r="C27" s="1996" t="s">
        <v>1677</v>
      </c>
    </row>
    <row r="28" spans="1:3" ht="13.5">
      <c r="A28" s="2997"/>
      <c r="B28" s="2996"/>
      <c r="C28" s="1996" t="s">
        <v>1678</v>
      </c>
    </row>
    <row r="29" spans="1:3" ht="13.5">
      <c r="A29" s="2997"/>
      <c r="B29" s="2996"/>
      <c r="C29" s="1996" t="s">
        <v>1679</v>
      </c>
    </row>
    <row r="30" spans="1:3" ht="13.5">
      <c r="A30" s="2997"/>
      <c r="B30" s="2996"/>
      <c r="C30" s="1996" t="s">
        <v>1680</v>
      </c>
    </row>
    <row r="31" spans="1:3" ht="13.5">
      <c r="A31" s="2997"/>
      <c r="B31" s="2996"/>
      <c r="C31" s="1996" t="s">
        <v>1681</v>
      </c>
    </row>
    <row r="32" spans="1:3" ht="13.5">
      <c r="A32" s="2997"/>
      <c r="B32" s="2996"/>
      <c r="C32" s="1996" t="s">
        <v>1682</v>
      </c>
    </row>
    <row r="33" spans="1:3" ht="13.5">
      <c r="A33" s="2997"/>
      <c r="B33" s="2996"/>
      <c r="C33" s="1996" t="s">
        <v>1683</v>
      </c>
    </row>
    <row r="34" spans="1:3">
      <c r="A34" s="2000" t="s">
        <v>76</v>
      </c>
    </row>
    <row r="37" spans="1:3">
      <c r="A37" s="2000" t="s">
        <v>1684</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43676</v>
      </c>
      <c r="C2" s="1017" t="s">
        <v>826</v>
      </c>
      <c r="D2" s="1017"/>
    </row>
    <row r="3" spans="1:6" ht="24" customHeight="1">
      <c r="A3" s="1018" t="s">
        <v>827</v>
      </c>
      <c r="B3" s="1019" t="s">
        <v>828</v>
      </c>
      <c r="C3" s="2341" t="s">
        <v>829</v>
      </c>
      <c r="D3" s="2344" t="s">
        <v>830</v>
      </c>
      <c r="E3" s="1020" t="s">
        <v>831</v>
      </c>
      <c r="F3" s="1019" t="s">
        <v>829</v>
      </c>
    </row>
    <row r="4" spans="1:6" ht="24" customHeight="1">
      <c r="A4" s="1700" t="s">
        <v>832</v>
      </c>
      <c r="B4" s="1020">
        <f ca="1">IF(C4&lt;B2,"已过期",1119970066)</f>
        <v>1119970066</v>
      </c>
      <c r="C4" s="2342">
        <v>43849</v>
      </c>
      <c r="D4" s="2345" t="s">
        <v>832</v>
      </c>
      <c r="E4" s="1020">
        <f ca="1">IF(F4&lt;B2,"已过期",96010014)</f>
        <v>96010014</v>
      </c>
      <c r="F4" s="1028">
        <v>47118</v>
      </c>
    </row>
    <row r="5" spans="1:6" ht="24" customHeight="1">
      <c r="A5" s="1700" t="s">
        <v>833</v>
      </c>
      <c r="B5" s="1020">
        <f ca="1">IF(C5&lt;B2,"已过期",1119970074)</f>
        <v>1119970074</v>
      </c>
      <c r="C5" s="2342">
        <v>43849</v>
      </c>
      <c r="D5" s="2345" t="s">
        <v>833</v>
      </c>
      <c r="E5" s="1020">
        <f ca="1">IF(F5&lt;B2,"已过期",2002110027)</f>
        <v>2002110027</v>
      </c>
      <c r="F5" s="1028">
        <v>46752</v>
      </c>
    </row>
    <row r="6" spans="1:6" ht="24" customHeight="1">
      <c r="A6" s="1700" t="s">
        <v>834</v>
      </c>
      <c r="B6" s="1020">
        <f ca="1">IF(C6&lt;B2,"已过期",1119970111)</f>
        <v>1119970111</v>
      </c>
      <c r="C6" s="2342">
        <v>43849</v>
      </c>
      <c r="D6" s="2345" t="s">
        <v>834</v>
      </c>
      <c r="E6" s="1020">
        <f ca="1">IF(F6&lt;B2,"已过期",94010078)</f>
        <v>94010078</v>
      </c>
      <c r="F6" s="1028">
        <v>46387</v>
      </c>
    </row>
    <row r="7" spans="1:6" ht="24" customHeight="1">
      <c r="A7" s="1700" t="s">
        <v>835</v>
      </c>
      <c r="B7" s="1020">
        <f ca="1">IF(C7&lt;B2,"已过期",1120050019)</f>
        <v>1120050019</v>
      </c>
      <c r="C7" s="2342">
        <v>44395</v>
      </c>
      <c r="D7" s="2345" t="s">
        <v>835</v>
      </c>
      <c r="E7" s="1020">
        <f ca="1">IF(F7&lt;B2,"已过期",2002110030)</f>
        <v>2002110030</v>
      </c>
      <c r="F7" s="1028">
        <v>46387</v>
      </c>
    </row>
    <row r="8" spans="1:6" ht="24" customHeight="1">
      <c r="A8" s="1700" t="s">
        <v>836</v>
      </c>
      <c r="B8" s="1020">
        <f ca="1">IF(C8&lt;B2,"已过期",1120000080)</f>
        <v>1120000080</v>
      </c>
      <c r="C8" s="2342">
        <v>43849</v>
      </c>
      <c r="D8" s="2345" t="s">
        <v>836</v>
      </c>
      <c r="E8" s="1020">
        <f ca="1">IF(F8&lt;B2,"已过期",2000110082)</f>
        <v>2000110082</v>
      </c>
      <c r="F8" s="1028">
        <v>46387</v>
      </c>
    </row>
    <row r="9" spans="1:6" ht="24" customHeight="1">
      <c r="A9" s="1700" t="s">
        <v>837</v>
      </c>
      <c r="B9" s="1020">
        <f ca="1">IF(C9&lt;B2,"已过期",1419970001)</f>
        <v>1419970001</v>
      </c>
      <c r="C9" s="2342">
        <v>43867</v>
      </c>
      <c r="D9" s="2345" t="s">
        <v>837</v>
      </c>
      <c r="E9" s="1020">
        <f ca="1">IF(F9&lt;B2,"已过期",2002110125)</f>
        <v>2002110125</v>
      </c>
      <c r="F9" s="1028">
        <v>47118</v>
      </c>
    </row>
    <row r="10" spans="1:6" ht="24" customHeight="1">
      <c r="A10" s="1700" t="s">
        <v>838</v>
      </c>
      <c r="B10" s="1020">
        <f ca="1">IF(C10&lt;B2,"已过期",1120060040)</f>
        <v>1120060040</v>
      </c>
      <c r="C10" s="2342">
        <v>44554</v>
      </c>
      <c r="D10" s="2345" t="s">
        <v>838</v>
      </c>
      <c r="E10" s="1020">
        <f ca="1">IF(F10&lt;B2,"已过期",2004110096)</f>
        <v>2004110096</v>
      </c>
      <c r="F10" s="1028">
        <v>47118</v>
      </c>
    </row>
    <row r="11" spans="1:6" ht="24" customHeight="1">
      <c r="A11" s="1700" t="s">
        <v>839</v>
      </c>
      <c r="B11" s="1020">
        <f ca="1">IF(C11&lt;B2,"已过期",1120100036)</f>
        <v>1120100036</v>
      </c>
      <c r="C11" s="2342">
        <v>44675</v>
      </c>
      <c r="D11" s="2345" t="s">
        <v>839</v>
      </c>
      <c r="E11" s="1020">
        <f ca="1">IF(F11&lt;B2,"已过期",2010110070)</f>
        <v>2010110070</v>
      </c>
      <c r="F11" s="1028">
        <v>47907</v>
      </c>
    </row>
    <row r="12" spans="1:6" ht="24" customHeight="1">
      <c r="A12" s="1700"/>
      <c r="B12" s="1020"/>
      <c r="C12" s="2925"/>
      <c r="D12" s="1700"/>
      <c r="E12" s="1020"/>
      <c r="F12" s="1028"/>
    </row>
    <row r="13" spans="1:6" ht="24" customHeight="1">
      <c r="A13" s="1700" t="s">
        <v>840</v>
      </c>
      <c r="B13" s="1020">
        <f ca="1">IF(C13&lt;B2,"已过期",1120070131)</f>
        <v>1120070131</v>
      </c>
      <c r="C13" s="2342">
        <v>43814</v>
      </c>
      <c r="D13" s="2345" t="s">
        <v>840</v>
      </c>
      <c r="E13" s="1020">
        <f ca="1">IF(F13&lt;B2,"已过期",2014110011)</f>
        <v>2014110011</v>
      </c>
      <c r="F13" s="1028">
        <v>49302</v>
      </c>
    </row>
    <row r="14" spans="1:6" ht="24" customHeight="1">
      <c r="A14" s="1700" t="s">
        <v>3040</v>
      </c>
      <c r="B14" s="1020">
        <f ca="1">IF(C14&lt;B2,"已过期",1120040230)</f>
        <v>1120040230</v>
      </c>
      <c r="C14" s="2342">
        <v>43835</v>
      </c>
      <c r="D14" s="2345" t="s">
        <v>3040</v>
      </c>
      <c r="E14" s="1020">
        <f ca="1">IF(F14&lt;B2,"已过期",98030020)</f>
        <v>98030020</v>
      </c>
      <c r="F14" s="1028">
        <v>47118</v>
      </c>
    </row>
    <row r="15" spans="1:6" ht="24" customHeight="1">
      <c r="A15" s="1701" t="s">
        <v>3041</v>
      </c>
      <c r="B15" s="1020">
        <f ca="1">IF(C15&lt;B2,"已过期",1120070085)</f>
        <v>1120070085</v>
      </c>
      <c r="C15" s="2342">
        <v>43814</v>
      </c>
      <c r="D15" s="2346" t="s">
        <v>3041</v>
      </c>
      <c r="E15" s="1020">
        <f ca="1">IF(F15&lt;B2,"已过期",2004110128)</f>
        <v>2004110128</v>
      </c>
      <c r="F15" s="1021">
        <v>47118</v>
      </c>
    </row>
    <row r="16" spans="1:6" ht="24" customHeight="1">
      <c r="A16" s="1700" t="s">
        <v>3042</v>
      </c>
      <c r="B16" s="1020">
        <f ca="1">IF(C16&lt;B2,"已过期",1120140022)</f>
        <v>1120140022</v>
      </c>
      <c r="C16" s="2925">
        <v>44029</v>
      </c>
      <c r="D16" s="2345" t="s">
        <v>3042</v>
      </c>
      <c r="E16" s="1020">
        <f ca="1">IF(F16&lt;B2,"已过期",2008110059)</f>
        <v>2008110059</v>
      </c>
      <c r="F16" s="1028">
        <v>47177</v>
      </c>
    </row>
    <row r="17" spans="1:7" ht="24" customHeight="1">
      <c r="A17" s="1700"/>
      <c r="B17" s="1020"/>
      <c r="C17" s="2342"/>
      <c r="D17" s="2345" t="s">
        <v>3043</v>
      </c>
      <c r="E17" s="1020">
        <f ca="1">IF(F17&lt;B2,"已过期",2014110076)</f>
        <v>2014110076</v>
      </c>
      <c r="F17" s="1028">
        <v>49302</v>
      </c>
    </row>
    <row r="18" spans="1:7" ht="24" customHeight="1">
      <c r="A18" s="1700"/>
      <c r="B18" s="1020"/>
      <c r="C18" s="2342"/>
      <c r="D18" s="2345"/>
      <c r="E18" s="1020"/>
      <c r="F18" s="1028"/>
    </row>
    <row r="19" spans="1:7" ht="24" customHeight="1">
      <c r="A19" s="1700"/>
      <c r="B19" s="1020"/>
      <c r="C19" s="2342"/>
      <c r="D19" s="2345"/>
      <c r="E19" s="1020"/>
      <c r="F19" s="1020"/>
    </row>
    <row r="20" spans="1:7" ht="24" customHeight="1">
      <c r="A20" s="1700"/>
      <c r="B20" s="1020"/>
      <c r="C20" s="2342"/>
      <c r="D20" s="2345"/>
      <c r="E20" s="1020"/>
      <c r="F20" s="1020"/>
    </row>
    <row r="21" spans="1:7" ht="24" customHeight="1">
      <c r="A21" s="1700"/>
      <c r="B21" s="1020"/>
      <c r="C21" s="2342"/>
      <c r="D21" s="2345" t="s">
        <v>841</v>
      </c>
      <c r="E21" s="1020">
        <f ca="1">IF(F21&lt;B2,"已过期",2011110090)</f>
        <v>2011110090</v>
      </c>
      <c r="F21" s="1028">
        <v>48302</v>
      </c>
    </row>
    <row r="22" spans="1:7" ht="24" customHeight="1">
      <c r="A22" s="1700" t="s">
        <v>842</v>
      </c>
      <c r="B22" s="1020">
        <f ca="1">IF(C22&lt;B2,"已过期",1120020033)</f>
        <v>1120020033</v>
      </c>
      <c r="C22" s="2925">
        <v>44339</v>
      </c>
      <c r="D22" s="2345" t="s">
        <v>842</v>
      </c>
      <c r="E22" s="1020">
        <f ca="1">IF(F22&lt;B2,"已过期",2000110137)</f>
        <v>2000110137</v>
      </c>
      <c r="F22" s="1028">
        <v>46387</v>
      </c>
    </row>
    <row r="23" spans="1:7" ht="24" customHeight="1">
      <c r="A23" s="1700"/>
      <c r="B23" s="1020"/>
      <c r="C23" s="2342"/>
      <c r="D23" s="2345"/>
      <c r="E23" s="1020"/>
      <c r="F23" s="1020"/>
    </row>
    <row r="24" spans="1:7" s="1022" customFormat="1" ht="24" customHeight="1">
      <c r="A24" s="1701" t="s">
        <v>1329</v>
      </c>
      <c r="B24" s="1701" t="s">
        <v>1329</v>
      </c>
      <c r="C24" s="2343" t="s">
        <v>1329</v>
      </c>
      <c r="D24" s="2346" t="s">
        <v>1329</v>
      </c>
      <c r="E24" s="1701" t="s">
        <v>1329</v>
      </c>
      <c r="F24" s="1701" t="s">
        <v>1329</v>
      </c>
    </row>
    <row r="25" spans="1:7" ht="24" customHeight="1">
      <c r="A25" s="3001" t="s">
        <v>843</v>
      </c>
      <c r="B25" s="3001"/>
      <c r="C25" s="3001"/>
      <c r="D25" s="3001"/>
      <c r="E25" s="3001"/>
      <c r="F25" s="3001"/>
      <c r="G25" s="3001"/>
    </row>
    <row r="26" spans="1:7" s="1023" customFormat="1" ht="24" customHeight="1">
      <c r="A26" s="3002" t="s">
        <v>844</v>
      </c>
      <c r="B26" s="3002"/>
      <c r="C26" s="3003"/>
      <c r="D26" s="3004" t="s">
        <v>845</v>
      </c>
      <c r="E26" s="3002"/>
      <c r="F26" s="3002"/>
    </row>
    <row r="27" spans="1:7" s="1025" customFormat="1" ht="24" customHeight="1">
      <c r="A27" s="1024" t="s">
        <v>846</v>
      </c>
      <c r="B27" s="1019" t="s">
        <v>847</v>
      </c>
      <c r="C27" s="2341" t="s">
        <v>848</v>
      </c>
      <c r="D27" s="2349" t="s">
        <v>846</v>
      </c>
      <c r="E27" s="1019" t="s">
        <v>847</v>
      </c>
      <c r="F27" s="1019" t="s">
        <v>848</v>
      </c>
    </row>
    <row r="28" spans="1:7" s="1025" customFormat="1" ht="24" customHeight="1">
      <c r="A28" s="1026" t="s">
        <v>849</v>
      </c>
      <c r="B28" s="1027" t="s">
        <v>850</v>
      </c>
      <c r="C28" s="2347">
        <v>43725</v>
      </c>
      <c r="D28" s="2350" t="s">
        <v>851</v>
      </c>
      <c r="E28" s="1026" t="s">
        <v>852</v>
      </c>
      <c r="F28" s="1056">
        <v>44377</v>
      </c>
    </row>
    <row r="29" spans="1:7" s="1025" customFormat="1" ht="24" customHeight="1">
      <c r="A29" s="1026"/>
      <c r="B29" s="1026"/>
      <c r="C29" s="2348"/>
      <c r="D29" s="2350" t="s">
        <v>853</v>
      </c>
      <c r="E29" s="1200" t="s">
        <v>3047</v>
      </c>
      <c r="F29" s="1201">
        <v>43646</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2019-07-30T12:37:58Z</dcterms:modified>
</cp:coreProperties>
</file>