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320" windowHeight="10425" tabRatio="875" firstSheet="8" activeTab="4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成本逼近法（015）" sheetId="76" state="hidden" r:id="rId46"/>
    <sheet name="成本逼近法（051）" sheetId="77" r:id="rId47"/>
    <sheet name="成本逼近法（0011）" sheetId="78" state="hidden" r:id="rId48"/>
    <sheet name="Sheet1" sheetId="68" state="hidden" r:id="rId49"/>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 i="77" l="1"/>
  <c r="B5" i="77" l="1"/>
  <c r="B2" i="77"/>
  <c r="C17" i="66"/>
  <c r="D17" i="66"/>
  <c r="F17" i="66" l="1"/>
  <c r="J17" i="66" s="1"/>
  <c r="B5" i="78"/>
  <c r="B2" i="78"/>
  <c r="I3" i="59" l="1"/>
  <c r="L3" i="59"/>
  <c r="B27" i="79" l="1"/>
  <c r="B29" i="79" s="1"/>
  <c r="C25" i="79" s="1"/>
  <c r="C21" i="79" s="1"/>
  <c r="I11" i="79"/>
  <c r="I10" i="79" s="1"/>
  <c r="I9" i="79" s="1"/>
  <c r="H26" i="76"/>
  <c r="I17" i="79" l="1"/>
  <c r="I18" i="79"/>
  <c r="I19" i="79" s="1"/>
  <c r="B27" i="69"/>
  <c r="B29" i="69" s="1"/>
  <c r="C25" i="69" s="1"/>
  <c r="C21" i="69" s="1"/>
  <c r="B27" i="76"/>
  <c r="B29" i="76" s="1"/>
  <c r="C25" i="76" s="1"/>
  <c r="B27" i="77"/>
  <c r="B29" i="77" s="1"/>
  <c r="C25" i="77" s="1"/>
  <c r="B27" i="78"/>
  <c r="B29" i="78" s="1"/>
  <c r="C25" i="78" s="1"/>
  <c r="I23" i="79" l="1"/>
  <c r="B4" i="79" s="1"/>
  <c r="B2" i="79" s="1"/>
  <c r="B5" i="79" s="1"/>
  <c r="I20" i="79"/>
  <c r="C21" i="78"/>
  <c r="I11" i="78"/>
  <c r="I10" i="78" s="1"/>
  <c r="I9" i="78" s="1"/>
  <c r="C21" i="77"/>
  <c r="I11" i="77"/>
  <c r="I10" i="77" s="1"/>
  <c r="I9" i="77" s="1"/>
  <c r="I17" i="78" l="1"/>
  <c r="I18" i="78"/>
  <c r="I19" i="78" s="1"/>
  <c r="I17" i="77"/>
  <c r="I18" i="77"/>
  <c r="I19" i="77" s="1"/>
  <c r="I23" i="78" l="1"/>
  <c r="B4" i="78" s="1"/>
  <c r="I20" i="78"/>
  <c r="I23" i="77"/>
  <c r="B4" i="77" s="1"/>
  <c r="I20" i="77"/>
  <c r="C21" i="76" l="1"/>
  <c r="I23" i="76" s="1"/>
  <c r="I11" i="76"/>
  <c r="I10" i="76" s="1"/>
  <c r="I9" i="76" s="1"/>
  <c r="I17" i="76" l="1"/>
  <c r="I18" i="76"/>
  <c r="I19" i="76" s="1"/>
  <c r="I17" i="69"/>
  <c r="B4" i="76" l="1"/>
  <c r="B2" i="76" s="1"/>
  <c r="I20" i="76"/>
  <c r="B5" i="76" l="1"/>
  <c r="I33" i="70"/>
  <c r="I33" i="71"/>
  <c r="C36" i="72"/>
  <c r="I32" i="72"/>
  <c r="E27" i="72" l="1"/>
  <c r="I33" i="72"/>
  <c r="C36" i="70" l="1"/>
  <c r="C36" i="71"/>
  <c r="I11" i="72"/>
  <c r="I10" i="72" s="1"/>
  <c r="G13" i="72"/>
  <c r="G14" i="72"/>
  <c r="G16" i="72"/>
  <c r="G17" i="72"/>
  <c r="G18" i="72"/>
  <c r="G19" i="72"/>
  <c r="G20" i="72"/>
  <c r="G21" i="72"/>
  <c r="G22" i="72"/>
  <c r="G24" i="72"/>
  <c r="G23" i="72" s="1"/>
  <c r="G25" i="72"/>
  <c r="G5" i="72"/>
  <c r="J2" i="72"/>
  <c r="J3" i="72" s="1"/>
  <c r="I11" i="71"/>
  <c r="I10" i="71" s="1"/>
  <c r="I9"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3" i="70" s="1"/>
  <c r="G25" i="70"/>
  <c r="G5" i="70"/>
  <c r="J2" i="70"/>
  <c r="J3" i="70" s="1"/>
  <c r="I11" i="69"/>
  <c r="I10" i="69" s="1"/>
  <c r="I9" i="69" s="1"/>
  <c r="G33" i="68"/>
  <c r="G32" i="68"/>
  <c r="G31" i="68"/>
  <c r="G30" i="68"/>
  <c r="G22" i="68"/>
  <c r="G28" i="68"/>
  <c r="G27" i="68"/>
  <c r="G26" i="68"/>
  <c r="G21" i="68"/>
  <c r="G20" i="68"/>
  <c r="G19" i="68"/>
  <c r="I18" i="68"/>
  <c r="I19" i="68"/>
  <c r="I20" i="68"/>
  <c r="I21" i="68"/>
  <c r="I22" i="68"/>
  <c r="I23" i="68"/>
  <c r="I24" i="68"/>
  <c r="I11" i="68"/>
  <c r="I12" i="68"/>
  <c r="I14" i="68"/>
  <c r="I15" i="68"/>
  <c r="I16" i="68"/>
  <c r="I26" i="68"/>
  <c r="I25" i="68" s="1"/>
  <c r="I27" i="68"/>
  <c r="I28" i="68"/>
  <c r="I30" i="68"/>
  <c r="I31" i="68"/>
  <c r="I32" i="68"/>
  <c r="I33" i="68"/>
  <c r="I29" i="68"/>
  <c r="G5" i="68"/>
  <c r="G16" i="68"/>
  <c r="G15" i="68"/>
  <c r="G14" i="68"/>
  <c r="G13" i="68"/>
  <c r="C1" i="65"/>
  <c r="H1" i="65"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A20" i="3" s="1"/>
  <c r="AZ20" i="3" s="1"/>
  <c r="BF20" i="3"/>
  <c r="BG20" i="3"/>
  <c r="BH20" i="3"/>
  <c r="BI20" i="3"/>
  <c r="BJ20" i="3"/>
  <c r="BK20" i="3"/>
  <c r="BM20" i="3"/>
  <c r="BN20" i="3"/>
  <c r="BO20" i="3"/>
  <c r="BP20" i="3"/>
  <c r="BQ20" i="3"/>
  <c r="BR20" i="3"/>
  <c r="BS20" i="3"/>
  <c r="BT20" i="3"/>
  <c r="BL20" i="3"/>
  <c r="H13" i="3"/>
  <c r="H14" i="3"/>
  <c r="H15" i="3"/>
  <c r="H16" i="3"/>
  <c r="H17" i="3"/>
  <c r="H18" i="3"/>
  <c r="H19" i="3"/>
  <c r="H20" i="3"/>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c r="AF3" i="59"/>
  <c r="AH8" i="59"/>
  <c r="AG8" i="59"/>
  <c r="AE8" i="59"/>
  <c r="AF8" i="59" s="1"/>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s="1"/>
  <c r="AD10" i="59"/>
  <c r="AE11" i="59"/>
  <c r="AF11" i="59"/>
  <c r="AG11" i="59"/>
  <c r="AH11" i="59"/>
  <c r="AD11" i="59"/>
  <c r="Q11" i="59"/>
  <c r="P11" i="59"/>
  <c r="O11" i="59"/>
  <c r="N11" i="59"/>
  <c r="N12" i="59"/>
  <c r="Q12" i="59"/>
  <c r="P12" i="59"/>
  <c r="O12" i="59"/>
  <c r="L4" i="9"/>
  <c r="M4" i="9"/>
  <c r="A30" i="64"/>
  <c r="A30" i="51"/>
  <c r="K59" i="15"/>
  <c r="P62" i="15" s="1"/>
  <c r="P75" i="15"/>
  <c r="Q74" i="44"/>
  <c r="Q61" i="44"/>
  <c r="Q60" i="44"/>
  <c r="Q53" i="44"/>
  <c r="J51" i="44"/>
  <c r="J52" i="44" s="1"/>
  <c r="M48" i="44"/>
  <c r="A16" i="55"/>
  <c r="B67" i="63" s="1"/>
  <c r="A15" i="55"/>
  <c r="B66" i="63" s="1"/>
  <c r="A10" i="55"/>
  <c r="B61" i="63" s="1"/>
  <c r="A9" i="55"/>
  <c r="B60" i="63"/>
  <c r="A8" i="55"/>
  <c r="A6" i="54"/>
  <c r="A8" i="54"/>
  <c r="A7" i="54"/>
  <c r="A27" i="51"/>
  <c r="B20" i="63" s="1"/>
  <c r="Q13" i="59"/>
  <c r="O13" i="59"/>
  <c r="N14" i="59"/>
  <c r="O14" i="59"/>
  <c r="P14" i="59"/>
  <c r="Q14" i="59"/>
  <c r="N13" i="59"/>
  <c r="P13" i="59"/>
  <c r="F15" i="59"/>
  <c r="K75" i="9"/>
  <c r="K6" i="4"/>
  <c r="O76" i="9" s="1"/>
  <c r="L76" i="9"/>
  <c r="K76" i="9"/>
  <c r="B22" i="31"/>
  <c r="E18" i="66"/>
  <c r="F18" i="66"/>
  <c r="E19" i="66"/>
  <c r="F19" i="66"/>
  <c r="E20" i="66"/>
  <c r="F20" i="66"/>
  <c r="E21" i="66"/>
  <c r="F21" i="66"/>
  <c r="E22" i="66"/>
  <c r="F22" i="66"/>
  <c r="E23" i="66"/>
  <c r="F23" i="66"/>
  <c r="B3" i="66"/>
  <c r="E11" i="59"/>
  <c r="U11" i="59" s="1"/>
  <c r="E10" i="59"/>
  <c r="E9" i="59" s="1"/>
  <c r="E8" i="59" s="1"/>
  <c r="E7" i="59" s="1"/>
  <c r="F11" i="59"/>
  <c r="V11" i="59"/>
  <c r="AD3" i="59"/>
  <c r="AD12" i="59"/>
  <c r="AE12" i="59"/>
  <c r="AF12" i="59" s="1"/>
  <c r="AG12" i="59"/>
  <c r="AH12" i="59"/>
  <c r="AD13" i="59"/>
  <c r="AE13" i="59"/>
  <c r="AF13" i="59" s="1"/>
  <c r="AG13" i="59"/>
  <c r="AH13" i="59"/>
  <c r="AD14" i="59"/>
  <c r="AE14" i="59"/>
  <c r="AF14" i="59"/>
  <c r="AG14" i="59"/>
  <c r="AH14" i="59"/>
  <c r="AD15" i="59"/>
  <c r="AE15" i="59"/>
  <c r="AF15" i="59"/>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Y12" i="46"/>
  <c r="AA9" i="46"/>
  <c r="AB9" i="46"/>
  <c r="AB10" i="46" s="1"/>
  <c r="AC9" i="46"/>
  <c r="AC10" i="46" s="1"/>
  <c r="AD9" i="46"/>
  <c r="AD10" i="46"/>
  <c r="AE9" i="46"/>
  <c r="AF9" i="46"/>
  <c r="AF10" i="46" s="1"/>
  <c r="AG9" i="46"/>
  <c r="AG12" i="46" s="1"/>
  <c r="AH9" i="46"/>
  <c r="AH10" i="46" s="1"/>
  <c r="AI9" i="46"/>
  <c r="AJ9" i="46"/>
  <c r="AJ10" i="46"/>
  <c r="Z9" i="46"/>
  <c r="Z10" i="46" s="1"/>
  <c r="AI10" i="46"/>
  <c r="AG10" i="46"/>
  <c r="AE10" i="46"/>
  <c r="AA10" i="46"/>
  <c r="Y10" i="46"/>
  <c r="Z12" i="46"/>
  <c r="AI12" i="46"/>
  <c r="AE12" i="46"/>
  <c r="AC12" i="46"/>
  <c r="AA12" i="46"/>
  <c r="B73" i="63"/>
  <c r="A21" i="64"/>
  <c r="B75" i="63" s="1"/>
  <c r="A27" i="64"/>
  <c r="A15" i="64"/>
  <c r="A14" i="64"/>
  <c r="A11" i="64"/>
  <c r="A3" i="64"/>
  <c r="A45" i="9"/>
  <c r="A44" i="9"/>
  <c r="C57" i="10"/>
  <c r="A28" i="64" s="1"/>
  <c r="C56" i="10"/>
  <c r="C55" i="10"/>
  <c r="C54" i="10"/>
  <c r="B49" i="63"/>
  <c r="B44" i="63"/>
  <c r="B40" i="63"/>
  <c r="B30" i="63"/>
  <c r="B27" i="63"/>
  <c r="B25" i="63"/>
  <c r="A11" i="51"/>
  <c r="B10" i="63" s="1"/>
  <c r="K39" i="9"/>
  <c r="K40" i="9"/>
  <c r="B58" i="63"/>
  <c r="B53" i="63"/>
  <c r="B51"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c r="E5" i="54"/>
  <c r="B32" i="63"/>
  <c r="R2" i="54"/>
  <c r="B24" i="63"/>
  <c r="B49" i="50"/>
  <c r="B5" i="63"/>
  <c r="B40" i="50"/>
  <c r="B3" i="63" s="1"/>
  <c r="I19" i="46"/>
  <c r="Q15" i="59"/>
  <c r="P15" i="59"/>
  <c r="E15" i="59" s="1"/>
  <c r="O15" i="59"/>
  <c r="N15" i="59"/>
  <c r="B15" i="59" s="1"/>
  <c r="S15" i="59" s="1"/>
  <c r="D76" i="59"/>
  <c r="F75" i="59"/>
  <c r="F74" i="59" s="1"/>
  <c r="F73" i="59" s="1"/>
  <c r="E75" i="59"/>
  <c r="E74" i="59" s="1"/>
  <c r="E73" i="59" s="1"/>
  <c r="C75" i="59"/>
  <c r="D75" i="59"/>
  <c r="B75" i="59"/>
  <c r="B74" i="59"/>
  <c r="B73" i="59" s="1"/>
  <c r="D72" i="59"/>
  <c r="F71" i="59"/>
  <c r="F70" i="59" s="1"/>
  <c r="F69" i="59" s="1"/>
  <c r="E71" i="59"/>
  <c r="E70" i="59" s="1"/>
  <c r="E69" i="59" s="1"/>
  <c r="C71" i="59"/>
  <c r="C70" i="59" s="1"/>
  <c r="C69" i="59" s="1"/>
  <c r="D69" i="59" s="1"/>
  <c r="D71" i="59"/>
  <c r="B71" i="59"/>
  <c r="B70" i="59"/>
  <c r="B69" i="59" s="1"/>
  <c r="D68" i="59"/>
  <c r="Q67" i="59"/>
  <c r="P67" i="59"/>
  <c r="O67" i="59"/>
  <c r="N67" i="59"/>
  <c r="F67" i="59"/>
  <c r="V67" i="59"/>
  <c r="E67" i="59"/>
  <c r="U67" i="59"/>
  <c r="C67" i="59"/>
  <c r="D67" i="59" s="1"/>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c r="C63" i="59"/>
  <c r="B63" i="59"/>
  <c r="S63" i="59"/>
  <c r="Q62" i="59"/>
  <c r="P62" i="59"/>
  <c r="O62" i="59"/>
  <c r="N62"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s="1"/>
  <c r="C55" i="59"/>
  <c r="D55" i="59" s="1"/>
  <c r="B55" i="59"/>
  <c r="F54" i="59"/>
  <c r="F53" i="59"/>
  <c r="Q52" i="59" s="1"/>
  <c r="Q53" i="59"/>
  <c r="D52" i="59"/>
  <c r="Q51" i="59"/>
  <c r="P51" i="59"/>
  <c r="O51" i="59"/>
  <c r="N51" i="59"/>
  <c r="Q50" i="59"/>
  <c r="P50" i="59"/>
  <c r="O50" i="59"/>
  <c r="N50" i="59"/>
  <c r="Q49" i="59"/>
  <c r="P49" i="59"/>
  <c r="O49" i="59"/>
  <c r="N49" i="59"/>
  <c r="Q48" i="59"/>
  <c r="F49" i="59" s="1"/>
  <c r="F50" i="59" s="1"/>
  <c r="F51" i="59" s="1"/>
  <c r="V51" i="59" s="1"/>
  <c r="P48" i="59"/>
  <c r="E49" i="59"/>
  <c r="E50" i="59"/>
  <c r="E51" i="59" s="1"/>
  <c r="U51" i="59" s="1"/>
  <c r="O48" i="59"/>
  <c r="C49" i="59"/>
  <c r="C50" i="59" s="1"/>
  <c r="C51" i="59" s="1"/>
  <c r="T51" i="59" s="1"/>
  <c r="N48" i="59"/>
  <c r="B49" i="59"/>
  <c r="B50" i="59"/>
  <c r="B51" i="59"/>
  <c r="S51" i="59" s="1"/>
  <c r="D48" i="59"/>
  <c r="Q47" i="59"/>
  <c r="P47" i="59"/>
  <c r="O47" i="59"/>
  <c r="N47" i="59"/>
  <c r="Q46" i="59"/>
  <c r="P46" i="59"/>
  <c r="O46" i="59"/>
  <c r="N46" i="59"/>
  <c r="Q45" i="59"/>
  <c r="P45" i="59"/>
  <c r="E46" i="59" s="1"/>
  <c r="E47" i="59" s="1"/>
  <c r="U47" i="59" s="1"/>
  <c r="O45" i="59"/>
  <c r="N45" i="59"/>
  <c r="Q44" i="59"/>
  <c r="F45" i="59"/>
  <c r="F46" i="59" s="1"/>
  <c r="F47" i="59" s="1"/>
  <c r="V47" i="59" s="1"/>
  <c r="P44" i="59"/>
  <c r="E45" i="59"/>
  <c r="O44" i="59"/>
  <c r="C45" i="59"/>
  <c r="C46" i="59" s="1"/>
  <c r="C47" i="59" s="1"/>
  <c r="T47" i="59" s="1"/>
  <c r="N44" i="59"/>
  <c r="B45" i="59" s="1"/>
  <c r="B46" i="59" s="1"/>
  <c r="B47" i="59" s="1"/>
  <c r="S47" i="59" s="1"/>
  <c r="D44" i="59"/>
  <c r="Q43" i="59"/>
  <c r="P43" i="59"/>
  <c r="O43" i="59"/>
  <c r="N43" i="59"/>
  <c r="Q42" i="59"/>
  <c r="P42" i="59"/>
  <c r="O42" i="59"/>
  <c r="N42" i="59"/>
  <c r="Q41" i="59"/>
  <c r="P41" i="59"/>
  <c r="O41" i="59"/>
  <c r="C42" i="59" s="1"/>
  <c r="C43" i="59" s="1"/>
  <c r="D43" i="59" s="1"/>
  <c r="N41" i="59"/>
  <c r="Q40" i="59"/>
  <c r="F41" i="59"/>
  <c r="P40" i="59"/>
  <c r="E41" i="59" s="1"/>
  <c r="E42" i="59" s="1"/>
  <c r="E43" i="59" s="1"/>
  <c r="U43" i="59"/>
  <c r="O40" i="59"/>
  <c r="C41" i="59"/>
  <c r="N40" i="59"/>
  <c r="B41" i="59"/>
  <c r="B42" i="59" s="1"/>
  <c r="B43" i="59" s="1"/>
  <c r="S43" i="59" s="1"/>
  <c r="D40" i="59"/>
  <c r="Q39" i="59"/>
  <c r="P39" i="59"/>
  <c r="O39" i="59"/>
  <c r="N39" i="59"/>
  <c r="Q38" i="59"/>
  <c r="P38" i="59"/>
  <c r="O38" i="59"/>
  <c r="N38" i="59"/>
  <c r="Q37" i="59"/>
  <c r="P37" i="59"/>
  <c r="O37" i="59"/>
  <c r="N37" i="59"/>
  <c r="B38" i="59" s="1"/>
  <c r="B39" i="59" s="1"/>
  <c r="S39" i="59" s="1"/>
  <c r="Q36" i="59"/>
  <c r="F37" i="59"/>
  <c r="F38" i="59"/>
  <c r="F39" i="59"/>
  <c r="V39" i="59" s="1"/>
  <c r="P36" i="59"/>
  <c r="E37" i="59"/>
  <c r="E38" i="59" s="1"/>
  <c r="E39" i="59" s="1"/>
  <c r="O36" i="59"/>
  <c r="C37" i="59" s="1"/>
  <c r="N36" i="59"/>
  <c r="B37" i="59"/>
  <c r="D36" i="59"/>
  <c r="T35" i="59"/>
  <c r="Q35" i="59"/>
  <c r="P35" i="59"/>
  <c r="O35" i="59"/>
  <c r="N35" i="59"/>
  <c r="D35" i="59"/>
  <c r="Q34" i="59"/>
  <c r="P34" i="59"/>
  <c r="O34" i="59"/>
  <c r="N34" i="59"/>
  <c r="Q33" i="59"/>
  <c r="P33" i="59"/>
  <c r="E34" i="59" s="1"/>
  <c r="O33" i="59"/>
  <c r="N33" i="59"/>
  <c r="Q32" i="59"/>
  <c r="F33" i="59"/>
  <c r="P32" i="59"/>
  <c r="E33" i="59"/>
  <c r="E35" i="59"/>
  <c r="U35" i="59" s="1"/>
  <c r="O32" i="59"/>
  <c r="C33" i="59"/>
  <c r="C34" i="59" s="1"/>
  <c r="D34" i="59" s="1"/>
  <c r="N32" i="59"/>
  <c r="B33" i="59" s="1"/>
  <c r="B34" i="59" s="1"/>
  <c r="B35" i="59" s="1"/>
  <c r="S35" i="59" s="1"/>
  <c r="D32" i="59"/>
  <c r="Q31" i="59"/>
  <c r="P31" i="59"/>
  <c r="O31" i="59"/>
  <c r="N31" i="59"/>
  <c r="Q30" i="59"/>
  <c r="P30" i="59"/>
  <c r="O30" i="59"/>
  <c r="N30" i="59"/>
  <c r="Q29" i="59"/>
  <c r="P29" i="59"/>
  <c r="O29" i="59"/>
  <c r="N29" i="59"/>
  <c r="Q28" i="59"/>
  <c r="F29" i="59"/>
  <c r="F30" i="59" s="1"/>
  <c r="F31" i="59" s="1"/>
  <c r="V31" i="59" s="1"/>
  <c r="P28" i="59"/>
  <c r="E29" i="59" s="1"/>
  <c r="E30" i="59" s="1"/>
  <c r="E31" i="59" s="1"/>
  <c r="U31" i="59" s="1"/>
  <c r="O28" i="59"/>
  <c r="C29" i="59"/>
  <c r="N28" i="59"/>
  <c r="B29" i="59"/>
  <c r="B30" i="59" s="1"/>
  <c r="B31" i="59" s="1"/>
  <c r="S31" i="59" s="1"/>
  <c r="D28" i="59"/>
  <c r="Q27" i="59"/>
  <c r="P27" i="59"/>
  <c r="O27" i="59"/>
  <c r="N27" i="59"/>
  <c r="Q26" i="59"/>
  <c r="AB26" i="59"/>
  <c r="P26" i="59"/>
  <c r="AA25" i="59" s="1"/>
  <c r="O26" i="59"/>
  <c r="Y26" i="59" s="1"/>
  <c r="Z26" i="59" s="1"/>
  <c r="N26" i="59"/>
  <c r="X26" i="59"/>
  <c r="Q25" i="59"/>
  <c r="AB25" i="59" s="1"/>
  <c r="P25" i="59"/>
  <c r="O25" i="59"/>
  <c r="N25" i="59"/>
  <c r="X25" i="59" s="1"/>
  <c r="Q24" i="59"/>
  <c r="AB24" i="59" s="1"/>
  <c r="F25" i="59"/>
  <c r="P24" i="59"/>
  <c r="AA24" i="59" s="1"/>
  <c r="E25" i="59"/>
  <c r="E26" i="59" s="1"/>
  <c r="E27" i="59" s="1"/>
  <c r="U27" i="59" s="1"/>
  <c r="O24" i="59"/>
  <c r="Y19" i="59" s="1"/>
  <c r="Z19" i="59" s="1"/>
  <c r="N24" i="59"/>
  <c r="X24" i="59" s="1"/>
  <c r="B25" i="59"/>
  <c r="B26" i="59"/>
  <c r="B27" i="59" s="1"/>
  <c r="S27" i="59" s="1"/>
  <c r="D24" i="59"/>
  <c r="Q23" i="59"/>
  <c r="AB23" i="59" s="1"/>
  <c r="P23" i="59"/>
  <c r="AA23" i="59" s="1"/>
  <c r="O23" i="59"/>
  <c r="N23" i="59"/>
  <c r="Q22" i="59"/>
  <c r="AB22" i="59" s="1"/>
  <c r="P22" i="59"/>
  <c r="AA22" i="59" s="1"/>
  <c r="O22" i="59"/>
  <c r="N22" i="59"/>
  <c r="Q21" i="59"/>
  <c r="AB21" i="59" s="1"/>
  <c r="P21" i="59"/>
  <c r="AA21" i="59" s="1"/>
  <c r="O21" i="59"/>
  <c r="N21" i="59"/>
  <c r="Q20" i="59"/>
  <c r="P20" i="59"/>
  <c r="E21" i="59"/>
  <c r="E22" i="59"/>
  <c r="E23" i="59" s="1"/>
  <c r="U23" i="59" s="1"/>
  <c r="O20" i="59"/>
  <c r="C21" i="59"/>
  <c r="N20" i="59"/>
  <c r="B21" i="59"/>
  <c r="B22" i="59"/>
  <c r="B23" i="59"/>
  <c r="S23" i="59" s="1"/>
  <c r="D20" i="59"/>
  <c r="Q19" i="59"/>
  <c r="P19" i="59"/>
  <c r="AA19" i="59" s="1"/>
  <c r="O19" i="59"/>
  <c r="N19" i="59"/>
  <c r="Q18" i="59"/>
  <c r="P18" i="59"/>
  <c r="AA18" i="59" s="1"/>
  <c r="O18" i="59"/>
  <c r="N18" i="59"/>
  <c r="Q17" i="59"/>
  <c r="P17" i="59"/>
  <c r="AA14" i="59" s="1"/>
  <c r="O17" i="59"/>
  <c r="N17" i="59"/>
  <c r="Q16" i="59"/>
  <c r="F17" i="59"/>
  <c r="F18" i="59" s="1"/>
  <c r="F19" i="59" s="1"/>
  <c r="V19" i="59" s="1"/>
  <c r="P16" i="59"/>
  <c r="O16" i="59"/>
  <c r="C17" i="59"/>
  <c r="D17" i="59" s="1"/>
  <c r="N16" i="59"/>
  <c r="X16" i="59" s="1"/>
  <c r="D16" i="59"/>
  <c r="AA15" i="59"/>
  <c r="E17" i="59"/>
  <c r="U39" i="59"/>
  <c r="AA26" i="59"/>
  <c r="F26" i="59"/>
  <c r="F27" i="59"/>
  <c r="V27" i="59"/>
  <c r="F34" i="59"/>
  <c r="F35" i="59" s="1"/>
  <c r="V35" i="59" s="1"/>
  <c r="F42" i="59"/>
  <c r="F43" i="59"/>
  <c r="V43" i="59" s="1"/>
  <c r="C18" i="59"/>
  <c r="C19" i="59" s="1"/>
  <c r="D19" i="59" s="1"/>
  <c r="C30" i="59"/>
  <c r="C31" i="59" s="1"/>
  <c r="D31" i="59" s="1"/>
  <c r="D29" i="59"/>
  <c r="D33" i="59"/>
  <c r="D41" i="59"/>
  <c r="D49" i="59"/>
  <c r="Q54" i="59"/>
  <c r="T55" i="59"/>
  <c r="O55" i="59"/>
  <c r="P55" i="59"/>
  <c r="Q55" i="59"/>
  <c r="C58" i="59"/>
  <c r="E58" i="59"/>
  <c r="E57" i="59" s="1"/>
  <c r="D59" i="59"/>
  <c r="E62" i="59"/>
  <c r="E61" i="59" s="1"/>
  <c r="E66" i="59"/>
  <c r="E65" i="59" s="1"/>
  <c r="C74" i="59"/>
  <c r="C73" i="59" s="1"/>
  <c r="D73" i="59" s="1"/>
  <c r="U16" i="4"/>
  <c r="S16" i="4"/>
  <c r="Q16" i="4"/>
  <c r="O16" i="4"/>
  <c r="M16" i="4"/>
  <c r="L16" i="4" s="1"/>
  <c r="K16" i="4"/>
  <c r="D74" i="59"/>
  <c r="D58" i="59"/>
  <c r="C57" i="59"/>
  <c r="D57" i="59"/>
  <c r="D70" i="59"/>
  <c r="D50" i="59"/>
  <c r="D46" i="59"/>
  <c r="D42" i="59"/>
  <c r="D30" i="59"/>
  <c r="D18" i="59"/>
  <c r="D47" i="59"/>
  <c r="T19" i="59"/>
  <c r="T43" i="59"/>
  <c r="O27" i="6"/>
  <c r="N27" i="6"/>
  <c r="P26" i="6"/>
  <c r="L26" i="6"/>
  <c r="P25" i="6"/>
  <c r="L25" i="6"/>
  <c r="P24" i="6"/>
  <c r="L24" i="6"/>
  <c r="P23" i="6"/>
  <c r="L23" i="6"/>
  <c r="P22" i="6"/>
  <c r="L22" i="6"/>
  <c r="P21" i="6"/>
  <c r="L21" i="6"/>
  <c r="P20" i="6"/>
  <c r="P19" i="6"/>
  <c r="P27" i="6" s="1"/>
  <c r="Q18" i="36"/>
  <c r="Z18" i="36" s="1"/>
  <c r="C18" i="36"/>
  <c r="D66" i="36"/>
  <c r="F18" i="36"/>
  <c r="AA18" i="36"/>
  <c r="Z18" i="35"/>
  <c r="Q18" i="35"/>
  <c r="F18" i="35"/>
  <c r="AA18" i="35"/>
  <c r="C18" i="35"/>
  <c r="D68" i="35"/>
  <c r="E68" i="35"/>
  <c r="F68" i="35"/>
  <c r="G68" i="35"/>
  <c r="Q21" i="37"/>
  <c r="Z21" i="37" s="1"/>
  <c r="F21" i="37"/>
  <c r="S21" i="37" s="1"/>
  <c r="C21" i="37"/>
  <c r="E77" i="37"/>
  <c r="F77" i="37"/>
  <c r="G77" i="37" s="1"/>
  <c r="D77" i="37"/>
  <c r="Q21" i="34"/>
  <c r="Z21" i="34" s="1"/>
  <c r="C21" i="34"/>
  <c r="D84" i="34"/>
  <c r="F21" i="34"/>
  <c r="S21" i="34" s="1"/>
  <c r="AA21" i="34"/>
  <c r="Z21" i="33"/>
  <c r="Q21" i="33"/>
  <c r="C21" i="33"/>
  <c r="D83" i="33"/>
  <c r="E83" i="33"/>
  <c r="F83" i="33" s="1"/>
  <c r="G83" i="33" s="1"/>
  <c r="Q21" i="21"/>
  <c r="Z21" i="21" s="1"/>
  <c r="D83" i="21"/>
  <c r="E83" i="21"/>
  <c r="F21" i="21"/>
  <c r="AA21" i="21" s="1"/>
  <c r="C21" i="21"/>
  <c r="Q27" i="40"/>
  <c r="Z27" i="40" s="1"/>
  <c r="D96" i="40"/>
  <c r="E96" i="40" s="1"/>
  <c r="F27" i="40"/>
  <c r="AA27" i="40"/>
  <c r="Z31" i="39"/>
  <c r="Q31" i="39"/>
  <c r="D105" i="39"/>
  <c r="E105" i="39"/>
  <c r="F31" i="39"/>
  <c r="AA31" i="39" s="1"/>
  <c r="G20" i="20"/>
  <c r="C27" i="40" s="1"/>
  <c r="C22" i="20"/>
  <c r="B65" i="46" s="1"/>
  <c r="S18" i="36"/>
  <c r="S18" i="35"/>
  <c r="S27" i="40"/>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s="1"/>
  <c r="C31" i="57"/>
  <c r="C32" i="57"/>
  <c r="I23" i="57"/>
  <c r="D20" i="57"/>
  <c r="I19" i="57"/>
  <c r="I18" i="57"/>
  <c r="I17" i="57"/>
  <c r="I20" i="57" s="1"/>
  <c r="E15" i="57"/>
  <c r="I14" i="57"/>
  <c r="I13" i="57"/>
  <c r="I12" i="57"/>
  <c r="I15" i="57" s="1"/>
  <c r="I9" i="57"/>
  <c r="I8" i="57"/>
  <c r="I7" i="57"/>
  <c r="I6" i="57"/>
  <c r="I5" i="57"/>
  <c r="I4" i="57"/>
  <c r="I3" i="57"/>
  <c r="I10" i="57" s="1"/>
  <c r="C30" i="57"/>
  <c r="E26" i="57"/>
  <c r="C112" i="9"/>
  <c r="C7" i="1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c r="D82" i="46"/>
  <c r="M81" i="46"/>
  <c r="N81" i="46"/>
  <c r="K81" i="46"/>
  <c r="J81" i="46" s="1"/>
  <c r="M80" i="46"/>
  <c r="N80" i="46"/>
  <c r="K80" i="46"/>
  <c r="J80" i="46" s="1"/>
  <c r="M77" i="46"/>
  <c r="N77" i="46"/>
  <c r="K77" i="46"/>
  <c r="J77" i="46" s="1"/>
  <c r="M76" i="46"/>
  <c r="N76" i="46"/>
  <c r="D76" i="46"/>
  <c r="K76" i="46"/>
  <c r="J76" i="46" s="1"/>
  <c r="M75" i="46"/>
  <c r="N75" i="46"/>
  <c r="K75" i="46"/>
  <c r="J75" i="46" s="1"/>
  <c r="M74" i="46"/>
  <c r="N74" i="46"/>
  <c r="K74" i="46"/>
  <c r="J74" i="46" s="1"/>
  <c r="D74" i="46"/>
  <c r="M73" i="46"/>
  <c r="D73" i="46"/>
  <c r="K73" i="46"/>
  <c r="J73" i="46"/>
  <c r="M72" i="46"/>
  <c r="N72" i="46" s="1"/>
  <c r="K72" i="46"/>
  <c r="J72" i="46"/>
  <c r="D72" i="46"/>
  <c r="M71" i="46"/>
  <c r="N71" i="46" s="1"/>
  <c r="K71" i="46"/>
  <c r="J71" i="46"/>
  <c r="M70" i="46"/>
  <c r="N70" i="46" s="1"/>
  <c r="K70" i="46"/>
  <c r="J70" i="46"/>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c r="D61" i="46"/>
  <c r="M60" i="46"/>
  <c r="N60" i="46"/>
  <c r="K60" i="46"/>
  <c r="J60" i="46" s="1"/>
  <c r="D60" i="46"/>
  <c r="M59" i="46"/>
  <c r="N59" i="46"/>
  <c r="K59" i="46"/>
  <c r="J59" i="46" s="1"/>
  <c r="D59" i="46"/>
  <c r="M58" i="46"/>
  <c r="N58" i="46" s="1"/>
  <c r="M55" i="46"/>
  <c r="N55" i="46"/>
  <c r="K55" i="46"/>
  <c r="J55" i="46" s="1"/>
  <c r="M54" i="46"/>
  <c r="N54" i="46"/>
  <c r="K54" i="46"/>
  <c r="J54" i="46" s="1"/>
  <c r="M53" i="46"/>
  <c r="N53" i="46" s="1"/>
  <c r="K53" i="46"/>
  <c r="J53" i="46"/>
  <c r="D53" i="46"/>
  <c r="M52" i="46"/>
  <c r="N52" i="46"/>
  <c r="K52" i="46"/>
  <c r="J52" i="46" s="1"/>
  <c r="D52" i="46"/>
  <c r="M51" i="46"/>
  <c r="N51" i="46"/>
  <c r="K51" i="46"/>
  <c r="J51" i="46" s="1"/>
  <c r="M50" i="46"/>
  <c r="N50" i="46"/>
  <c r="M49" i="46"/>
  <c r="N49" i="46" s="1"/>
  <c r="K49" i="46"/>
  <c r="J49" i="46"/>
  <c r="D49" i="46"/>
  <c r="M48" i="46"/>
  <c r="N48" i="46"/>
  <c r="K48" i="46"/>
  <c r="J48" i="46" s="1"/>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L89" i="3"/>
  <c r="BK89" i="3"/>
  <c r="BJ89" i="3"/>
  <c r="BI89" i="3"/>
  <c r="BH89" i="3"/>
  <c r="BG89" i="3"/>
  <c r="BF89" i="3"/>
  <c r="BE89" i="3"/>
  <c r="BD89" i="3"/>
  <c r="BC89" i="3"/>
  <c r="BA89" i="3" s="1"/>
  <c r="AZ89" i="3" s="1"/>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c r="C61" i="40"/>
  <c r="H60" i="40"/>
  <c r="H59" i="40"/>
  <c r="H58" i="40"/>
  <c r="I58" i="40"/>
  <c r="C58" i="40" s="1"/>
  <c r="H57" i="40"/>
  <c r="I57" i="40"/>
  <c r="C57" i="40"/>
  <c r="H56" i="40"/>
  <c r="I56" i="40" s="1"/>
  <c r="C56" i="40" s="1"/>
  <c r="H55" i="40"/>
  <c r="I55" i="40" s="1"/>
  <c r="C55" i="40" s="1"/>
  <c r="H54" i="40"/>
  <c r="I54" i="40"/>
  <c r="C54" i="40" s="1"/>
  <c r="H63" i="39"/>
  <c r="I63" i="39"/>
  <c r="C63" i="39"/>
  <c r="H59" i="39"/>
  <c r="I59" i="39" s="1"/>
  <c r="C59" i="39" s="1"/>
  <c r="H67" i="39"/>
  <c r="I67" i="39" s="1"/>
  <c r="C67" i="39" s="1"/>
  <c r="H66" i="39"/>
  <c r="I66" i="39"/>
  <c r="C66" i="39" s="1"/>
  <c r="H65" i="39"/>
  <c r="I65" i="39"/>
  <c r="C65" i="39"/>
  <c r="H64" i="39"/>
  <c r="I64" i="39" s="1"/>
  <c r="C64" i="39" s="1"/>
  <c r="H62" i="39"/>
  <c r="I62" i="39" s="1"/>
  <c r="C62" i="39" s="1"/>
  <c r="H61" i="39"/>
  <c r="I61" i="39"/>
  <c r="C61" i="39" s="1"/>
  <c r="H60" i="39"/>
  <c r="I60" i="39"/>
  <c r="C60" i="39"/>
  <c r="L25" i="4"/>
  <c r="C109" i="9"/>
  <c r="C145" i="21"/>
  <c r="J142" i="21"/>
  <c r="J140" i="21"/>
  <c r="K145" i="21" s="1"/>
  <c r="K139" i="21"/>
  <c r="M87" i="21"/>
  <c r="L87" i="21"/>
  <c r="K87" i="21"/>
  <c r="J87" i="21"/>
  <c r="I87" i="21"/>
  <c r="H87" i="21"/>
  <c r="G87" i="21"/>
  <c r="F87" i="21"/>
  <c r="E87" i="21"/>
  <c r="D87" i="21"/>
  <c r="G2" i="46"/>
  <c r="F80" i="46" s="1"/>
  <c r="H17" i="46"/>
  <c r="G19"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C18" i="9" s="1"/>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c r="H10" i="39"/>
  <c r="AB10" i="39" s="1"/>
  <c r="H11" i="39"/>
  <c r="AB11" i="39"/>
  <c r="H36" i="39"/>
  <c r="AB36" i="39" s="1"/>
  <c r="H40" i="39"/>
  <c r="AB40" i="39"/>
  <c r="H42" i="39"/>
  <c r="AB42" i="39" s="1"/>
  <c r="J10" i="39"/>
  <c r="AC10" i="39"/>
  <c r="J11" i="39"/>
  <c r="AC11" i="39" s="1"/>
  <c r="J36" i="39"/>
  <c r="AC36" i="39"/>
  <c r="J40" i="39"/>
  <c r="AC40" i="39" s="1"/>
  <c r="J42" i="39"/>
  <c r="AC42" i="39"/>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s="1"/>
  <c r="G48" i="37"/>
  <c r="H48" i="37"/>
  <c r="E48" i="37"/>
  <c r="F48" i="37" s="1"/>
  <c r="I55" i="34"/>
  <c r="J55" i="34" s="1"/>
  <c r="G55" i="34"/>
  <c r="H55" i="34" s="1"/>
  <c r="E55" i="34"/>
  <c r="F55" i="34"/>
  <c r="I50" i="40"/>
  <c r="J50" i="40" s="1"/>
  <c r="G50" i="40"/>
  <c r="H50" i="40"/>
  <c r="E50" i="40"/>
  <c r="F50" i="40" s="1"/>
  <c r="I55" i="39"/>
  <c r="J55" i="39"/>
  <c r="G55" i="39"/>
  <c r="H55" i="39" s="1"/>
  <c r="E55" i="39"/>
  <c r="F55" i="39" s="1"/>
  <c r="I42" i="36"/>
  <c r="J42" i="36" s="1"/>
  <c r="G42" i="36"/>
  <c r="H42" i="36"/>
  <c r="E42" i="36"/>
  <c r="F42" i="36" s="1"/>
  <c r="I44" i="35"/>
  <c r="J44" i="35"/>
  <c r="G44" i="35"/>
  <c r="H44" i="35" s="1"/>
  <c r="E44" i="35"/>
  <c r="F44" i="35"/>
  <c r="I54" i="33"/>
  <c r="J54" i="33" s="1"/>
  <c r="G54" i="33"/>
  <c r="E54" i="33"/>
  <c r="F54" i="33"/>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F5" i="3" s="1"/>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I5" i="3" s="1"/>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A509" i="3" s="1"/>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AZ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L519" i="3" s="1"/>
  <c r="AZ519" i="3" s="1"/>
  <c r="BQ519" i="3"/>
  <c r="BR519" i="3"/>
  <c r="BS519" i="3"/>
  <c r="BT519" i="3"/>
  <c r="H520" i="3"/>
  <c r="AC520" i="3"/>
  <c r="G520" i="3" s="1"/>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L540" i="3" s="1"/>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L552" i="3" s="1"/>
  <c r="BP552" i="3"/>
  <c r="BR552" i="3"/>
  <c r="BS552" i="3"/>
  <c r="BT552" i="3"/>
  <c r="H553" i="3"/>
  <c r="G553" i="3" s="1"/>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A554" i="3" s="1"/>
  <c r="AZ554" i="3" s="1"/>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A557" i="3" s="1"/>
  <c r="AZ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c r="C26" i="35"/>
  <c r="C79" i="35" s="1"/>
  <c r="J31" i="35"/>
  <c r="H31" i="35"/>
  <c r="F31" i="35"/>
  <c r="D87" i="35"/>
  <c r="E87" i="35" s="1"/>
  <c r="F87" i="35"/>
  <c r="G87" i="35" s="1"/>
  <c r="H87" i="35"/>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J42" i="34"/>
  <c r="F42" i="34"/>
  <c r="J38" i="34"/>
  <c r="AC38" i="34" s="1"/>
  <c r="D114" i="34"/>
  <c r="F38" i="34"/>
  <c r="D112" i="34"/>
  <c r="E112" i="34"/>
  <c r="F112" i="34" s="1"/>
  <c r="G112" i="34" s="1"/>
  <c r="H112" i="34" s="1"/>
  <c r="I112" i="34" s="1"/>
  <c r="J112" i="34" s="1"/>
  <c r="K112" i="34" s="1"/>
  <c r="L112" i="34" s="1"/>
  <c r="M112" i="34" s="1"/>
  <c r="F40" i="33"/>
  <c r="S40" i="33" s="1"/>
  <c r="J41" i="33"/>
  <c r="AC41" i="33"/>
  <c r="D113" i="33"/>
  <c r="F37" i="33"/>
  <c r="AA37" i="33" s="1"/>
  <c r="D111" i="33"/>
  <c r="E111" i="33"/>
  <c r="F111" i="33" s="1"/>
  <c r="G111" i="33" s="1"/>
  <c r="H111" i="33"/>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c r="G117" i="40" s="1"/>
  <c r="H117" i="40" s="1"/>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F91" i="39" s="1"/>
  <c r="G91" i="39"/>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W25" i="37" s="1"/>
  <c r="B110" i="37"/>
  <c r="J39" i="37"/>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s="1"/>
  <c r="F71" i="37" s="1"/>
  <c r="G71" i="37" s="1"/>
  <c r="F15" i="37"/>
  <c r="AA15" i="37"/>
  <c r="B68" i="37"/>
  <c r="H14" i="37"/>
  <c r="U14" i="37"/>
  <c r="B66" i="37"/>
  <c r="H13" i="37" s="1"/>
  <c r="AB13" i="37" s="1"/>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s="1"/>
  <c r="Q26" i="37"/>
  <c r="Z26" i="37" s="1"/>
  <c r="J26" i="37"/>
  <c r="H26" i="37"/>
  <c r="AB26" i="37" s="1"/>
  <c r="F26" i="37"/>
  <c r="AA26" i="37"/>
  <c r="Q25" i="37"/>
  <c r="Z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s="1"/>
  <c r="I81" i="36"/>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W24" i="36" s="1"/>
  <c r="B71" i="36"/>
  <c r="F23" i="36" s="1"/>
  <c r="D70" i="36"/>
  <c r="H22" i="36"/>
  <c r="AB22" i="36" s="1"/>
  <c r="D68" i="36"/>
  <c r="E68" i="36"/>
  <c r="D64" i="36"/>
  <c r="E64" i="36" s="1"/>
  <c r="F64" i="36" s="1"/>
  <c r="G64" i="36" s="1"/>
  <c r="J16" i="36"/>
  <c r="D62" i="36"/>
  <c r="E62" i="36"/>
  <c r="B59" i="36"/>
  <c r="B57" i="36"/>
  <c r="B55" i="36"/>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c r="H26" i="36"/>
  <c r="Q25" i="36"/>
  <c r="Z25" i="36" s="1"/>
  <c r="Q24" i="36"/>
  <c r="Z24" i="36" s="1"/>
  <c r="H24" i="36"/>
  <c r="AB24" i="36" s="1"/>
  <c r="Q23" i="36"/>
  <c r="Z23" i="36" s="1"/>
  <c r="J23" i="36"/>
  <c r="AC23" i="36"/>
  <c r="H23" i="36"/>
  <c r="AB23" i="36" s="1"/>
  <c r="AA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c r="F9" i="36"/>
  <c r="AA9" i="36" s="1"/>
  <c r="J8" i="36"/>
  <c r="AC8" i="36"/>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J12" i="35" s="1"/>
  <c r="H12"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c r="G66" i="35"/>
  <c r="D64" i="35"/>
  <c r="E64" i="35" s="1"/>
  <c r="F64" i="35"/>
  <c r="G64" i="35"/>
  <c r="F56" i="35"/>
  <c r="G56" i="35" s="1"/>
  <c r="H56" i="35" s="1"/>
  <c r="I56" i="35" s="1"/>
  <c r="C53" i="35"/>
  <c r="P39" i="35"/>
  <c r="P38" i="35"/>
  <c r="V37" i="35"/>
  <c r="T37" i="35"/>
  <c r="R37" i="35"/>
  <c r="P37" i="35"/>
  <c r="Q36" i="35"/>
  <c r="Z36" i="35"/>
  <c r="J36" i="35"/>
  <c r="AC36" i="35"/>
  <c r="Q35" i="35"/>
  <c r="Z35" i="35"/>
  <c r="Q34" i="35"/>
  <c r="Z34" i="35"/>
  <c r="H34" i="35"/>
  <c r="AB34" i="35" s="1"/>
  <c r="Q33" i="35"/>
  <c r="Z33" i="35" s="1"/>
  <c r="Q32" i="35"/>
  <c r="Z32" i="35"/>
  <c r="H32" i="35"/>
  <c r="AB32" i="35" s="1"/>
  <c r="F32" i="35"/>
  <c r="AA32" i="35"/>
  <c r="Q31" i="35"/>
  <c r="Z31" i="35" s="1"/>
  <c r="AC31" i="35"/>
  <c r="AB31" i="35"/>
  <c r="AA31" i="35"/>
  <c r="Q30" i="35"/>
  <c r="Z30" i="35" s="1"/>
  <c r="Q29" i="35"/>
  <c r="Z29" i="35"/>
  <c r="Q28" i="35"/>
  <c r="Z28" i="35" s="1"/>
  <c r="J28" i="35"/>
  <c r="H28" i="35"/>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c r="Q12" i="35"/>
  <c r="Z12" i="35" s="1"/>
  <c r="W12" i="35"/>
  <c r="F12" i="35"/>
  <c r="AA12" i="35" s="1"/>
  <c r="Q11" i="35"/>
  <c r="Z11" i="35" s="1"/>
  <c r="Q10" i="35"/>
  <c r="Z10" i="35" s="1"/>
  <c r="Q9" i="35"/>
  <c r="Z9" i="35" s="1"/>
  <c r="F9" i="35"/>
  <c r="AA9" i="35" s="1"/>
  <c r="J8" i="35"/>
  <c r="H8" i="35"/>
  <c r="F8" i="35"/>
  <c r="AA8" i="35" s="1"/>
  <c r="C7" i="35"/>
  <c r="C48" i="35" s="1"/>
  <c r="D48" i="35" s="1"/>
  <c r="E48" i="35" s="1"/>
  <c r="F48" i="35" s="1"/>
  <c r="G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c r="F40" i="34"/>
  <c r="S40" i="34" s="1"/>
  <c r="Q39" i="34"/>
  <c r="Z39" i="34"/>
  <c r="J39" i="34"/>
  <c r="H39" i="34"/>
  <c r="U39" i="34" s="1"/>
  <c r="F39" i="34"/>
  <c r="Q38" i="34"/>
  <c r="Z38" i="34"/>
  <c r="Q37" i="34"/>
  <c r="Z37" i="34"/>
  <c r="Q36" i="34"/>
  <c r="Z36" i="34"/>
  <c r="Q35" i="34"/>
  <c r="Z35" i="34"/>
  <c r="Q34" i="34"/>
  <c r="Z34" i="34"/>
  <c r="J34" i="34"/>
  <c r="H34" i="34"/>
  <c r="AB34" i="34" s="1"/>
  <c r="F34" i="34"/>
  <c r="AA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AA10" i="34"/>
  <c r="Q9" i="34"/>
  <c r="Z9" i="34" s="1"/>
  <c r="J9" i="34"/>
  <c r="AC9" i="34"/>
  <c r="H9" i="34"/>
  <c r="AB9" i="34" s="1"/>
  <c r="F9" i="34"/>
  <c r="AA9" i="34"/>
  <c r="J8" i="34"/>
  <c r="AC8" i="34" s="1"/>
  <c r="H8" i="34"/>
  <c r="U8" i="34"/>
  <c r="F8" i="34"/>
  <c r="AA8" i="34" s="1"/>
  <c r="C7" i="34"/>
  <c r="C59" i="34" s="1"/>
  <c r="D59" i="34" s="1"/>
  <c r="D121" i="33"/>
  <c r="F109" i="33"/>
  <c r="E109" i="33"/>
  <c r="D109" i="33"/>
  <c r="C109" i="33"/>
  <c r="D91" i="33"/>
  <c r="E91" i="33" s="1"/>
  <c r="F91" i="33" s="1"/>
  <c r="G91" i="33"/>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J28" i="33" s="1"/>
  <c r="B90" i="33"/>
  <c r="H27" i="33" s="1"/>
  <c r="D87" i="33"/>
  <c r="E87" i="33"/>
  <c r="D85" i="33"/>
  <c r="E85" i="33" s="1"/>
  <c r="D81" i="33"/>
  <c r="E81" i="33" s="1"/>
  <c r="F81" i="33" s="1"/>
  <c r="G81" i="33" s="1"/>
  <c r="D79" i="33"/>
  <c r="E79" i="33" s="1"/>
  <c r="D77" i="33"/>
  <c r="E77" i="33" s="1"/>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c r="J42" i="33"/>
  <c r="AC42" i="33" s="1"/>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s="1"/>
  <c r="J8" i="33"/>
  <c r="W8" i="33"/>
  <c r="H8" i="33"/>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c r="C18" i="20"/>
  <c r="C23" i="39" s="1"/>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F10" i="21"/>
  <c r="AA10" i="21" s="1"/>
  <c r="C7" i="21"/>
  <c r="C58" i="21" s="1"/>
  <c r="D58" i="21" s="1"/>
  <c r="E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C9" i="12"/>
  <c r="BB12" i="3"/>
  <c r="F9" i="12"/>
  <c r="D9" i="12"/>
  <c r="E9" i="12"/>
  <c r="G9" i="12"/>
  <c r="K5" i="3"/>
  <c r="J5" i="3"/>
  <c r="BE10" i="3"/>
  <c r="BT5"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AA38" i="21" s="1"/>
  <c r="F36" i="21"/>
  <c r="S36" i="21"/>
  <c r="F39" i="21"/>
  <c r="AA39" i="21" s="1"/>
  <c r="J40" i="21"/>
  <c r="W40" i="21"/>
  <c r="H35" i="21"/>
  <c r="AB35" i="21" s="1"/>
  <c r="J8" i="21"/>
  <c r="AC8" i="2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J26" i="21"/>
  <c r="W26" i="21" s="1"/>
  <c r="F26" i="21"/>
  <c r="AA26" i="21"/>
  <c r="S41" i="21"/>
  <c r="AA41" i="21"/>
  <c r="W41" i="21"/>
  <c r="S10" i="39"/>
  <c r="U30" i="37"/>
  <c r="F103" i="37"/>
  <c r="F39" i="37"/>
  <c r="S39" i="37" s="1"/>
  <c r="F29" i="36"/>
  <c r="AA29" i="36"/>
  <c r="F16" i="36"/>
  <c r="AA16" i="36" s="1"/>
  <c r="W23" i="36"/>
  <c r="W22" i="36"/>
  <c r="AC31" i="36"/>
  <c r="J33" i="36"/>
  <c r="W33" i="36" s="1"/>
  <c r="AC27" i="35"/>
  <c r="U31" i="35"/>
  <c r="W36" i="35"/>
  <c r="S31" i="35"/>
  <c r="W31" i="35"/>
  <c r="U34" i="35"/>
  <c r="F36" i="34"/>
  <c r="S36" i="34"/>
  <c r="W9" i="34"/>
  <c r="S34" i="34"/>
  <c r="H39" i="33"/>
  <c r="AB39" i="33"/>
  <c r="F26" i="33"/>
  <c r="AA26" i="33" s="1"/>
  <c r="U33" i="33"/>
  <c r="W38" i="33"/>
  <c r="S33" i="33"/>
  <c r="W33" i="33"/>
  <c r="U38"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F86" i="40"/>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AC8" i="35"/>
  <c r="F35" i="37"/>
  <c r="J34" i="37"/>
  <c r="W34" i="37" s="1"/>
  <c r="H43" i="34"/>
  <c r="U42" i="34"/>
  <c r="E114" i="34"/>
  <c r="H36" i="34"/>
  <c r="U36" i="34" s="1"/>
  <c r="F37" i="34"/>
  <c r="AA37" i="34" s="1"/>
  <c r="F33" i="34"/>
  <c r="S33" i="34" s="1"/>
  <c r="AA28" i="34"/>
  <c r="F19" i="34"/>
  <c r="AA19" i="34" s="1"/>
  <c r="J10" i="34"/>
  <c r="AC10" i="34"/>
  <c r="U9" i="34"/>
  <c r="W8" i="34"/>
  <c r="J28" i="34"/>
  <c r="W28" i="34"/>
  <c r="S38" i="33"/>
  <c r="E113" i="33"/>
  <c r="F36" i="33"/>
  <c r="S36" i="33"/>
  <c r="F19" i="33"/>
  <c r="S19" i="33" s="1"/>
  <c r="J19" i="33"/>
  <c r="S10" i="21"/>
  <c r="W40" i="33"/>
  <c r="F125" i="21"/>
  <c r="G125" i="21" s="1"/>
  <c r="G86" i="40"/>
  <c r="AB30" i="36"/>
  <c r="AC34" i="36"/>
  <c r="S22" i="35"/>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BL572" i="3"/>
  <c r="J14" i="21"/>
  <c r="F14" i="21"/>
  <c r="AA14" i="21" s="1"/>
  <c r="H14" i="21"/>
  <c r="U14" i="21" s="1"/>
  <c r="H28" i="21"/>
  <c r="AB28" i="21" s="1"/>
  <c r="H30" i="21"/>
  <c r="U30" i="21" s="1"/>
  <c r="F30" i="21"/>
  <c r="S30" i="21"/>
  <c r="J30" i="21"/>
  <c r="AC30" i="21" s="1"/>
  <c r="H44" i="21"/>
  <c r="U44" i="21" s="1"/>
  <c r="H46" i="21"/>
  <c r="AB46" i="21" s="1"/>
  <c r="J46" i="21"/>
  <c r="W46" i="21" s="1"/>
  <c r="F46" i="21"/>
  <c r="AA46" i="21" s="1"/>
  <c r="H28" i="33"/>
  <c r="F28" i="33"/>
  <c r="AA28" i="33" s="1"/>
  <c r="F33" i="35"/>
  <c r="S33" i="35" s="1"/>
  <c r="J33" i="35"/>
  <c r="W33" i="35"/>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AB36" i="37"/>
  <c r="J37" i="37"/>
  <c r="AC37" i="37" s="1"/>
  <c r="H37" i="37"/>
  <c r="U37" i="37" s="1"/>
  <c r="H40" i="37"/>
  <c r="U40" i="37" s="1"/>
  <c r="J40" i="37"/>
  <c r="F40" i="37"/>
  <c r="AA40" i="37"/>
  <c r="H14" i="33"/>
  <c r="U14" i="33" s="1"/>
  <c r="J14" i="33"/>
  <c r="AC14" i="33" s="1"/>
  <c r="H30" i="33"/>
  <c r="AB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S46" i="21"/>
  <c r="AB30" i="21"/>
  <c r="W14" i="21"/>
  <c r="AC14" i="21"/>
  <c r="S46" i="33"/>
  <c r="U36" i="37"/>
  <c r="AB45" i="33"/>
  <c r="S19" i="21"/>
  <c r="G529" i="3"/>
  <c r="G521" i="3"/>
  <c r="G517" i="3"/>
  <c r="G508" i="3"/>
  <c r="G499" i="3"/>
  <c r="G485" i="3"/>
  <c r="G565" i="3"/>
  <c r="G561" i="3"/>
  <c r="G549" i="3"/>
  <c r="G545" i="3"/>
  <c r="G539" i="3"/>
  <c r="BL569" i="3"/>
  <c r="BL561" i="3"/>
  <c r="BL557" i="3"/>
  <c r="BL545" i="3"/>
  <c r="BL535" i="3"/>
  <c r="BL527" i="3"/>
  <c r="BL501" i="3"/>
  <c r="BL491" i="3"/>
  <c r="BL483" i="3"/>
  <c r="BL559" i="3"/>
  <c r="BL551" i="3"/>
  <c r="BL541" i="3"/>
  <c r="BL533" i="3"/>
  <c r="BL525" i="3"/>
  <c r="G518" i="3"/>
  <c r="G514" i="3"/>
  <c r="G510" i="3"/>
  <c r="BL485" i="3"/>
  <c r="BA569" i="3"/>
  <c r="AZ569" i="3" s="1"/>
  <c r="BA561" i="3"/>
  <c r="AZ561" i="3"/>
  <c r="BA559" i="3"/>
  <c r="AZ559" i="3" s="1"/>
  <c r="BA555" i="3"/>
  <c r="AZ555" i="3" s="1"/>
  <c r="BA551" i="3"/>
  <c r="AZ551" i="3" s="1"/>
  <c r="BA545" i="3"/>
  <c r="AZ545" i="3" s="1"/>
  <c r="BA543" i="3"/>
  <c r="AZ543" i="3" s="1"/>
  <c r="BA541" i="3"/>
  <c r="AZ541" i="3" s="1"/>
  <c r="BA531" i="3"/>
  <c r="BA521" i="3"/>
  <c r="BA501" i="3"/>
  <c r="AZ501" i="3" s="1"/>
  <c r="BA493" i="3"/>
  <c r="AZ493" i="3" s="1"/>
  <c r="BA487" i="3"/>
  <c r="BA572" i="3"/>
  <c r="AZ572" i="3" s="1"/>
  <c r="BA566" i="3"/>
  <c r="BA562" i="3"/>
  <c r="BA560" i="3"/>
  <c r="BA558" i="3"/>
  <c r="AZ558" i="3" s="1"/>
  <c r="BA556" i="3"/>
  <c r="AZ556" i="3" s="1"/>
  <c r="BA550" i="3"/>
  <c r="BA546" i="3"/>
  <c r="BA544" i="3"/>
  <c r="BA536" i="3"/>
  <c r="BA532" i="3"/>
  <c r="BA528" i="3"/>
  <c r="BA524" i="3"/>
  <c r="BA520" i="3"/>
  <c r="AZ520" i="3" s="1"/>
  <c r="BA508" i="3"/>
  <c r="BA502" i="3"/>
  <c r="AZ502" i="3" s="1"/>
  <c r="BA498" i="3"/>
  <c r="BA492" i="3"/>
  <c r="AZ492" i="3" s="1"/>
  <c r="BA488" i="3"/>
  <c r="BA484" i="3"/>
  <c r="G562" i="3"/>
  <c r="G560" i="3"/>
  <c r="G558" i="3"/>
  <c r="G556" i="3"/>
  <c r="G554" i="3"/>
  <c r="G550" i="3"/>
  <c r="G546" i="3"/>
  <c r="BL543" i="3"/>
  <c r="BA542" i="3"/>
  <c r="AZ542" i="3" s="1"/>
  <c r="AC542" i="3"/>
  <c r="G542" i="3" s="1"/>
  <c r="BQ542" i="3"/>
  <c r="BL542" i="3"/>
  <c r="BQ568" i="3"/>
  <c r="BQ566" i="3"/>
  <c r="BQ564" i="3"/>
  <c r="BL564" i="3" s="1"/>
  <c r="BQ562" i="3"/>
  <c r="BL562" i="3" s="1"/>
  <c r="AZ562" i="3" s="1"/>
  <c r="BQ560" i="3"/>
  <c r="BL560" i="3" s="1"/>
  <c r="AZ560" i="3" s="1"/>
  <c r="BQ558" i="3"/>
  <c r="BL558" i="3"/>
  <c r="BQ556" i="3"/>
  <c r="BQ554" i="3"/>
  <c r="BQ552" i="3"/>
  <c r="BQ550" i="3"/>
  <c r="BL550" i="3"/>
  <c r="AZ550" i="3" s="1"/>
  <c r="BQ548" i="3"/>
  <c r="BQ546" i="3"/>
  <c r="BL546" i="3" s="1"/>
  <c r="BQ544" i="3"/>
  <c r="BL544" i="3" s="1"/>
  <c r="AZ544" i="3" s="1"/>
  <c r="G544" i="3"/>
  <c r="G538" i="3"/>
  <c r="G534" i="3"/>
  <c r="G530" i="3"/>
  <c r="G526" i="3"/>
  <c r="G522" i="3"/>
  <c r="BQ540" i="3"/>
  <c r="BQ538" i="3"/>
  <c r="BL538" i="3"/>
  <c r="BQ536" i="3"/>
  <c r="BQ534" i="3"/>
  <c r="BL534" i="3" s="1"/>
  <c r="BQ532" i="3"/>
  <c r="BL532" i="3" s="1"/>
  <c r="AZ532" i="3" s="1"/>
  <c r="BQ530" i="3"/>
  <c r="BQ528" i="3"/>
  <c r="BQ526" i="3"/>
  <c r="BL526" i="3" s="1"/>
  <c r="AZ526" i="3" s="1"/>
  <c r="BQ524" i="3"/>
  <c r="BL524" i="3" s="1"/>
  <c r="AZ524" i="3" s="1"/>
  <c r="BQ522" i="3"/>
  <c r="BQ520" i="3"/>
  <c r="BQ518" i="3"/>
  <c r="BQ516" i="3"/>
  <c r="BL516" i="3" s="1"/>
  <c r="BQ514" i="3"/>
  <c r="BQ512" i="3"/>
  <c r="BQ510" i="3"/>
  <c r="BQ508" i="3"/>
  <c r="BL508" i="3"/>
  <c r="AC506" i="3"/>
  <c r="G506" i="3" s="1"/>
  <c r="BQ506" i="3"/>
  <c r="G502" i="3"/>
  <c r="G498" i="3"/>
  <c r="BQ504" i="3"/>
  <c r="BQ502" i="3"/>
  <c r="BL502" i="3"/>
  <c r="BQ500" i="3"/>
  <c r="BL500" i="3" s="1"/>
  <c r="BQ498" i="3"/>
  <c r="BQ496" i="3"/>
  <c r="BL496" i="3" s="1"/>
  <c r="AC494" i="3"/>
  <c r="BQ494" i="3"/>
  <c r="G492" i="3"/>
  <c r="G488" i="3"/>
  <c r="G484" i="3"/>
  <c r="BQ492" i="3"/>
  <c r="BL492" i="3"/>
  <c r="BQ490" i="3"/>
  <c r="BQ488" i="3"/>
  <c r="BL488" i="3" s="1"/>
  <c r="AZ488" i="3" s="1"/>
  <c r="BQ486" i="3"/>
  <c r="BQ484" i="3"/>
  <c r="BL484" i="3" s="1"/>
  <c r="AZ484" i="3" s="1"/>
  <c r="BQ482" i="3"/>
  <c r="BL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c r="AB43" i="33"/>
  <c r="D3" i="21"/>
  <c r="AC33" i="36"/>
  <c r="AC12" i="35"/>
  <c r="W23" i="35"/>
  <c r="S27" i="37"/>
  <c r="U39" i="37"/>
  <c r="AC8" i="37"/>
  <c r="AC36" i="34"/>
  <c r="AB8" i="34"/>
  <c r="AC37" i="33"/>
  <c r="U19" i="21"/>
  <c r="AC33" i="21"/>
  <c r="AA36" i="21"/>
  <c r="S39" i="33"/>
  <c r="F43" i="33"/>
  <c r="AA43" i="33" s="1"/>
  <c r="AA23" i="37"/>
  <c r="AB44" i="33"/>
  <c r="AA9" i="21"/>
  <c r="F37" i="21"/>
  <c r="S37" i="21" s="1"/>
  <c r="J37" i="21"/>
  <c r="W37" i="21"/>
  <c r="H19" i="34"/>
  <c r="AB19" i="34" s="1"/>
  <c r="J10" i="37"/>
  <c r="W10" i="37"/>
  <c r="F36" i="35"/>
  <c r="S36" i="35" s="1"/>
  <c r="J9" i="37"/>
  <c r="W9" i="37"/>
  <c r="H9" i="37"/>
  <c r="U9" i="37" s="1"/>
  <c r="F9" i="37"/>
  <c r="S9" i="37"/>
  <c r="F11" i="37"/>
  <c r="S11" i="37" s="1"/>
  <c r="J12" i="37"/>
  <c r="AC12" i="37"/>
  <c r="H12" i="37"/>
  <c r="AB12" i="37" s="1"/>
  <c r="F12" i="37"/>
  <c r="AA12" i="37"/>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4" i="3"/>
  <c r="AZ78" i="3"/>
  <c r="AZ86" i="3"/>
  <c r="AZ94" i="3"/>
  <c r="AZ102" i="3"/>
  <c r="AZ106" i="3"/>
  <c r="G491" i="3"/>
  <c r="BA298" i="3"/>
  <c r="AZ298" i="3" s="1"/>
  <c r="BA299" i="3"/>
  <c r="BL299" i="3"/>
  <c r="AZ299" i="3" s="1"/>
  <c r="G300" i="3"/>
  <c r="G303" i="3"/>
  <c r="BL304" i="3"/>
  <c r="BA306" i="3"/>
  <c r="BA307" i="3"/>
  <c r="BL307" i="3"/>
  <c r="AZ307" i="3"/>
  <c r="G308" i="3"/>
  <c r="G319" i="3"/>
  <c r="BL320" i="3"/>
  <c r="BA322" i="3"/>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AZ300" i="3" s="1"/>
  <c r="BL301" i="3"/>
  <c r="G302" i="3"/>
  <c r="BA304" i="3"/>
  <c r="AZ304" i="3"/>
  <c r="BL305" i="3"/>
  <c r="G306" i="3"/>
  <c r="BA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8" i="3"/>
  <c r="AZ282" i="3"/>
  <c r="AZ286" i="3"/>
  <c r="AZ290" i="3"/>
  <c r="AZ295" i="3"/>
  <c r="AZ313" i="3"/>
  <c r="AZ315" i="3"/>
  <c r="AZ319" i="3"/>
  <c r="AZ335" i="3"/>
  <c r="AZ339" i="3"/>
  <c r="AZ351" i="3"/>
  <c r="AZ361" i="3"/>
  <c r="AZ369" i="3"/>
  <c r="AZ385" i="3"/>
  <c r="AZ390" i="3"/>
  <c r="AZ394" i="3"/>
  <c r="AZ398" i="3"/>
  <c r="AZ410" i="3"/>
  <c r="AZ414" i="3"/>
  <c r="AZ418" i="3"/>
  <c r="AZ422" i="3"/>
  <c r="AZ426" i="3"/>
  <c r="AZ430" i="3"/>
  <c r="AZ434" i="3"/>
  <c r="AZ438" i="3"/>
  <c r="AZ442" i="3"/>
  <c r="AZ450" i="3"/>
  <c r="AZ455" i="3"/>
  <c r="AZ459" i="3"/>
  <c r="AZ463" i="3"/>
  <c r="AZ471" i="3"/>
  <c r="AZ479" i="3"/>
  <c r="H7" i="48"/>
  <c r="F33" i="46"/>
  <c r="H16" i="48"/>
  <c r="H9" i="48"/>
  <c r="H8" i="48"/>
  <c r="C12" i="46"/>
  <c r="AB16" i="35"/>
  <c r="AA43" i="21"/>
  <c r="U43" i="21"/>
  <c r="AA13" i="40"/>
  <c r="E78" i="40"/>
  <c r="F78" i="40"/>
  <c r="G78" i="40"/>
  <c r="H78" i="40" s="1"/>
  <c r="I78" i="40" s="1"/>
  <c r="J78" i="40" s="1"/>
  <c r="K78" i="40"/>
  <c r="L78" i="40" s="1"/>
  <c r="M78" i="40" s="1"/>
  <c r="BH5" i="3"/>
  <c r="R16" i="4"/>
  <c r="P16" i="4"/>
  <c r="D3" i="35"/>
  <c r="G4" i="4"/>
  <c r="S37" i="34"/>
  <c r="J16" i="35"/>
  <c r="W16" i="35" s="1"/>
  <c r="U42" i="21"/>
  <c r="AC26" i="36"/>
  <c r="W25" i="35"/>
  <c r="AZ322" i="3"/>
  <c r="H13" i="39"/>
  <c r="AB13" i="39" s="1"/>
  <c r="F13" i="39"/>
  <c r="J13" i="39"/>
  <c r="AC13" i="39" s="1"/>
  <c r="H11" i="37"/>
  <c r="AB11" i="37"/>
  <c r="W37" i="37"/>
  <c r="AA36" i="37"/>
  <c r="S42" i="33"/>
  <c r="U32" i="33"/>
  <c r="AZ508" i="3"/>
  <c r="AZ546" i="3"/>
  <c r="AA45" i="33"/>
  <c r="AC11" i="36"/>
  <c r="AC10" i="36"/>
  <c r="AB45" i="34"/>
  <c r="AB35" i="35"/>
  <c r="S25" i="35"/>
  <c r="AC30" i="33"/>
  <c r="W30" i="33"/>
  <c r="AC29" i="37"/>
  <c r="W32" i="36"/>
  <c r="AC32" i="36"/>
  <c r="U28" i="33"/>
  <c r="AB28" i="33"/>
  <c r="J33" i="34"/>
  <c r="AC33" i="34" s="1"/>
  <c r="AB36" i="34"/>
  <c r="J40" i="34"/>
  <c r="W40" i="34" s="1"/>
  <c r="F16" i="35"/>
  <c r="AA16" i="35"/>
  <c r="S24" i="36"/>
  <c r="W42" i="33"/>
  <c r="J35" i="34"/>
  <c r="W35" i="34"/>
  <c r="F107" i="34"/>
  <c r="G107" i="34" s="1"/>
  <c r="H107" i="34" s="1"/>
  <c r="I107" i="34" s="1"/>
  <c r="J107" i="34"/>
  <c r="K107" i="34" s="1"/>
  <c r="L107" i="34" s="1"/>
  <c r="M107" i="34" s="1"/>
  <c r="S30" i="36"/>
  <c r="H16" i="36"/>
  <c r="AB16" i="36" s="1"/>
  <c r="G103" i="37"/>
  <c r="H103" i="37"/>
  <c r="I103" i="37" s="1"/>
  <c r="J103" i="37" s="1"/>
  <c r="K103" i="37" s="1"/>
  <c r="L103" i="37" s="1"/>
  <c r="M103" i="37" s="1"/>
  <c r="H35" i="37"/>
  <c r="AB35" i="37"/>
  <c r="S26" i="21"/>
  <c r="H32" i="21"/>
  <c r="U32" i="21"/>
  <c r="AB26" i="21"/>
  <c r="U26" i="21"/>
  <c r="AA33" i="21"/>
  <c r="S33" i="21"/>
  <c r="U39" i="21"/>
  <c r="W9" i="21"/>
  <c r="J32" i="21"/>
  <c r="AC32" i="21"/>
  <c r="AC5" i="3"/>
  <c r="F17" i="21"/>
  <c r="S17" i="21" s="1"/>
  <c r="H17" i="21"/>
  <c r="AB17" i="21"/>
  <c r="J17" i="21"/>
  <c r="AC17" i="21" s="1"/>
  <c r="H37" i="21"/>
  <c r="U37" i="21"/>
  <c r="F40" i="21"/>
  <c r="S40" i="21" s="1"/>
  <c r="H40" i="21"/>
  <c r="AB40" i="21"/>
  <c r="E119" i="21"/>
  <c r="F119" i="21" s="1"/>
  <c r="G119" i="21" s="1"/>
  <c r="H119" i="21"/>
  <c r="I119" i="21" s="1"/>
  <c r="J119" i="21" s="1"/>
  <c r="K119" i="21" s="1"/>
  <c r="L119" i="21" s="1"/>
  <c r="M119" i="21" s="1"/>
  <c r="AA8" i="33"/>
  <c r="S8" i="33"/>
  <c r="AC8" i="33"/>
  <c r="H66" i="33"/>
  <c r="F10" i="33"/>
  <c r="AA10" i="33"/>
  <c r="F11" i="33"/>
  <c r="S11" i="33" s="1"/>
  <c r="J15" i="33"/>
  <c r="W15" i="33"/>
  <c r="H19" i="33"/>
  <c r="AB19" i="33" s="1"/>
  <c r="F32" i="33"/>
  <c r="AA32" i="33"/>
  <c r="J32" i="33"/>
  <c r="F35" i="33"/>
  <c r="AA35" i="33"/>
  <c r="AB39" i="34"/>
  <c r="F11" i="34"/>
  <c r="S11" i="34" s="1"/>
  <c r="E80" i="34"/>
  <c r="F80" i="34"/>
  <c r="H17" i="34"/>
  <c r="AB17" i="34" s="1"/>
  <c r="AC27" i="34"/>
  <c r="W27" i="34"/>
  <c r="S12" i="35"/>
  <c r="AB28" i="35"/>
  <c r="U28" i="35"/>
  <c r="J13" i="33"/>
  <c r="W13" i="33" s="1"/>
  <c r="H13" i="33"/>
  <c r="U13" i="33"/>
  <c r="H29" i="33"/>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F46" i="34"/>
  <c r="AA46" i="34"/>
  <c r="J46" i="34"/>
  <c r="AC46" i="34" s="1"/>
  <c r="H11" i="35"/>
  <c r="J11" i="35"/>
  <c r="AC11" i="35"/>
  <c r="F96" i="37"/>
  <c r="H32" i="37"/>
  <c r="AB32" i="37"/>
  <c r="F19" i="39"/>
  <c r="S19" i="39" s="1"/>
  <c r="H19" i="39"/>
  <c r="J19" i="39"/>
  <c r="W19" i="39"/>
  <c r="F43" i="39"/>
  <c r="H43" i="39"/>
  <c r="U43" i="39"/>
  <c r="J43" i="39"/>
  <c r="F99" i="37"/>
  <c r="AC27" i="37"/>
  <c r="U25" i="35"/>
  <c r="S45" i="34"/>
  <c r="U31" i="34"/>
  <c r="AC40" i="37"/>
  <c r="W40" i="37"/>
  <c r="W27" i="33"/>
  <c r="AC45" i="21"/>
  <c r="S28" i="33"/>
  <c r="S14" i="21"/>
  <c r="AA44" i="34"/>
  <c r="AB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c r="F21" i="39"/>
  <c r="S21" i="39" s="1"/>
  <c r="H21" i="39"/>
  <c r="J21" i="39"/>
  <c r="W21" i="39"/>
  <c r="F33" i="39"/>
  <c r="H33" i="39"/>
  <c r="U33" i="39"/>
  <c r="J33" i="39"/>
  <c r="AC33" i="39" s="1"/>
  <c r="F44" i="39"/>
  <c r="S44" i="39" s="1"/>
  <c r="H44" i="39"/>
  <c r="U44" i="39"/>
  <c r="J44" i="39"/>
  <c r="W44" i="39" s="1"/>
  <c r="E128" i="39"/>
  <c r="F128" i="39"/>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BA553" i="3"/>
  <c r="AZ553" i="3"/>
  <c r="BA552" i="3"/>
  <c r="AZ552" i="3" s="1"/>
  <c r="BL549" i="3"/>
  <c r="BA549" i="3"/>
  <c r="BL548" i="3"/>
  <c r="BA548" i="3"/>
  <c r="BL547" i="3"/>
  <c r="BA547" i="3"/>
  <c r="BL539" i="3"/>
  <c r="AZ539" i="3" s="1"/>
  <c r="BA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AZ522" i="3" s="1"/>
  <c r="BA522" i="3"/>
  <c r="BL521" i="3"/>
  <c r="AZ521" i="3" s="1"/>
  <c r="BA519" i="3"/>
  <c r="BL518" i="3"/>
  <c r="BA518" i="3"/>
  <c r="BL517" i="3"/>
  <c r="BA517" i="3"/>
  <c r="AZ517" i="3" s="1"/>
  <c r="BL515" i="3"/>
  <c r="BA515" i="3"/>
  <c r="BA514" i="3"/>
  <c r="AZ514" i="3" s="1"/>
  <c r="BL513" i="3"/>
  <c r="BA513" i="3"/>
  <c r="AZ513" i="3"/>
  <c r="BL512" i="3"/>
  <c r="BA511" i="3"/>
  <c r="AZ511" i="3"/>
  <c r="BA510" i="3"/>
  <c r="AZ510" i="3" s="1"/>
  <c r="BL509" i="3"/>
  <c r="AZ509" i="3"/>
  <c r="BL507" i="3"/>
  <c r="AZ507" i="3" s="1"/>
  <c r="BA507" i="3"/>
  <c r="BL506" i="3"/>
  <c r="BA506" i="3"/>
  <c r="BL505" i="3"/>
  <c r="AZ505" i="3"/>
  <c r="BL504" i="3"/>
  <c r="AZ504" i="3" s="1"/>
  <c r="BA504" i="3"/>
  <c r="BA503" i="3"/>
  <c r="AZ503" i="3"/>
  <c r="BA500" i="3"/>
  <c r="AZ500" i="3" s="1"/>
  <c r="BL499" i="3"/>
  <c r="BA499" i="3"/>
  <c r="AZ499" i="3" s="1"/>
  <c r="BL498" i="3"/>
  <c r="AZ498" i="3"/>
  <c r="BL497" i="3"/>
  <c r="BA497" i="3"/>
  <c r="BA496" i="3"/>
  <c r="AZ496" i="3"/>
  <c r="BA495" i="3"/>
  <c r="AZ495" i="3" s="1"/>
  <c r="BL494" i="3"/>
  <c r="BA494" i="3"/>
  <c r="AZ494" i="3" s="1"/>
  <c r="G494" i="3"/>
  <c r="BA491" i="3"/>
  <c r="AZ491" i="3"/>
  <c r="BL490" i="3"/>
  <c r="AZ490" i="3" s="1"/>
  <c r="BA490" i="3"/>
  <c r="BL489" i="3"/>
  <c r="BA489" i="3"/>
  <c r="AZ489" i="3" s="1"/>
  <c r="BL487" i="3"/>
  <c r="AZ487" i="3"/>
  <c r="BL486" i="3"/>
  <c r="BA486" i="3"/>
  <c r="BA485" i="3"/>
  <c r="AZ485" i="3"/>
  <c r="BA483" i="3"/>
  <c r="AZ483" i="3" s="1"/>
  <c r="BA482" i="3"/>
  <c r="AZ482" i="3"/>
  <c r="BL481" i="3"/>
  <c r="BJ5" i="3"/>
  <c r="BA481" i="3"/>
  <c r="AZ481" i="3"/>
  <c r="BB5" i="3"/>
  <c r="F36" i="44"/>
  <c r="F114" i="34"/>
  <c r="G114" i="34"/>
  <c r="H114" i="34" s="1"/>
  <c r="I114" i="34" s="1"/>
  <c r="J114" i="34" s="1"/>
  <c r="K114" i="34"/>
  <c r="L114" i="34" s="1"/>
  <c r="M114" i="34" s="1"/>
  <c r="H38" i="34"/>
  <c r="U38" i="34"/>
  <c r="H30" i="40"/>
  <c r="AB30" i="40" s="1"/>
  <c r="G100" i="40"/>
  <c r="J30" i="40"/>
  <c r="AC30" i="40" s="1"/>
  <c r="F38" i="40"/>
  <c r="AA38" i="40"/>
  <c r="AA36" i="34"/>
  <c r="AC12" i="21"/>
  <c r="W12" i="21"/>
  <c r="AB33" i="21"/>
  <c r="S35"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c r="H23" i="35"/>
  <c r="F23" i="35"/>
  <c r="AA23" i="35" s="1"/>
  <c r="AB36" i="35"/>
  <c r="U36" i="35"/>
  <c r="U31" i="36"/>
  <c r="S8" i="37"/>
  <c r="AA8" i="37"/>
  <c r="F14" i="39"/>
  <c r="AA14" i="39"/>
  <c r="H14" i="39"/>
  <c r="AB14" i="39" s="1"/>
  <c r="J14" i="39"/>
  <c r="AC14" i="39"/>
  <c r="F16" i="39"/>
  <c r="AA16" i="39" s="1"/>
  <c r="H16" i="39"/>
  <c r="U16" i="39"/>
  <c r="J16" i="39"/>
  <c r="AC16" i="39" s="1"/>
  <c r="F23" i="39"/>
  <c r="AA23" i="39"/>
  <c r="E97" i="39"/>
  <c r="F97" i="39" s="1"/>
  <c r="F27" i="39"/>
  <c r="AA27" i="39" s="1"/>
  <c r="H27" i="39"/>
  <c r="AB27" i="39"/>
  <c r="J27" i="39"/>
  <c r="AC27" i="39" s="1"/>
  <c r="F15" i="40"/>
  <c r="AA15" i="40"/>
  <c r="J15" i="40"/>
  <c r="W15" i="40" s="1"/>
  <c r="H15" i="40"/>
  <c r="AB15" i="40"/>
  <c r="E92" i="40"/>
  <c r="F92" i="40"/>
  <c r="G92" i="40" s="1"/>
  <c r="H23" i="40"/>
  <c r="U23" i="40"/>
  <c r="H41" i="40"/>
  <c r="AB41" i="40"/>
  <c r="F41" i="40"/>
  <c r="AA41" i="40"/>
  <c r="J41" i="40"/>
  <c r="W41" i="40" s="1"/>
  <c r="H36" i="33"/>
  <c r="AB36" i="33" s="1"/>
  <c r="H37" i="34"/>
  <c r="F15" i="39"/>
  <c r="AA15" i="39" s="1"/>
  <c r="H15" i="39"/>
  <c r="U15" i="39"/>
  <c r="J15" i="39"/>
  <c r="W15" i="39" s="1"/>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c r="J32" i="40"/>
  <c r="AC32" i="40" s="1"/>
  <c r="H32" i="40"/>
  <c r="U32" i="40"/>
  <c r="H33" i="40"/>
  <c r="AB33" i="40" s="1"/>
  <c r="F33" i="40"/>
  <c r="S33" i="40" s="1"/>
  <c r="AA33" i="40"/>
  <c r="J33" i="40"/>
  <c r="AC33" i="40" s="1"/>
  <c r="H35" i="40"/>
  <c r="AB35" i="40"/>
  <c r="F35" i="40"/>
  <c r="AA35" i="40" s="1"/>
  <c r="J35" i="40"/>
  <c r="AC35" i="40"/>
  <c r="J38" i="39"/>
  <c r="W38" i="39" s="1"/>
  <c r="H38" i="39"/>
  <c r="U38" i="39"/>
  <c r="J16" i="40"/>
  <c r="W16" i="40" s="1"/>
  <c r="J14" i="40"/>
  <c r="W14" i="40"/>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44" i="3"/>
  <c r="M1" i="46"/>
  <c r="M6" i="46"/>
  <c r="M10" i="46"/>
  <c r="N2" i="46"/>
  <c r="N5" i="46"/>
  <c r="F58" i="46"/>
  <c r="H61" i="46" s="1"/>
  <c r="N7" i="46"/>
  <c r="AZ458" i="3"/>
  <c r="AZ466" i="3"/>
  <c r="AZ469" i="3"/>
  <c r="AZ474" i="3"/>
  <c r="AZ477" i="3"/>
  <c r="AZ388" i="3"/>
  <c r="AZ207" i="3"/>
  <c r="AZ212" i="3"/>
  <c r="AZ215" i="3"/>
  <c r="AZ220" i="3"/>
  <c r="AZ223" i="3"/>
  <c r="AZ228" i="3"/>
  <c r="AZ231" i="3"/>
  <c r="AZ236" i="3"/>
  <c r="AZ239" i="3"/>
  <c r="AZ244" i="3"/>
  <c r="AZ247" i="3"/>
  <c r="AZ252" i="3"/>
  <c r="AZ255" i="3"/>
  <c r="AZ260"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J13" i="40"/>
  <c r="W13" i="40"/>
  <c r="AB14" i="40"/>
  <c r="W40" i="40"/>
  <c r="F27" i="43"/>
  <c r="F66" i="9"/>
  <c r="P72" i="9"/>
  <c r="F72" i="9"/>
  <c r="AC14" i="40"/>
  <c r="W35" i="40"/>
  <c r="AB32" i="40"/>
  <c r="AC47" i="39"/>
  <c r="S47" i="39"/>
  <c r="AB25" i="39"/>
  <c r="U37" i="34"/>
  <c r="AB37" i="34"/>
  <c r="AC41" i="40"/>
  <c r="U41" i="40"/>
  <c r="J23" i="40"/>
  <c r="AC23" i="40" s="1"/>
  <c r="F23" i="40"/>
  <c r="S23" i="40"/>
  <c r="AC15" i="40"/>
  <c r="S23" i="39"/>
  <c r="AB16" i="39"/>
  <c r="W14" i="39"/>
  <c r="U23" i="35"/>
  <c r="AB23" i="35"/>
  <c r="H20" i="35"/>
  <c r="F20" i="35"/>
  <c r="S20" i="35"/>
  <c r="H15" i="34"/>
  <c r="AB15" i="34"/>
  <c r="G78" i="34"/>
  <c r="J15" i="34"/>
  <c r="H41" i="33"/>
  <c r="U41" i="33" s="1"/>
  <c r="F121" i="33"/>
  <c r="G121" i="33"/>
  <c r="H121" i="33" s="1"/>
  <c r="I121" i="33" s="1"/>
  <c r="J121" i="33" s="1"/>
  <c r="K121" i="33" s="1"/>
  <c r="L121" i="33" s="1"/>
  <c r="M121" i="33" s="1"/>
  <c r="F30" i="40"/>
  <c r="AA30" i="40"/>
  <c r="H100" i="40"/>
  <c r="I100" i="40" s="1"/>
  <c r="J100" i="40"/>
  <c r="K100" i="40" s="1"/>
  <c r="L100" i="40" s="1"/>
  <c r="M100" i="40" s="1"/>
  <c r="AB38" i="34"/>
  <c r="AZ486" i="3"/>
  <c r="AZ497" i="3"/>
  <c r="AZ515" i="3"/>
  <c r="AZ529" i="3"/>
  <c r="AZ530" i="3"/>
  <c r="AZ537" i="3"/>
  <c r="AZ547" i="3"/>
  <c r="AZ548" i="3"/>
  <c r="AZ549" i="3"/>
  <c r="AB37" i="39"/>
  <c r="AA29" i="35"/>
  <c r="U39" i="39"/>
  <c r="J29" i="39"/>
  <c r="AC29" i="39" s="1"/>
  <c r="AB21" i="39"/>
  <c r="U21" i="39"/>
  <c r="AB17" i="39"/>
  <c r="AB33" i="36"/>
  <c r="AA11" i="36"/>
  <c r="AA14" i="35"/>
  <c r="S14" i="35"/>
  <c r="G99" i="37"/>
  <c r="F33" i="37"/>
  <c r="AB19" i="39"/>
  <c r="U19" i="39"/>
  <c r="AC30" i="34"/>
  <c r="AA14" i="34"/>
  <c r="W12" i="34"/>
  <c r="AC13" i="33"/>
  <c r="U17" i="34"/>
  <c r="AA11" i="34"/>
  <c r="H15" i="33"/>
  <c r="U15" i="33" s="1"/>
  <c r="AA11" i="33"/>
  <c r="AA40" i="21"/>
  <c r="U17" i="21"/>
  <c r="S13" i="39"/>
  <c r="AA13" i="39"/>
  <c r="U16" i="40"/>
  <c r="W34" i="40"/>
  <c r="AB34" i="40"/>
  <c r="AB42" i="40"/>
  <c r="W32" i="40"/>
  <c r="H25" i="40"/>
  <c r="AB25" i="40" s="1"/>
  <c r="F94" i="40"/>
  <c r="G94" i="40" s="1"/>
  <c r="U47" i="39"/>
  <c r="J37" i="34"/>
  <c r="AC37" i="34"/>
  <c r="J36" i="33"/>
  <c r="W36" i="33" s="1"/>
  <c r="S41" i="40"/>
  <c r="AB23" i="40"/>
  <c r="U27" i="39"/>
  <c r="H23" i="39"/>
  <c r="AB23" i="39"/>
  <c r="J23" i="39"/>
  <c r="AC23" i="39"/>
  <c r="G97" i="39"/>
  <c r="S16" i="39"/>
  <c r="S15" i="34"/>
  <c r="AA15" i="34"/>
  <c r="AA41" i="33"/>
  <c r="AA34" i="33"/>
  <c r="F106" i="33"/>
  <c r="G106" i="33" s="1"/>
  <c r="H106" i="33"/>
  <c r="I106" i="33" s="1"/>
  <c r="J106" i="33" s="1"/>
  <c r="K106" i="33" s="1"/>
  <c r="L106" i="33" s="1"/>
  <c r="M106" i="33" s="1"/>
  <c r="J34" i="33"/>
  <c r="AC34" i="33" s="1"/>
  <c r="U30" i="40"/>
  <c r="AA37" i="39"/>
  <c r="W29" i="35"/>
  <c r="AC39" i="39"/>
  <c r="W39" i="39"/>
  <c r="AA39" i="39"/>
  <c r="S39" i="39"/>
  <c r="U34" i="39"/>
  <c r="AB29" i="39"/>
  <c r="AB46" i="39"/>
  <c r="AB44"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AC35" i="33" s="1"/>
  <c r="S32" i="33"/>
  <c r="AC15" i="33"/>
  <c r="H11" i="33"/>
  <c r="U11" i="33" s="1"/>
  <c r="H10" i="33"/>
  <c r="U10" i="33" s="1"/>
  <c r="I66" i="33"/>
  <c r="J10" i="33"/>
  <c r="AC10" i="33"/>
  <c r="U40" i="21"/>
  <c r="U11" i="37"/>
  <c r="U13" i="39"/>
  <c r="AC16" i="35"/>
  <c r="AC13" i="40"/>
  <c r="J11" i="34"/>
  <c r="W11" i="34" s="1"/>
  <c r="S17" i="34"/>
  <c r="AC36" i="33"/>
  <c r="F25" i="40"/>
  <c r="S25" i="40" s="1"/>
  <c r="J11" i="33"/>
  <c r="W11" i="33" s="1"/>
  <c r="H33" i="37"/>
  <c r="AB33" i="37" s="1"/>
  <c r="W15" i="34"/>
  <c r="AC15" i="34"/>
  <c r="U20" i="35"/>
  <c r="AB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M18" i="15"/>
  <c r="A18" i="64"/>
  <c r="B74" i="63" s="1"/>
  <c r="C53" i="10"/>
  <c r="A25" i="64" s="1"/>
  <c r="A18" i="51"/>
  <c r="B14" i="63" s="1"/>
  <c r="C24" i="12"/>
  <c r="F3" i="35"/>
  <c r="K1" i="43"/>
  <c r="K1" i="12"/>
  <c r="G1" i="44"/>
  <c r="I4" i="6"/>
  <c r="G3" i="46"/>
  <c r="BK5" i="3"/>
  <c r="BO5" i="3"/>
  <c r="BP5" i="3"/>
  <c r="BN5" i="3"/>
  <c r="BC5" i="3"/>
  <c r="E8" i="6"/>
  <c r="BD5" i="3"/>
  <c r="BR5" i="3"/>
  <c r="G28" i="6" s="1"/>
  <c r="BS5" i="3"/>
  <c r="BQ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B45" i="46"/>
  <c r="E100" i="46"/>
  <c r="G100" i="46"/>
  <c r="C100" i="46"/>
  <c r="J100" i="46"/>
  <c r="M100" i="46"/>
  <c r="AA12" i="36"/>
  <c r="U12" i="35"/>
  <c r="AB12" i="35"/>
  <c r="W11" i="35"/>
  <c r="AA11" i="35"/>
  <c r="S14" i="37"/>
  <c r="U13" i="37"/>
  <c r="S13" i="21"/>
  <c r="C24" i="9"/>
  <c r="C25" i="9"/>
  <c r="I20" i="46"/>
  <c r="B6" i="63"/>
  <c r="L5" i="54"/>
  <c r="K5" i="54"/>
  <c r="B38" i="63" s="1"/>
  <c r="T41" i="4"/>
  <c r="A17" i="64" s="1"/>
  <c r="B46" i="50"/>
  <c r="B4" i="63" s="1"/>
  <c r="O19" i="46"/>
  <c r="H10" i="48"/>
  <c r="K10" i="1"/>
  <c r="M10" i="1"/>
  <c r="O10" i="1" s="1"/>
  <c r="P10" i="1"/>
  <c r="S11" i="1"/>
  <c r="R11" i="1"/>
  <c r="S13" i="1"/>
  <c r="R13" i="1"/>
  <c r="B6" i="1"/>
  <c r="E6" i="1"/>
  <c r="B10" i="1"/>
  <c r="E10" i="1"/>
  <c r="S10" i="1"/>
  <c r="B8" i="1"/>
  <c r="E8" i="1" s="1"/>
  <c r="B12" i="1"/>
  <c r="E12" i="1" s="1"/>
  <c r="S12" i="1"/>
  <c r="K6" i="1"/>
  <c r="M6" i="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U19" i="40"/>
  <c r="AC31" i="39"/>
  <c r="B20" i="31"/>
  <c r="R22" i="31"/>
  <c r="B21" i="31" s="1"/>
  <c r="A17" i="51"/>
  <c r="B13" i="63" s="1"/>
  <c r="E58" i="39"/>
  <c r="E53" i="40"/>
  <c r="F27" i="6"/>
  <c r="E5" i="6"/>
  <c r="AT6" i="3"/>
  <c r="G29" i="6"/>
  <c r="E29" i="6" s="1"/>
  <c r="K15" i="1"/>
  <c r="E4" i="4"/>
  <c r="C4" i="4"/>
  <c r="B20" i="55" s="1"/>
  <c r="B70" i="63" s="1"/>
  <c r="G66" i="36"/>
  <c r="J18" i="36"/>
  <c r="AC18" i="36" s="1"/>
  <c r="AE8" i="1"/>
  <c r="AE7" i="1"/>
  <c r="AE6" i="1"/>
  <c r="W18" i="36"/>
  <c r="AG6" i="1"/>
  <c r="L20" i="6"/>
  <c r="L19" i="6"/>
  <c r="L27" i="6"/>
  <c r="B21" i="55"/>
  <c r="B72" i="63"/>
  <c r="S7" i="1"/>
  <c r="S8" i="1"/>
  <c r="S9" i="1"/>
  <c r="R9" i="1"/>
  <c r="R7" i="1"/>
  <c r="R8" i="1"/>
  <c r="C45" i="9"/>
  <c r="C44" i="9"/>
  <c r="G14" i="66"/>
  <c r="B6" i="66" s="1"/>
  <c r="N69" i="9"/>
  <c r="O39" i="9"/>
  <c r="K29" i="9"/>
  <c r="M86" i="9"/>
  <c r="N86" i="9" s="1"/>
  <c r="M88" i="9"/>
  <c r="N88" i="9" s="1"/>
  <c r="M85" i="9"/>
  <c r="N85" i="9" s="1"/>
  <c r="K30" i="9"/>
  <c r="R6" i="54"/>
  <c r="B50" i="63"/>
  <c r="N76" i="9"/>
  <c r="C46" i="9"/>
  <c r="I14" i="66" s="1"/>
  <c r="B8" i="66" s="1"/>
  <c r="O41" i="9"/>
  <c r="R8" i="54" s="1"/>
  <c r="B54" i="63" s="1"/>
  <c r="AP7" i="1"/>
  <c r="D70" i="39"/>
  <c r="D72" i="39" s="1"/>
  <c r="C72" i="39"/>
  <c r="H58" i="46"/>
  <c r="J17" i="46"/>
  <c r="C17" i="46"/>
  <c r="F34" i="46"/>
  <c r="F38" i="46"/>
  <c r="F37" i="46"/>
  <c r="H113" i="46"/>
  <c r="H49" i="46"/>
  <c r="H53" i="46"/>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C30" i="44"/>
  <c r="C25" i="12"/>
  <c r="C29" i="12"/>
  <c r="C15" i="43"/>
  <c r="C27" i="43"/>
  <c r="C31" i="43"/>
  <c r="C28" i="15"/>
  <c r="C15" i="12"/>
  <c r="F31" i="6"/>
  <c r="H51" i="46"/>
  <c r="X7" i="46"/>
  <c r="E17" i="46"/>
  <c r="N17" i="46"/>
  <c r="O17" i="46"/>
  <c r="M17" i="46"/>
  <c r="L17" i="46"/>
  <c r="H22" i="46"/>
  <c r="Y11" i="46"/>
  <c r="Y13" i="46"/>
  <c r="H101" i="46"/>
  <c r="H102" i="46"/>
  <c r="G22" i="46"/>
  <c r="J22" i="46"/>
  <c r="F101" i="46"/>
  <c r="F106" i="46"/>
  <c r="D101" i="46"/>
  <c r="D106" i="46"/>
  <c r="E28" i="6"/>
  <c r="O7" i="1"/>
  <c r="O11" i="1"/>
  <c r="P11" i="1" s="1"/>
  <c r="O12" i="1"/>
  <c r="P12" i="1" s="1"/>
  <c r="H70" i="46"/>
  <c r="F107" i="46"/>
  <c r="H73" i="46"/>
  <c r="H50" i="46"/>
  <c r="H48" i="46"/>
  <c r="F35" i="46"/>
  <c r="I17" i="46"/>
  <c r="H63" i="46"/>
  <c r="I101" i="46"/>
  <c r="I102" i="46"/>
  <c r="M101" i="46"/>
  <c r="M104" i="46" s="1"/>
  <c r="M107" i="46"/>
  <c r="N101" i="46"/>
  <c r="N105" i="46"/>
  <c r="AC11" i="46"/>
  <c r="AC13" i="46"/>
  <c r="AD11" i="46"/>
  <c r="AJ11" i="46"/>
  <c r="H64" i="46"/>
  <c r="H66" i="46"/>
  <c r="D100" i="46"/>
  <c r="F104" i="46"/>
  <c r="F109" i="46"/>
  <c r="M103" i="46"/>
  <c r="H62" i="46"/>
  <c r="AF12" i="46"/>
  <c r="AF13" i="46" s="1"/>
  <c r="K100" i="46"/>
  <c r="M109" i="46"/>
  <c r="AB12" i="46"/>
  <c r="AJ12" i="46"/>
  <c r="AJ13" i="46" s="1"/>
  <c r="F102" i="46"/>
  <c r="F105" i="46"/>
  <c r="F103" i="46"/>
  <c r="C101" i="46"/>
  <c r="G101" i="46"/>
  <c r="G103" i="46" s="1"/>
  <c r="J101" i="46"/>
  <c r="B113" i="46"/>
  <c r="D118" i="46" s="1"/>
  <c r="E118" i="46" s="1"/>
  <c r="F118" i="46" s="1"/>
  <c r="N104" i="45"/>
  <c r="L101" i="46"/>
  <c r="L102" i="46" s="1"/>
  <c r="F22" i="46"/>
  <c r="E101" i="46"/>
  <c r="E104" i="46" s="1"/>
  <c r="Z7" i="46"/>
  <c r="K101" i="46"/>
  <c r="K107" i="46" s="1"/>
  <c r="E22" i="46"/>
  <c r="AG11" i="46"/>
  <c r="AG13" i="46" s="1"/>
  <c r="Z11" i="46"/>
  <c r="Z13" i="46" s="1"/>
  <c r="AH11" i="46"/>
  <c r="AA11" i="46"/>
  <c r="AA13" i="46"/>
  <c r="AI11" i="46"/>
  <c r="AI13" i="46"/>
  <c r="AF11" i="46"/>
  <c r="AE11" i="46"/>
  <c r="AE13" i="46"/>
  <c r="H60" i="46"/>
  <c r="H59" i="46"/>
  <c r="H74" i="46"/>
  <c r="H65" i="46"/>
  <c r="AB11" i="46"/>
  <c r="H75" i="46"/>
  <c r="E10" i="46"/>
  <c r="E9" i="46"/>
  <c r="E11" i="46"/>
  <c r="E8" i="46"/>
  <c r="H103" i="46"/>
  <c r="I106" i="46"/>
  <c r="H72" i="46"/>
  <c r="H69" i="46"/>
  <c r="H77" i="46"/>
  <c r="H76" i="46"/>
  <c r="H55" i="46"/>
  <c r="H54" i="46"/>
  <c r="H52" i="46"/>
  <c r="H47" i="46"/>
  <c r="AD12" i="46"/>
  <c r="AH12" i="46"/>
  <c r="P21" i="46"/>
  <c r="P22" i="46"/>
  <c r="P23" i="46"/>
  <c r="P25" i="46"/>
  <c r="B73" i="39" s="1"/>
  <c r="P24" i="46"/>
  <c r="B68" i="40" s="1"/>
  <c r="D107" i="46"/>
  <c r="M106" i="46"/>
  <c r="H107" i="46"/>
  <c r="M105" i="46"/>
  <c r="H105" i="46"/>
  <c r="H109" i="46"/>
  <c r="D103" i="46"/>
  <c r="D102" i="46"/>
  <c r="H104" i="46"/>
  <c r="H106" i="46"/>
  <c r="D22" i="46"/>
  <c r="D105" i="46"/>
  <c r="D109" i="46"/>
  <c r="D104" i="46"/>
  <c r="I109" i="46"/>
  <c r="K14" i="1"/>
  <c r="E30" i="6"/>
  <c r="I104" i="46"/>
  <c r="N104" i="46"/>
  <c r="N107" i="46"/>
  <c r="AD13" i="46"/>
  <c r="I103" i="46"/>
  <c r="N109" i="46"/>
  <c r="N106" i="46"/>
  <c r="N103" i="46"/>
  <c r="N102" i="46"/>
  <c r="I105" i="46"/>
  <c r="I107" i="46"/>
  <c r="AB13" i="46"/>
  <c r="K103" i="46"/>
  <c r="K102" i="46"/>
  <c r="K106" i="46"/>
  <c r="K105" i="46"/>
  <c r="E103" i="46"/>
  <c r="L105" i="46"/>
  <c r="L104" i="46"/>
  <c r="L106" i="46"/>
  <c r="C23" i="46"/>
  <c r="C21" i="46" s="1"/>
  <c r="L107" i="46"/>
  <c r="I117" i="46"/>
  <c r="J117" i="46" s="1"/>
  <c r="K117" i="46" s="1"/>
  <c r="L117" i="46" s="1"/>
  <c r="M117" i="46" s="1"/>
  <c r="G118" i="46"/>
  <c r="H118" i="46" s="1"/>
  <c r="G106" i="46"/>
  <c r="G102" i="46"/>
  <c r="G104" i="46"/>
  <c r="G107" i="46"/>
  <c r="G109" i="46"/>
  <c r="K109" i="46"/>
  <c r="J107" i="46"/>
  <c r="J106" i="46"/>
  <c r="J102" i="46"/>
  <c r="J104" i="46"/>
  <c r="J103" i="46"/>
  <c r="J105" i="46"/>
  <c r="C104" i="46"/>
  <c r="C107" i="46"/>
  <c r="C102" i="46"/>
  <c r="C106" i="46"/>
  <c r="C105" i="46"/>
  <c r="J109" i="46"/>
  <c r="C7" i="46"/>
  <c r="S2" i="46"/>
  <c r="S3" i="46"/>
  <c r="S7" i="46"/>
  <c r="S4" i="46"/>
  <c r="M14" i="1"/>
  <c r="M29" i="44"/>
  <c r="B13" i="67"/>
  <c r="F45" i="44"/>
  <c r="M28" i="44"/>
  <c r="F9" i="15"/>
  <c r="J3" i="65"/>
  <c r="M26" i="44"/>
  <c r="F10" i="67"/>
  <c r="F11" i="67"/>
  <c r="F46" i="44"/>
  <c r="M30" i="44"/>
  <c r="M22" i="15"/>
  <c r="B8" i="67"/>
  <c r="M29" i="15"/>
  <c r="N3" i="65"/>
  <c r="E14" i="67"/>
  <c r="L48" i="15"/>
  <c r="M23" i="15"/>
  <c r="F13" i="67"/>
  <c r="I6" i="65"/>
  <c r="F28" i="44"/>
  <c r="F38" i="15"/>
  <c r="N6" i="65"/>
  <c r="M27" i="15"/>
  <c r="F39" i="44"/>
  <c r="J17" i="44"/>
  <c r="M31" i="44"/>
  <c r="E9" i="67"/>
  <c r="N4" i="65"/>
  <c r="I3" i="65"/>
  <c r="M23" i="44"/>
  <c r="M9" i="15"/>
  <c r="E10" i="67"/>
  <c r="B9" i="67"/>
  <c r="B11" i="67"/>
  <c r="F11" i="44"/>
  <c r="M26" i="15"/>
  <c r="F7" i="15"/>
  <c r="M11" i="44"/>
  <c r="F8" i="67"/>
  <c r="J7" i="65"/>
  <c r="F26" i="15"/>
  <c r="L49" i="44"/>
  <c r="F14" i="67"/>
  <c r="F41" i="15"/>
  <c r="M24" i="15"/>
  <c r="L48" i="44"/>
  <c r="F40" i="44"/>
  <c r="D20" i="9"/>
  <c r="F8" i="44"/>
  <c r="M24" i="44"/>
  <c r="F37" i="44"/>
  <c r="F18" i="44"/>
  <c r="F9" i="67"/>
  <c r="I4" i="65"/>
  <c r="E11" i="67"/>
  <c r="N5" i="65"/>
  <c r="F12" i="67"/>
  <c r="J4" i="65"/>
  <c r="M28" i="15"/>
  <c r="M21" i="15"/>
  <c r="M8" i="44"/>
  <c r="F38" i="44"/>
  <c r="F43" i="15"/>
  <c r="L47" i="15"/>
  <c r="F15" i="44"/>
  <c r="J15" i="15"/>
  <c r="M8" i="15"/>
  <c r="F10" i="44"/>
  <c r="B12" i="67"/>
  <c r="C19" i="44"/>
  <c r="F40" i="15"/>
  <c r="F36" i="15"/>
  <c r="I7" i="65"/>
  <c r="M25" i="44"/>
  <c r="F8" i="15"/>
  <c r="F13" i="15"/>
  <c r="F9" i="44"/>
  <c r="M6" i="15"/>
  <c r="F6" i="15"/>
  <c r="B14" i="67"/>
  <c r="I5" i="65"/>
  <c r="B10" i="67"/>
  <c r="F16" i="15"/>
  <c r="N7" i="65"/>
  <c r="F42" i="15"/>
  <c r="F35" i="15"/>
  <c r="J5" i="65"/>
  <c r="E13" i="67"/>
  <c r="F37" i="15"/>
  <c r="J36" i="15"/>
  <c r="C20" i="9"/>
  <c r="E8" i="67"/>
  <c r="M10" i="44"/>
  <c r="F43" i="44"/>
  <c r="J6" i="65"/>
  <c r="E12" i="67"/>
  <c r="H81" i="46" l="1"/>
  <c r="H86" i="46"/>
  <c r="H85" i="46"/>
  <c r="H80" i="46"/>
  <c r="H84" i="46"/>
  <c r="H82" i="46"/>
  <c r="H87" i="46"/>
  <c r="H83" i="46"/>
  <c r="G17" i="46"/>
  <c r="C16" i="46" s="1"/>
  <c r="D5" i="46" s="1"/>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G20" i="9"/>
  <c r="F68" i="15"/>
  <c r="J22" i="44"/>
  <c r="J6" i="15"/>
  <c r="F63" i="15"/>
  <c r="J1" i="65"/>
  <c r="V7" i="59"/>
  <c r="F6" i="59"/>
  <c r="F5" i="59" s="1"/>
  <c r="H48" i="35"/>
  <c r="I48" i="35" s="1"/>
  <c r="J48" i="35" s="1"/>
  <c r="K48" i="35" s="1"/>
  <c r="L48" i="35" s="1"/>
  <c r="M48" i="35" s="1"/>
  <c r="N48" i="35" s="1"/>
  <c r="O48" i="35" s="1"/>
  <c r="O9" i="1"/>
  <c r="P9" i="1" s="1"/>
  <c r="O14" i="1"/>
  <c r="P14"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G30" i="6"/>
  <c r="G31" i="6" s="1"/>
  <c r="K33" i="9"/>
  <c r="K34" i="9" s="1"/>
  <c r="W27" i="40"/>
  <c r="P6" i="1"/>
  <c r="U25" i="33"/>
  <c r="AC11" i="34"/>
  <c r="AC20" i="36"/>
  <c r="AA31" i="33"/>
  <c r="S31" i="33"/>
  <c r="W17" i="34"/>
  <c r="AA25" i="40"/>
  <c r="W35" i="33"/>
  <c r="AZ506" i="3"/>
  <c r="AB46" i="34"/>
  <c r="U46" i="34"/>
  <c r="U27" i="33"/>
  <c r="AB27" i="33"/>
  <c r="W44" i="33"/>
  <c r="AC44" i="33"/>
  <c r="AZ540" i="3"/>
  <c r="AB29" i="33"/>
  <c r="U29" i="33"/>
  <c r="AC32" i="33"/>
  <c r="W32" i="33"/>
  <c r="W28" i="33"/>
  <c r="AC28" i="33"/>
  <c r="AC29" i="33"/>
  <c r="W29" i="33"/>
  <c r="AC16" i="40"/>
  <c r="W27" i="39"/>
  <c r="AC15" i="39"/>
  <c r="AZ518" i="3"/>
  <c r="S28" i="21"/>
  <c r="AA28" i="21"/>
  <c r="AB9" i="33"/>
  <c r="U9" i="33"/>
  <c r="AZ516" i="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c r="AZ402" i="3"/>
  <c r="AZ404" i="3"/>
  <c r="AZ424" i="3"/>
  <c r="AZ445" i="3"/>
  <c r="AZ419" i="3"/>
  <c r="BL306" i="3"/>
  <c r="AZ306" i="3" s="1"/>
  <c r="AZ208" i="3"/>
  <c r="AZ210" i="3"/>
  <c r="AZ219" i="3"/>
  <c r="AZ248" i="3"/>
  <c r="AZ258" i="3"/>
  <c r="AZ259" i="3"/>
  <c r="AZ266"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AZ269" i="3"/>
  <c r="BA264" i="3"/>
  <c r="AZ264" i="3" s="1"/>
  <c r="BA267" i="3"/>
  <c r="AZ267" i="3" s="1"/>
  <c r="BL271" i="3"/>
  <c r="AZ285" i="3"/>
  <c r="AZ129" i="3"/>
  <c r="AZ141" i="3"/>
  <c r="AZ156" i="3"/>
  <c r="AZ182" i="3"/>
  <c r="AZ194" i="3"/>
  <c r="AZ204" i="3"/>
  <c r="AZ30" i="3"/>
  <c r="AZ41" i="3"/>
  <c r="AZ50" i="3"/>
  <c r="AZ53" i="3"/>
  <c r="AZ54" i="3"/>
  <c r="AZ73" i="3"/>
  <c r="AZ76" i="3"/>
  <c r="AZ88" i="3"/>
  <c r="BL263" i="3"/>
  <c r="AZ263" i="3" s="1"/>
  <c r="BL266" i="3"/>
  <c r="BL269" i="3"/>
  <c r="AZ271" i="3"/>
  <c r="BL274" i="3"/>
  <c r="AZ274" i="3" s="1"/>
  <c r="AZ280" i="3"/>
  <c r="BA283" i="3"/>
  <c r="AZ283" i="3" s="1"/>
  <c r="AZ293" i="3"/>
  <c r="AZ117" i="3"/>
  <c r="AZ120" i="3"/>
  <c r="AZ133" i="3"/>
  <c r="AZ144" i="3"/>
  <c r="AZ160" i="3"/>
  <c r="AZ64" i="3"/>
  <c r="AZ67" i="3"/>
  <c r="AZ69" i="3"/>
  <c r="AZ77" i="3"/>
  <c r="AZ83" i="3"/>
  <c r="AZ85" i="3"/>
  <c r="AZ87" i="3"/>
  <c r="BA272" i="3"/>
  <c r="AZ272" i="3" s="1"/>
  <c r="BA277" i="3"/>
  <c r="AZ277" i="3" s="1"/>
  <c r="AZ279" i="3"/>
  <c r="BL285" i="3"/>
  <c r="G286" i="3"/>
  <c r="BL287" i="3"/>
  <c r="AZ287" i="3" s="1"/>
  <c r="AZ163" i="3"/>
  <c r="AZ171" i="3"/>
  <c r="AZ198" i="3"/>
  <c r="AZ57" i="3"/>
  <c r="AZ58" i="3"/>
  <c r="AZ65" i="3"/>
  <c r="AZ68" i="3"/>
  <c r="BL84" i="3"/>
  <c r="AZ84" i="3" s="1"/>
  <c r="BL87" i="3"/>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D1" i="57"/>
  <c r="E10" i="57" s="1"/>
  <c r="AZ105" i="3"/>
  <c r="K13" i="1"/>
  <c r="S31" i="39"/>
  <c r="AA21" i="37"/>
  <c r="D51" i="59"/>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AZ17"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AZ19" i="3" s="1"/>
  <c r="G23" i="71"/>
  <c r="I32" i="71"/>
  <c r="C31" i="39"/>
  <c r="B85" i="46"/>
  <c r="T31" i="59"/>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BA14" i="3"/>
  <c r="I10" i="68"/>
  <c r="G25" i="68"/>
  <c r="I9" i="70"/>
  <c r="G15" i="72"/>
  <c r="C66" i="59"/>
  <c r="C54" i="59"/>
  <c r="D45" i="59"/>
  <c r="AA13" i="59"/>
  <c r="X18" i="59"/>
  <c r="X19" i="59"/>
  <c r="AA20" i="59"/>
  <c r="Y22" i="59"/>
  <c r="Z22" i="59" s="1"/>
  <c r="C10" i="59"/>
  <c r="A28" i="51"/>
  <c r="X11" i="59"/>
  <c r="B11" i="59"/>
  <c r="AB10" i="59"/>
  <c r="AA5" i="59"/>
  <c r="G14" i="3"/>
  <c r="BA15" i="3"/>
  <c r="AZ15" i="3" s="1"/>
  <c r="BL14" i="3"/>
  <c r="I18" i="69"/>
  <c r="G15" i="71"/>
  <c r="AA12" i="59"/>
  <c r="AA16" i="59"/>
  <c r="Y17" i="59"/>
  <c r="Z17" i="59" s="1"/>
  <c r="Y18" i="59"/>
  <c r="Z18" i="59" s="1"/>
  <c r="K77" i="9"/>
  <c r="K79" i="9" s="1"/>
  <c r="K81" i="9" s="1"/>
  <c r="AB11" i="59"/>
  <c r="Y11" i="59"/>
  <c r="Z11" i="59" s="1"/>
  <c r="X5" i="59"/>
  <c r="G16" i="3"/>
  <c r="BA18" i="3"/>
  <c r="AZ18" i="3" s="1"/>
  <c r="BL13" i="3"/>
  <c r="G12" i="70"/>
  <c r="G15" i="70"/>
  <c r="I9" i="72"/>
  <c r="I13" i="68"/>
  <c r="E3" i="65"/>
  <c r="C18" i="44"/>
  <c r="M17" i="15"/>
  <c r="C16" i="15"/>
  <c r="F31" i="15"/>
  <c r="F58" i="15"/>
  <c r="M19" i="44"/>
  <c r="E2" i="65"/>
  <c r="C17" i="15"/>
  <c r="F33" i="44"/>
  <c r="F7" i="21" l="1"/>
  <c r="C5" i="46"/>
  <c r="J7" i="21"/>
  <c r="J7" i="35"/>
  <c r="H7" i="21"/>
  <c r="F7" i="35"/>
  <c r="AA7" i="35" s="1"/>
  <c r="R38" i="35" s="1"/>
  <c r="C48" i="15"/>
  <c r="H7" i="33"/>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AB7" i="33"/>
  <c r="T48" i="33" s="1"/>
  <c r="G48" i="33" s="1"/>
  <c r="C115" i="46"/>
  <c r="D113" i="46" s="1"/>
  <c r="J7" i="33"/>
  <c r="Q62" i="44"/>
  <c r="Q75" i="44"/>
  <c r="Q61" i="15"/>
  <c r="Q74" i="15"/>
  <c r="C9" i="59"/>
  <c r="D10" i="59"/>
  <c r="BL5" i="3"/>
  <c r="AZ13" i="3"/>
  <c r="AZ5" i="3" s="1"/>
  <c r="N4" i="63"/>
  <c r="B21" i="63"/>
  <c r="C53" i="59"/>
  <c r="O54" i="59"/>
  <c r="D54" i="59"/>
  <c r="I9" i="68"/>
  <c r="E20" i="3"/>
  <c r="G5" i="3"/>
  <c r="B3" i="3" s="1"/>
  <c r="E97" i="3" s="1"/>
  <c r="M13" i="1"/>
  <c r="H16" i="1"/>
  <c r="Q16" i="1"/>
  <c r="K16" i="1"/>
  <c r="E519" i="3"/>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E286" i="3"/>
  <c r="E547" i="3"/>
  <c r="W12" i="33"/>
  <c r="AC12" i="33"/>
  <c r="U12" i="36"/>
  <c r="AB12" i="36"/>
  <c r="AB9" i="35"/>
  <c r="U9" i="35"/>
  <c r="U26" i="33"/>
  <c r="AB26" i="33"/>
  <c r="E15" i="6"/>
  <c r="E11" i="6"/>
  <c r="E13" i="6"/>
  <c r="E12" i="6"/>
  <c r="E10" i="6"/>
  <c r="E14" i="6"/>
  <c r="AC34" i="35"/>
  <c r="W34" i="35"/>
  <c r="AC7" i="21"/>
  <c r="V48" i="21" s="1"/>
  <c r="I48" i="21" s="1"/>
  <c r="W7" i="21"/>
  <c r="U7" i="21"/>
  <c r="AB7" i="21"/>
  <c r="T48" i="21" s="1"/>
  <c r="G48" i="21" s="1"/>
  <c r="W7" i="35"/>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E103" i="3"/>
  <c r="E89" i="3"/>
  <c r="E83" i="3"/>
  <c r="E440" i="3"/>
  <c r="E486" i="3"/>
  <c r="E548" i="3"/>
  <c r="U25" i="37"/>
  <c r="AB25" i="37"/>
  <c r="E527" i="3"/>
  <c r="AC12" i="36"/>
  <c r="W12" i="36"/>
  <c r="AA9" i="33"/>
  <c r="S9" i="33"/>
  <c r="AA27" i="33"/>
  <c r="S27" i="33"/>
  <c r="E497" i="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C20" i="46" l="1"/>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D23" i="59"/>
  <c r="T23" i="59"/>
  <c r="C10" i="15"/>
  <c r="C5" i="15" s="1"/>
  <c r="C52" i="15"/>
  <c r="C47" i="15" s="1"/>
  <c r="U7" i="34"/>
  <c r="AB7" i="34"/>
  <c r="T49" i="34" s="1"/>
  <c r="G49" i="34" s="1"/>
  <c r="E65" i="39"/>
  <c r="E60" i="40"/>
  <c r="E428" i="3"/>
  <c r="AC7" i="34"/>
  <c r="V49" i="34" s="1"/>
  <c r="I49" i="34" s="1"/>
  <c r="W7" i="34"/>
  <c r="H7" i="36"/>
  <c r="E481" i="3"/>
  <c r="E98" i="3"/>
  <c r="O13" i="1"/>
  <c r="O16" i="1" s="1"/>
  <c r="M16" i="1"/>
  <c r="I36" i="68"/>
  <c r="I35" i="68"/>
  <c r="I37" i="68"/>
  <c r="E460" i="3"/>
  <c r="N52" i="59"/>
  <c r="N53" i="59"/>
  <c r="E14" i="3"/>
  <c r="E16" i="3"/>
  <c r="U7" i="37"/>
  <c r="R50" i="34"/>
  <c r="E49" i="34"/>
  <c r="D14" i="59"/>
  <c r="C13" i="59"/>
  <c r="D13" i="59" s="1"/>
  <c r="I42" i="35"/>
  <c r="J42" i="35" s="1"/>
  <c r="E61" i="40"/>
  <c r="E66" i="39"/>
  <c r="E58" i="40"/>
  <c r="E63" i="39"/>
  <c r="F7" i="36"/>
  <c r="E13" i="3"/>
  <c r="D9" i="59"/>
  <c r="C8" i="59"/>
  <c r="E567" i="3"/>
  <c r="E559" i="3"/>
  <c r="E86" i="3"/>
  <c r="E31" i="6"/>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I53" i="21"/>
  <c r="J53"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B4" i="70" l="1"/>
  <c r="B2" i="70" s="1"/>
  <c r="B4" i="72"/>
  <c r="B2" i="72" s="1"/>
  <c r="B4" i="69"/>
  <c r="B2" i="69" s="1"/>
  <c r="G72" i="39"/>
  <c r="H70" i="39"/>
  <c r="F67" i="40"/>
  <c r="G65" i="40"/>
  <c r="Q69" i="44"/>
  <c r="L58" i="44"/>
  <c r="L61" i="44" s="1"/>
  <c r="B5" i="70"/>
  <c r="S12" i="39"/>
  <c r="AA12" i="39"/>
  <c r="E42" i="35"/>
  <c r="F42" i="35" s="1"/>
  <c r="E43" i="35"/>
  <c r="F43" i="35" s="1"/>
  <c r="R43" i="37"/>
  <c r="E42" i="37"/>
  <c r="S6" i="1"/>
  <c r="M19" i="6"/>
  <c r="K27" i="6"/>
  <c r="S7" i="36"/>
  <c r="AA7" i="36"/>
  <c r="R36" i="36" s="1"/>
  <c r="E53" i="34"/>
  <c r="F53" i="34" s="1"/>
  <c r="E54" i="34"/>
  <c r="F54" i="34" s="1"/>
  <c r="C13" i="43"/>
  <c r="L16" i="1"/>
  <c r="N16" i="1"/>
  <c r="C29" i="43"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c r="B3" i="68" s="1"/>
  <c r="U7" i="36"/>
  <c r="AB7" i="36"/>
  <c r="T36" i="36" s="1"/>
  <c r="G36" i="36" s="1"/>
  <c r="W7" i="37"/>
  <c r="AC7" i="37"/>
  <c r="V42" i="37" s="1"/>
  <c r="I42" i="37" s="1"/>
  <c r="G47" i="37" s="1"/>
  <c r="H47" i="37" s="1"/>
  <c r="G46" i="37"/>
  <c r="H46" i="37" s="1"/>
  <c r="P13" i="1"/>
  <c r="P16" i="1" s="1"/>
  <c r="C13" i="12" s="1"/>
  <c r="E16" i="66"/>
  <c r="J16" i="66"/>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D21" i="9"/>
  <c r="C21" i="9"/>
  <c r="D19" i="9"/>
  <c r="C19" i="9"/>
  <c r="B5" i="69" l="1"/>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12" i="70" s="1"/>
  <c r="H25" i="72"/>
  <c r="H18" i="72"/>
  <c r="H14" i="72"/>
  <c r="H16" i="70"/>
  <c r="H19" i="68"/>
  <c r="H23" i="68"/>
  <c r="C49" i="33"/>
  <c r="B3" i="33" s="1"/>
  <c r="B2" i="33" s="1"/>
  <c r="C48" i="33"/>
  <c r="C14" i="12"/>
  <c r="C17" i="12"/>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c r="E17" i="66"/>
  <c r="Q59" i="44"/>
  <c r="Q68" i="44"/>
  <c r="D19" i="12"/>
  <c r="C19" i="12" s="1"/>
  <c r="C16" i="12"/>
  <c r="H24" i="68"/>
  <c r="C14" i="43"/>
  <c r="C17" i="43"/>
  <c r="E46" i="37"/>
  <c r="F46" i="37" s="1"/>
  <c r="E47" i="37"/>
  <c r="F47" i="37" s="1"/>
  <c r="I47" i="37"/>
  <c r="J47" i="37" s="1"/>
  <c r="I46" i="37"/>
  <c r="J46" i="37" s="1"/>
  <c r="I40" i="36"/>
  <c r="J40" i="36" s="1"/>
  <c r="C42" i="37"/>
  <c r="C43" i="37"/>
  <c r="B3" i="37" s="1"/>
  <c r="B2" i="37" s="1"/>
  <c r="E15" i="66"/>
  <c r="J15" i="66"/>
  <c r="I65" i="40" l="1"/>
  <c r="H67" i="40"/>
  <c r="J70" i="39"/>
  <c r="I72" i="39"/>
  <c r="C18" i="43"/>
  <c r="C19" i="43" s="1"/>
  <c r="C18" i="12"/>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D31" i="6" s="1"/>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T16" i="1" s="1"/>
  <c r="R22" i="6"/>
  <c r="D30" i="6"/>
  <c r="H12" i="71"/>
  <c r="H23" i="71"/>
  <c r="G11" i="72"/>
  <c r="E29" i="72"/>
  <c r="G29" i="72" s="1"/>
  <c r="H29" i="72" s="1"/>
  <c r="G27" i="72"/>
  <c r="E30" i="72"/>
  <c r="G30" i="72" s="1"/>
  <c r="H30" i="72" s="1"/>
  <c r="C32" i="9"/>
  <c r="N43" i="9"/>
  <c r="G22" i="9"/>
  <c r="C16" i="44"/>
  <c r="C14" i="15"/>
  <c r="J72" i="39" l="1"/>
  <c r="K70" i="39"/>
  <c r="J65" i="40"/>
  <c r="I67" i="40"/>
  <c r="C25" i="43"/>
  <c r="C24" i="43" s="1"/>
  <c r="C22" i="43"/>
  <c r="C21" i="43" s="1"/>
  <c r="C23" i="12"/>
  <c r="C35" i="12" s="1"/>
  <c r="C33" i="12" s="1"/>
  <c r="C17" i="44"/>
  <c r="C20" i="44"/>
  <c r="C15" i="15"/>
  <c r="C18" i="15"/>
  <c r="G26" i="72"/>
  <c r="H27" i="72"/>
  <c r="H26" i="72" s="1"/>
  <c r="H11" i="72"/>
  <c r="H10" i="72" s="1"/>
  <c r="H9" i="72" s="1"/>
  <c r="G10" i="72"/>
  <c r="G9" i="72" s="1"/>
  <c r="G35" i="68"/>
  <c r="G37" i="68" s="1"/>
  <c r="G36" i="68"/>
  <c r="I6" i="6"/>
  <c r="I5"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C34" i="46" l="1"/>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C28" i="43"/>
  <c r="C30" i="43" s="1"/>
  <c r="C32" i="43" s="1"/>
  <c r="B2" i="43" s="1"/>
  <c r="B4" i="43" s="1"/>
  <c r="L70" i="39"/>
  <c r="K72" i="39"/>
  <c r="C21" i="44"/>
  <c r="C22" i="44" s="1"/>
  <c r="C19" i="15"/>
  <c r="C20" i="15" s="1"/>
  <c r="C23" i="15" s="1"/>
  <c r="G38" i="68"/>
  <c r="G41" i="68" s="1"/>
  <c r="B2" i="68" s="1"/>
  <c r="G32" i="70"/>
  <c r="G34" i="70" s="1"/>
  <c r="G33" i="70"/>
  <c r="H32" i="70"/>
  <c r="H34" i="70" s="1"/>
  <c r="H33" i="70"/>
  <c r="N38" i="9"/>
  <c r="K28" i="9" s="1"/>
  <c r="D42" i="9"/>
  <c r="Q5" i="54" s="1"/>
  <c r="B47" i="63" s="1"/>
  <c r="R6" i="1"/>
  <c r="R16" i="1" s="1"/>
  <c r="R27" i="6"/>
  <c r="K26" i="9"/>
  <c r="K25" i="9"/>
  <c r="E42" i="9"/>
  <c r="P5" i="54" s="1"/>
  <c r="B46" i="63" s="1"/>
  <c r="M38" i="9"/>
  <c r="K27" i="9" s="1"/>
  <c r="H32" i="71"/>
  <c r="H33" i="71"/>
  <c r="G32" i="72"/>
  <c r="G33" i="72"/>
  <c r="H35" i="68"/>
  <c r="H37" i="68" s="1"/>
  <c r="H36" i="68"/>
  <c r="D63" i="9"/>
  <c r="N68" i="9"/>
  <c r="R5" i="54"/>
  <c r="B48" i="63" s="1"/>
  <c r="G32" i="71"/>
  <c r="G33" i="71"/>
  <c r="H32" i="72"/>
  <c r="H33" i="72"/>
  <c r="E37" i="46" l="1"/>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B5" i="43"/>
  <c r="B3" i="43"/>
  <c r="M70" i="39"/>
  <c r="L72" i="39"/>
  <c r="K67" i="40"/>
  <c r="L65" i="40"/>
  <c r="B5" i="12"/>
  <c r="C28" i="44"/>
  <c r="H34" i="71"/>
  <c r="H35" i="71" s="1"/>
  <c r="H38" i="71" s="1"/>
  <c r="B4" i="12"/>
  <c r="G34" i="71"/>
  <c r="G35" i="71" s="1"/>
  <c r="G38" i="71" s="1"/>
  <c r="C25" i="44"/>
  <c r="G35" i="70"/>
  <c r="G38" i="70" s="1"/>
  <c r="H38" i="68"/>
  <c r="H41" i="68"/>
  <c r="B5" i="68"/>
  <c r="B4" i="68"/>
  <c r="C103" i="9"/>
  <c r="D77" i="9"/>
  <c r="N75" i="9" s="1"/>
  <c r="D71" i="9"/>
  <c r="D66" i="9" s="1"/>
  <c r="N72" i="9" s="1"/>
  <c r="C96" i="9"/>
  <c r="C91" i="9" s="1"/>
  <c r="C90" i="9"/>
  <c r="C111" i="9"/>
  <c r="C104" i="9" s="1"/>
  <c r="C82" i="9"/>
  <c r="C81" i="9" s="1"/>
  <c r="C85" i="9" s="1"/>
  <c r="C86" i="9" s="1"/>
  <c r="D72" i="9" s="1"/>
  <c r="D70" i="9"/>
  <c r="H35" i="70"/>
  <c r="H38" i="70" s="1"/>
  <c r="E14" i="66"/>
  <c r="B5" i="66"/>
  <c r="D5" i="66" s="1"/>
  <c r="J14" i="66"/>
  <c r="C26" i="15"/>
  <c r="C29" i="15" s="1"/>
  <c r="H35" i="72"/>
  <c r="H38" i="72" s="1"/>
  <c r="F7" i="67"/>
  <c r="C27" i="46" l="1"/>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E7" i="67"/>
  <c r="E3" i="67" l="1"/>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A9" i="40"/>
  <c r="R44" i="40" s="1"/>
  <c r="S9" i="40"/>
  <c r="I53" i="39"/>
  <c r="J53" i="39" s="1"/>
  <c r="S9" i="39"/>
  <c r="AA9" i="39"/>
  <c r="R49" i="39" s="1"/>
  <c r="U9" i="39"/>
  <c r="AB9" i="39"/>
  <c r="T49" i="39" s="1"/>
  <c r="G49" i="39" s="1"/>
  <c r="U9" i="40"/>
  <c r="AB9" i="40"/>
  <c r="T44" i="40" s="1"/>
  <c r="G44" i="40" s="1"/>
  <c r="O79" i="9"/>
  <c r="O81" i="9" s="1"/>
  <c r="J16" i="15"/>
  <c r="J25" i="15" s="1"/>
  <c r="C57" i="15"/>
  <c r="C66" i="15" s="1"/>
  <c r="C67" i="15" s="1"/>
  <c r="C70" i="15" s="1"/>
  <c r="Q77" i="9"/>
  <c r="Q70" i="15"/>
  <c r="Q69" i="15" s="1"/>
  <c r="C40" i="15"/>
  <c r="J39" i="15"/>
  <c r="J40" i="15" s="1"/>
  <c r="L51" i="15"/>
  <c r="B3" i="67" l="1"/>
  <c r="B4" i="67"/>
  <c r="AC9" i="40"/>
  <c r="V44" i="40" s="1"/>
  <c r="I44" i="40" s="1"/>
  <c r="I48" i="40" s="1"/>
  <c r="J48" i="40" s="1"/>
  <c r="Q70" i="44"/>
  <c r="C44" i="44"/>
  <c r="C45" i="44" s="1"/>
  <c r="B2" i="44" s="1"/>
  <c r="G54" i="39"/>
  <c r="H54" i="39" s="1"/>
  <c r="G53" i="39"/>
  <c r="H53" i="39" s="1"/>
  <c r="R50" i="39"/>
  <c r="E49" i="39"/>
  <c r="R45" i="40"/>
  <c r="E44" i="40"/>
  <c r="I49" i="40" s="1"/>
  <c r="J49" i="40" s="1"/>
  <c r="G48" i="40"/>
  <c r="H48" i="40" s="1"/>
  <c r="G49" i="40"/>
  <c r="H49" i="40" s="1"/>
  <c r="C46" i="15"/>
  <c r="O80" i="9"/>
  <c r="Q68" i="15"/>
  <c r="L57" i="15"/>
  <c r="L60" i="15" s="1"/>
  <c r="C43" i="15"/>
  <c r="Q66" i="15"/>
  <c r="Q48" i="15"/>
  <c r="Q54" i="15" s="1"/>
  <c r="B2" i="15"/>
  <c r="B3" i="15" s="1"/>
  <c r="Q57" i="15"/>
  <c r="J42" i="15"/>
  <c r="J43" i="15" s="1"/>
  <c r="B5" i="44" l="1"/>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<sst xmlns="http://schemas.openxmlformats.org/spreadsheetml/2006/main" count="8229" uniqueCount="3162">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</sst>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56" fillId="5" borderId="59" xfId="2" applyFont="1" applyFill="1" applyBorder="1" applyAlignment="1" applyProtection="1">
      <alignment vertical="center"/>
    </xf>
    <xf numFmtId="0" fontId="97" fillId="5" borderId="13" xfId="0" applyFont="1" applyFill="1" applyBorder="1" applyAlignment="1" applyProtection="1">
      <alignment vertical="center"/>
    </xf>
    <xf numFmtId="0" fontId="154" fillId="5" borderId="18" xfId="0" applyFont="1" applyFill="1" applyBorder="1" applyAlignment="1" applyProtection="1">
      <alignment horizontal="left" vertical="center"/>
    </xf>
    <xf numFmtId="178" fontId="221" fillId="5" borderId="21" xfId="2" applyNumberFormat="1" applyFont="1" applyFill="1" applyBorder="1" applyAlignment="1" applyProtection="1">
      <alignment horizontal="center" vertical="center"/>
    </xf>
    <xf numFmtId="0" fontId="221" fillId="5" borderId="21" xfId="2" applyFont="1" applyFill="1" applyBorder="1" applyAlignment="1" applyProtection="1">
      <alignment horizontal="center" vertical="center"/>
    </xf>
    <xf numFmtId="0" fontId="95" fillId="5" borderId="2" xfId="2" applyFont="1" applyFill="1" applyBorder="1" applyAlignment="1" applyProtection="1">
      <alignment horizontal="left" vertical="center" wrapText="1"/>
    </xf>
    <xf numFmtId="0" fontId="40" fillId="5" borderId="5" xfId="2" applyFont="1" applyFill="1" applyBorder="1" applyAlignment="1" applyProtection="1">
      <alignment vertical="center"/>
    </xf>
    <xf numFmtId="0" fontId="95" fillId="5" borderId="5" xfId="2" applyFont="1" applyFill="1" applyBorder="1" applyAlignment="1" applyProtection="1">
      <alignment horizontal="center" vertical="center"/>
    </xf>
    <xf numFmtId="0" fontId="42" fillId="5" borderId="5" xfId="2" applyFont="1" applyFill="1" applyBorder="1" applyAlignment="1" applyProtection="1">
      <alignment vertical="center"/>
    </xf>
    <xf numFmtId="49" fontId="95" fillId="5" borderId="2" xfId="2" applyNumberFormat="1" applyFont="1" applyFill="1" applyBorder="1" applyAlignment="1" applyProtection="1">
      <alignment horizontal="left" vertical="center" wrapText="1"/>
    </xf>
    <xf numFmtId="0" fontId="221" fillId="5" borderId="2" xfId="2" applyFont="1" applyFill="1" applyBorder="1" applyAlignment="1" applyProtection="1">
      <alignment horizontal="center" vertical="center"/>
    </xf>
    <xf numFmtId="0" fontId="221" fillId="5" borderId="5" xfId="2" applyFont="1" applyFill="1" applyBorder="1" applyAlignment="1" applyProtection="1">
      <alignment horizontal="center" vertical="center"/>
    </xf>
    <xf numFmtId="0" fontId="221" fillId="5" borderId="21" xfId="2" applyFont="1" applyFill="1" applyBorder="1" applyAlignment="1" applyProtection="1">
      <alignment horizontal="center" vertical="center" wrapText="1"/>
    </xf>
    <xf numFmtId="0" fontId="83" fillId="5" borderId="10" xfId="0" applyFont="1" applyFill="1" applyBorder="1" applyAlignment="1" applyProtection="1">
      <alignment vertical="center" wrapText="1"/>
    </xf>
    <xf numFmtId="0" fontId="95" fillId="0" borderId="2" xfId="2" applyNumberFormat="1" applyFont="1" applyFill="1" applyBorder="1" applyAlignment="1" applyProtection="1">
      <alignment horizontal="center" vertical="center"/>
      <protection locked="0"/>
    </xf>
    <xf numFmtId="178" fontId="221" fillId="5" borderId="2" xfId="2" applyNumberFormat="1" applyFont="1" applyFill="1" applyBorder="1" applyAlignment="1" applyProtection="1">
      <alignment horizontal="center" vertical="center"/>
    </xf>
    <xf numFmtId="10" fontId="95" fillId="0" borderId="2" xfId="2" applyNumberFormat="1" applyFont="1" applyFill="1" applyBorder="1" applyAlignment="1" applyProtection="1">
      <alignment horizontal="center" vertical="center"/>
      <protection locked="0"/>
    </xf>
    <xf numFmtId="49" fontId="95" fillId="0" borderId="2" xfId="2" applyNumberFormat="1" applyFont="1" applyFill="1" applyBorder="1" applyAlignment="1" applyProtection="1">
      <alignment horizontal="center" vertical="center"/>
      <protection locked="0"/>
    </xf>
    <xf numFmtId="0" fontId="95" fillId="5" borderId="5" xfId="2" applyFont="1" applyFill="1" applyBorder="1" applyAlignment="1" applyProtection="1">
      <alignment horizontal="left" vertical="center"/>
    </xf>
    <xf numFmtId="0" fontId="274" fillId="6" borderId="12" xfId="2" applyNumberFormat="1" applyFont="1" applyFill="1" applyBorder="1" applyAlignment="1" applyProtection="1">
      <alignment horizontal="left" vertical="center"/>
    </xf>
    <xf numFmtId="0" fontId="274" fillId="6" borderId="12" xfId="2" applyFont="1" applyFill="1" applyBorder="1" applyAlignment="1" applyProtection="1">
      <alignment horizontal="left" vertical="center"/>
    </xf>
    <xf numFmtId="0" fontId="224" fillId="6" borderId="21" xfId="2" applyFont="1" applyFill="1" applyBorder="1" applyAlignment="1" applyProtection="1">
      <alignment horizontal="center" vertical="center" wrapText="1"/>
    </xf>
    <xf numFmtId="0" fontId="274" fillId="6" borderId="5" xfId="2" applyFont="1" applyFill="1" applyBorder="1" applyAlignment="1" applyProtection="1">
      <alignment horizontal="center" vertical="center"/>
    </xf>
    <xf numFmtId="178" fontId="274" fillId="6"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left" vertical="center"/>
    </xf>
    <xf numFmtId="49" fontId="221" fillId="5" borderId="2" xfId="2" applyNumberFormat="1" applyFont="1" applyFill="1" applyBorder="1" applyAlignment="1" applyProtection="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NumberFormat="1"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Fill="1" applyBorder="1" applyAlignment="1" applyProtection="1">
      <alignment horizontal="center" vertical="center"/>
      <protection locked="0"/>
    </xf>
    <xf numFmtId="0" fontId="42" fillId="5" borderId="0" xfId="2" applyFont="1" applyFill="1" applyBorder="1" applyAlignment="1" applyProtection="1">
      <alignment vertical="center"/>
    </xf>
    <xf numFmtId="0" fontId="172" fillId="5" borderId="0" xfId="2" applyFont="1" applyFill="1" applyBorder="1" applyAlignment="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Fill="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Alignment="1" applyProtection="1">
      <alignment vertical="center"/>
      <protection locked="0"/>
    </xf>
    <xf numFmtId="0" fontId="0" fillId="0" borderId="2" xfId="0" applyBorder="1">
      <alignment vertical="center"/>
    </xf>
    <xf numFmtId="0" fontId="42" fillId="5" borderId="2" xfId="2" applyFont="1" applyFill="1" applyBorder="1" applyAlignment="1" applyProtection="1">
      <alignment vertical="center"/>
    </xf>
    <xf numFmtId="49" fontId="95" fillId="5" borderId="2" xfId="2" applyNumberFormat="1" applyFont="1" applyFill="1" applyBorder="1" applyAlignment="1" applyProtection="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pplyAlignment="1" applyProtection="1">
      <alignment vertical="center"/>
    </xf>
    <xf numFmtId="186" fontId="95" fillId="5" borderId="2" xfId="2" applyNumberFormat="1" applyFont="1" applyFill="1" applyBorder="1" applyAlignment="1" applyProtection="1">
      <alignment horizontal="center" vertical="center"/>
    </xf>
    <xf numFmtId="1" fontId="0" fillId="0" borderId="2" xfId="0" applyNumberFormat="1" applyBorder="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pplyProtection="1">
      <alignment horizontal="center" vertical="center"/>
    </xf>
    <xf numFmtId="0" fontId="221" fillId="5" borderId="17" xfId="2" applyFont="1" applyFill="1" applyBorder="1" applyAlignment="1" applyProtection="1">
      <alignment horizontal="center" vertical="center"/>
    </xf>
    <xf numFmtId="0" fontId="221" fillId="5" borderId="53" xfId="2" applyFont="1" applyFill="1" applyBorder="1" applyAlignment="1" applyProtection="1">
      <alignment horizontal="left" vertical="center"/>
    </xf>
    <xf numFmtId="0" fontId="95" fillId="5" borderId="50" xfId="2" applyFont="1" applyFill="1" applyBorder="1" applyAlignment="1" applyProtection="1">
      <alignment horizontal="left" vertical="center"/>
    </xf>
    <xf numFmtId="0" fontId="95" fillId="5" borderId="27" xfId="2" applyFont="1" applyFill="1" applyBorder="1" applyAlignment="1" applyProtection="1">
      <alignment vertical="center"/>
    </xf>
    <xf numFmtId="0" fontId="95" fillId="5" borderId="21" xfId="2" applyFont="1" applyFill="1" applyBorder="1" applyAlignment="1" applyProtection="1">
      <alignment vertical="center"/>
    </xf>
    <xf numFmtId="178" fontId="221" fillId="5" borderId="29" xfId="2" applyNumberFormat="1" applyFont="1" applyFill="1" applyBorder="1" applyAlignment="1" applyProtection="1">
      <alignment horizontal="center" vertical="center"/>
    </xf>
    <xf numFmtId="178" fontId="95" fillId="5" borderId="42" xfId="2" applyNumberFormat="1" applyFont="1" applyFill="1" applyBorder="1" applyAlignment="1" applyProtection="1">
      <alignment horizontal="center" vertical="center"/>
    </xf>
    <xf numFmtId="0" fontId="221" fillId="5" borderId="29" xfId="2" applyFont="1" applyFill="1" applyBorder="1" applyAlignment="1" applyProtection="1">
      <alignment horizontal="center" vertical="center"/>
    </xf>
    <xf numFmtId="0" fontId="95" fillId="5" borderId="42" xfId="2" applyFont="1" applyFill="1" applyBorder="1" applyAlignment="1" applyProtection="1">
      <alignment horizontal="center" vertical="center"/>
    </xf>
    <xf numFmtId="0" fontId="221" fillId="5" borderId="30" xfId="2"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15557.09平方米。根据《建设工程规划许可证》[]、《出让合同》[]，估价对象规划建筑面积为10288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2021年8月27日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根据《国有土地使用证》[]，估价对象（分摊）出让国有建设用地使用权面积为15557.09平方米。根据《建设工程规划许可证》[]、《出让合同》[]，估价对象规划建筑面积为10288平方米。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估价期日：2021年8月27日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15557.09</v>
      </c>
    </row>
    <row r="44" spans="1:2">
      <c r="A44" s="2833" t="s">
        <v>2740</v>
      </c>
      <c r="B44" s="2834" t="str">
        <f>'预评函-2'!O3</f>
        <v>规划建筑面积/㎡</v>
      </c>
    </row>
    <row r="45" spans="1:2">
      <c r="A45" s="2833" t="s">
        <v>2722</v>
      </c>
      <c r="B45" s="2834">
        <f>'预评函-2'!O5</f>
        <v>10288.000000000002</v>
      </c>
    </row>
    <row r="46" spans="1:2">
      <c r="A46" s="2833" t="s">
        <v>2723</v>
      </c>
      <c r="B46" s="2834" t="e">
        <f ca="1">'预评函-2'!P5</f>
        <v>#REF!</v>
      </c>
    </row>
    <row r="47" spans="1:2">
      <c r="A47" s="2833" t="s">
        <v>2724</v>
      </c>
      <c r="B47" s="2834" t="e">
        <f ca="1">'预评函-2'!Q5</f>
        <v>#REF!</v>
      </c>
    </row>
    <row r="48" spans="1:2">
      <c r="A48" s="2833" t="s">
        <v>2725</v>
      </c>
      <c r="B48" s="2834" t="e">
        <f ca="1">'预评函-2'!R5</f>
        <v>#REF!</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11" sqref="K11"/>
    </sheetView>
  </sheetViews>
  <sheetFormatPr defaultColWidth="10" defaultRowHeight="14.25"/>
  <cols>
    <col min="1" max="1" width="15.375" style="1675" customWidth="1"/>
    <col min="2" max="2" width="11.375" style="1675" customWidth="1"/>
    <col min="3" max="3" width="12.625" style="1675" customWidth="1"/>
    <col min="4" max="4" width="13.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63" t="str">
        <f>IF(B10="北京市","北京市",C10)&amp;F10&amp;B16&amp;"国有建设用地使用权"&amp;B9&amp;"预评估"</f>
        <v>出让国有建设用地使用权预评估</v>
      </c>
      <c r="C1" s="3264"/>
      <c r="D1" s="3264"/>
      <c r="E1" s="3264"/>
      <c r="F1" s="3264"/>
      <c r="G1" s="3264"/>
      <c r="H1" s="3264"/>
      <c r="I1" s="3265"/>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44435</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69"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70"/>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66"/>
      <c r="C12" s="3267"/>
      <c r="D12" s="3268"/>
      <c r="E12" s="1683" t="s">
        <v>2061</v>
      </c>
      <c r="F12" s="3284" t="s">
        <v>2890</v>
      </c>
      <c r="G12" s="3285"/>
      <c r="H12" s="3285"/>
      <c r="I12" s="3286"/>
      <c r="J12" s="1678"/>
      <c r="K12" s="1758"/>
      <c r="L12" s="1707"/>
      <c r="M12" s="1707"/>
      <c r="N12" s="1678"/>
      <c r="O12" s="1679"/>
      <c r="P12" s="1678"/>
      <c r="Q12" s="1678"/>
      <c r="R12" s="1678"/>
      <c r="S12" s="1678"/>
      <c r="T12" s="1678"/>
      <c r="U12" s="1678"/>
    </row>
    <row r="13" spans="1:21">
      <c r="A13" s="1671" t="s">
        <v>2059</v>
      </c>
      <c r="B13" s="3266"/>
      <c r="C13" s="3267"/>
      <c r="D13" s="3268"/>
      <c r="E13" s="1683" t="s">
        <v>2061</v>
      </c>
      <c r="F13" s="3284" t="s">
        <v>2891</v>
      </c>
      <c r="G13" s="3285"/>
      <c r="H13" s="3285"/>
      <c r="I13" s="3286"/>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工业2045年8月20日</v>
      </c>
    </row>
    <row r="17" spans="1:21">
      <c r="A17" s="1747"/>
      <c r="B17" s="1666"/>
      <c r="C17" s="1667" t="s">
        <v>1955</v>
      </c>
      <c r="D17" s="1684"/>
      <c r="E17" s="1684"/>
      <c r="F17" s="1684"/>
      <c r="G17" s="1684"/>
      <c r="H17" s="1684"/>
      <c r="I17" s="3217">
        <v>53194</v>
      </c>
      <c r="J17" s="1678"/>
      <c r="K17" s="2419" t="str">
        <f>CONCATENATE(K16,L16,M16,N16,O16,P16,Q16,R16,S16,T16,,U16)</f>
        <v>工业2045年8月20日</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23.99</v>
      </c>
      <c r="J19" s="1678"/>
      <c r="K19" s="1758"/>
      <c r="L19" s="1707"/>
      <c r="M19" s="1707"/>
      <c r="N19" s="1678"/>
      <c r="O19" s="1679"/>
      <c r="P19" s="1678"/>
      <c r="Q19" s="1678"/>
      <c r="R19" s="1678"/>
      <c r="S19" s="1678"/>
      <c r="T19" s="1678"/>
      <c r="U19" s="1678"/>
    </row>
    <row r="20" spans="1:21">
      <c r="A20" s="1770"/>
      <c r="B20" s="1771"/>
      <c r="C20" s="1772" t="s">
        <v>2060</v>
      </c>
      <c r="D20" s="3281"/>
      <c r="E20" s="3282"/>
      <c r="F20" s="3282"/>
      <c r="G20" s="3282"/>
      <c r="H20" s="3282"/>
      <c r="I20" s="3283"/>
      <c r="J20" s="1678"/>
      <c r="K20" s="1758"/>
      <c r="L20" s="1707"/>
      <c r="M20" s="1707"/>
      <c r="N20" s="1678"/>
      <c r="O20" s="1679"/>
      <c r="P20" s="1678"/>
      <c r="Q20" s="1678"/>
      <c r="R20" s="1678"/>
      <c r="S20" s="1678"/>
      <c r="T20" s="1678"/>
      <c r="U20" s="1678"/>
    </row>
    <row r="21" spans="1:21">
      <c r="A21" s="1747" t="s">
        <v>1958</v>
      </c>
      <c r="B21" s="1748" t="s">
        <v>1959</v>
      </c>
      <c r="C21" s="1743">
        <f>'数据-汇总表'!E3</f>
        <v>10288.000000000002</v>
      </c>
      <c r="D21" s="1744" t="s">
        <v>1960</v>
      </c>
      <c r="E21" s="3271" t="s">
        <v>1998</v>
      </c>
      <c r="F21" s="3272"/>
      <c r="G21" s="3272"/>
      <c r="H21" s="3272"/>
      <c r="I21" s="3273"/>
      <c r="J21" s="1678"/>
      <c r="K21" s="1758"/>
      <c r="L21" s="1707"/>
      <c r="M21" s="1707"/>
      <c r="N21" s="1678"/>
      <c r="O21" s="1679"/>
      <c r="P21" s="1678"/>
      <c r="Q21" s="1678"/>
      <c r="R21" s="1678"/>
      <c r="S21" s="1678"/>
      <c r="T21" s="1678"/>
      <c r="U21" s="1678"/>
    </row>
    <row r="22" spans="1:21">
      <c r="A22" s="3096" t="s">
        <v>952</v>
      </c>
      <c r="B22" s="1645" t="s">
        <v>1961</v>
      </c>
      <c r="C22" s="1670">
        <f>'数据-汇总表'!D3</f>
        <v>15557.09</v>
      </c>
      <c r="D22" s="1671" t="s">
        <v>1960</v>
      </c>
      <c r="E22" s="3271" t="s">
        <v>2892</v>
      </c>
      <c r="F22" s="3272"/>
      <c r="G22" s="3272"/>
      <c r="H22" s="3272"/>
      <c r="I22" s="3273"/>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74" t="s">
        <v>1966</v>
      </c>
      <c r="C24" s="3275"/>
      <c r="D24" s="3276" t="s">
        <v>1967</v>
      </c>
      <c r="E24" s="3277"/>
      <c r="F24" s="1692" t="s">
        <v>1968</v>
      </c>
      <c r="G24" s="1678"/>
      <c r="H24" s="1678"/>
      <c r="I24" s="1691"/>
      <c r="J24" s="1678"/>
      <c r="K24" s="3262"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62"/>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62"/>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89" t="s">
        <v>2001</v>
      </c>
      <c r="B31" s="1748" t="s">
        <v>2002</v>
      </c>
      <c r="C31" s="3287"/>
      <c r="D31" s="3288"/>
      <c r="E31" s="1678"/>
      <c r="F31" s="1678"/>
      <c r="G31" s="1678"/>
      <c r="H31" s="1678"/>
      <c r="I31" s="1691"/>
      <c r="J31" s="1678"/>
      <c r="K31" s="2422"/>
      <c r="L31" s="1678"/>
      <c r="M31" s="1678"/>
      <c r="N31" s="1678"/>
      <c r="O31" s="1678"/>
      <c r="P31" s="1678"/>
      <c r="Q31" s="1678"/>
      <c r="R31" s="1678"/>
      <c r="S31" s="1678"/>
      <c r="T31" s="1678"/>
      <c r="U31" s="1678"/>
    </row>
    <row r="32" spans="1:21">
      <c r="A32" s="3289"/>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89"/>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90"/>
      <c r="B34" s="1645" t="s">
        <v>2005</v>
      </c>
      <c r="C34" s="3291"/>
      <c r="D34" s="3292"/>
      <c r="E34" s="1678"/>
      <c r="F34" s="1678"/>
      <c r="G34" s="1678"/>
      <c r="H34" s="1678"/>
      <c r="I34" s="1691"/>
      <c r="J34" s="1678"/>
      <c r="K34" s="2422"/>
      <c r="L34" s="1678"/>
      <c r="M34" s="1678"/>
      <c r="N34" s="1678"/>
      <c r="O34" s="1678"/>
      <c r="P34" s="1678"/>
      <c r="Q34" s="1678"/>
      <c r="R34" s="1678"/>
      <c r="S34" s="1678"/>
      <c r="T34" s="1678"/>
      <c r="U34" s="1678"/>
    </row>
    <row r="35" spans="1:21">
      <c r="A35" s="3293" t="s">
        <v>847</v>
      </c>
      <c r="B35" s="1706"/>
      <c r="C35" s="1760" t="str">
        <f>IF(B35="场地平整","——","具体情况：")</f>
        <v>具体情况：</v>
      </c>
      <c r="D35" s="3295"/>
      <c r="E35" s="3296"/>
      <c r="F35" s="3296"/>
      <c r="G35" s="3296"/>
      <c r="H35" s="3296"/>
      <c r="I35" s="3297"/>
      <c r="J35" s="1678"/>
      <c r="K35" s="1759"/>
      <c r="L35" s="1707"/>
      <c r="M35" s="1707"/>
      <c r="N35" s="1678"/>
      <c r="O35" s="1679"/>
      <c r="P35" s="1678"/>
      <c r="Q35" s="1678"/>
      <c r="R35" s="1678"/>
      <c r="S35" s="1678"/>
      <c r="T35" s="1678"/>
      <c r="U35" s="1678"/>
    </row>
    <row r="36" spans="1:21">
      <c r="A36" s="3289"/>
      <c r="B36" s="3298" t="s">
        <v>2054</v>
      </c>
      <c r="C36" s="3299"/>
      <c r="D36" s="1776"/>
      <c r="E36" s="3300"/>
      <c r="F36" s="3300"/>
      <c r="G36" s="1671" t="str">
        <f>IF(B35="场地未平整","估价结果处理","")</f>
        <v/>
      </c>
      <c r="H36" s="3301"/>
      <c r="I36" s="3301"/>
      <c r="J36" s="1678"/>
      <c r="K36" s="1759"/>
      <c r="L36" s="1707"/>
      <c r="M36" s="1707"/>
      <c r="N36" s="1678"/>
      <c r="O36" s="1679"/>
      <c r="P36" s="1678"/>
      <c r="Q36" s="1678"/>
      <c r="R36" s="1678"/>
      <c r="S36" s="1678"/>
      <c r="T36" s="1678"/>
      <c r="U36" s="1678"/>
    </row>
    <row r="37" spans="1:21" ht="28.5">
      <c r="A37" s="3289"/>
      <c r="B37" s="3278"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89"/>
      <c r="B38" s="3279"/>
      <c r="C38" s="1653" t="s">
        <v>850</v>
      </c>
      <c r="D38" s="1775">
        <f>ROUNDDOWN(MIN(('数据-取费表'!$B$2-D37)/365,D34),1)</f>
        <v>121.7</v>
      </c>
      <c r="E38" s="1711" t="s">
        <v>851</v>
      </c>
      <c r="F38" s="1678"/>
      <c r="G38" s="1678"/>
      <c r="H38" s="1678"/>
      <c r="I38" s="1691"/>
      <c r="J38" s="1678"/>
      <c r="K38" s="1759"/>
      <c r="L38" s="1678"/>
      <c r="M38" s="1678"/>
      <c r="N38" s="1678"/>
      <c r="O38" s="1678"/>
      <c r="P38" s="1678"/>
      <c r="Q38" s="1678"/>
      <c r="R38" s="1678"/>
      <c r="S38" s="1678"/>
      <c r="T38" s="1678"/>
      <c r="U38" s="1678"/>
    </row>
    <row r="39" spans="1:21">
      <c r="A39" s="3290"/>
      <c r="B39" s="3280"/>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61" t="s">
        <v>1985</v>
      </c>
      <c r="T40" s="1715" t="str">
        <f>NUMBERSTRING(7-K40,1)&amp;"通"</f>
        <v>七通</v>
      </c>
      <c r="U40" s="1678"/>
    </row>
    <row r="41" spans="1:21">
      <c r="A41" s="1647"/>
      <c r="B41" s="3294" t="s">
        <v>1721</v>
      </c>
      <c r="C41" s="3294"/>
      <c r="D41" s="3294"/>
      <c r="E41" s="329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61"/>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6" sqref="B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15557.09</v>
      </c>
      <c r="B3" s="22">
        <f>IF(C3="否",G5-AT5,G5)</f>
        <v>10288.000000000002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10288.000000000002</v>
      </c>
      <c r="H5" s="27">
        <f t="shared" ref="H5:AT5" si="0">SUM(H13:H641)</f>
        <v>10288.000000000002</v>
      </c>
      <c r="I5" s="27">
        <f t="shared" si="0"/>
        <v>10288.000000000002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10288.000000000002</v>
      </c>
      <c r="BA5" s="29">
        <f t="shared" si="1"/>
        <v>10288.000000000002</v>
      </c>
      <c r="BB5" s="29">
        <f t="shared" si="1"/>
        <v>10288.000000000002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15557.09</v>
      </c>
      <c r="F6" s="27" t="s">
        <v>1</v>
      </c>
      <c r="G6" s="27" t="s">
        <v>2</v>
      </c>
      <c r="H6" s="33">
        <f>SUMIF(I$12:AB$12,"总值",I6:AB6)</f>
        <v>15557.09</v>
      </c>
      <c r="I6" s="27">
        <f t="shared" ref="I6:AB6" si="2">ROUND($A$3*I5/$B$3,2)</f>
        <v>15557.09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15557.09</v>
      </c>
      <c r="AZ6" s="27" t="s">
        <v>3</v>
      </c>
      <c r="BA6" s="27">
        <f>ROUND($AY$6*BA5/$AZ$5,2)</f>
        <v>15557.09</v>
      </c>
      <c r="BB6" s="27">
        <f>ROUND($AY$6*BB5/$AZ$5,2)</f>
        <v>15557.09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3114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981</v>
      </c>
      <c r="J10" s="51"/>
      <c r="K10" s="2972"/>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8334.14</v>
      </c>
      <c r="F13" s="81"/>
      <c r="G13" s="82">
        <f t="shared" ref="G13:G20" si="7">H13+AC13+AT13</f>
        <v>5511.42</v>
      </c>
      <c r="H13" s="33">
        <f t="shared" ref="H13:H20" si="8">SUMIF(I$12:AB$12,"总值",I13:AB13)</f>
        <v>5511.42</v>
      </c>
      <c r="I13" s="2969">
        <v>5511.42</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8334.14</v>
      </c>
      <c r="AZ13" s="27">
        <f t="shared" ref="AZ13:AZ20" si="12">BA13+BL13</f>
        <v>5511.42</v>
      </c>
      <c r="BA13" s="27">
        <f t="shared" ref="BA13:BA20" si="13">SUM(BB13:BK13)</f>
        <v>5511.42</v>
      </c>
      <c r="BB13" s="27">
        <f t="shared" ref="BB13:BB20" si="14">IF($D13="是",I13-J13,0)</f>
        <v>5511.42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1086.77</v>
      </c>
      <c r="F14" s="81"/>
      <c r="G14" s="82">
        <f t="shared" si="7"/>
        <v>718.69</v>
      </c>
      <c r="H14" s="33">
        <f t="shared" si="8"/>
        <v>718.69</v>
      </c>
      <c r="I14" s="2969">
        <v>718.69</v>
      </c>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1086.77</v>
      </c>
      <c r="AZ14" s="27">
        <f t="shared" si="12"/>
        <v>718.69</v>
      </c>
      <c r="BA14" s="27">
        <f t="shared" si="13"/>
        <v>718.69</v>
      </c>
      <c r="BB14" s="27">
        <f t="shared" si="14"/>
        <v>718.69</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t="s">
        <v>1678</v>
      </c>
      <c r="E15" s="27">
        <f t="shared" si="6"/>
        <v>896.41</v>
      </c>
      <c r="F15" s="81"/>
      <c r="G15" s="82">
        <f t="shared" si="7"/>
        <v>592.79999999999995</v>
      </c>
      <c r="H15" s="33">
        <f t="shared" si="8"/>
        <v>592.79999999999995</v>
      </c>
      <c r="I15" s="2969">
        <v>592.79999999999995</v>
      </c>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896.41</v>
      </c>
      <c r="AZ15" s="27">
        <f t="shared" si="12"/>
        <v>592.79999999999995</v>
      </c>
      <c r="BA15" s="27">
        <f t="shared" si="13"/>
        <v>592.79999999999995</v>
      </c>
      <c r="BB15" s="27">
        <f t="shared" si="14"/>
        <v>592.79999999999995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t="s">
        <v>1678</v>
      </c>
      <c r="E16" s="27">
        <f t="shared" si="6"/>
        <v>3010.44</v>
      </c>
      <c r="F16" s="81"/>
      <c r="G16" s="82">
        <f t="shared" si="7"/>
        <v>1990.82</v>
      </c>
      <c r="H16" s="33">
        <f t="shared" si="8"/>
        <v>1990.82</v>
      </c>
      <c r="I16" s="2969">
        <v>1990.82</v>
      </c>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3010.44</v>
      </c>
      <c r="AZ16" s="27">
        <f t="shared" si="12"/>
        <v>1990.82</v>
      </c>
      <c r="BA16" s="27">
        <f t="shared" si="13"/>
        <v>1990.82</v>
      </c>
      <c r="BB16" s="27">
        <f t="shared" si="14"/>
        <v>1990.82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t="s">
        <v>1678</v>
      </c>
      <c r="E17" s="27">
        <f t="shared" si="6"/>
        <v>401.02</v>
      </c>
      <c r="F17" s="81"/>
      <c r="G17" s="82">
        <f t="shared" si="7"/>
        <v>265.2</v>
      </c>
      <c r="H17" s="33">
        <f t="shared" si="8"/>
        <v>265.2</v>
      </c>
      <c r="I17" s="2969">
        <v>265.2</v>
      </c>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401.02</v>
      </c>
      <c r="AZ17" s="27">
        <f t="shared" si="12"/>
        <v>265.2</v>
      </c>
      <c r="BA17" s="27">
        <f t="shared" si="13"/>
        <v>265.2</v>
      </c>
      <c r="BB17" s="27">
        <f t="shared" si="14"/>
        <v>265.2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t="s">
        <v>1678</v>
      </c>
      <c r="E18" s="87">
        <f t="shared" si="6"/>
        <v>249.51</v>
      </c>
      <c r="F18" s="88"/>
      <c r="G18" s="89">
        <f t="shared" si="7"/>
        <v>165</v>
      </c>
      <c r="H18" s="90">
        <f t="shared" si="8"/>
        <v>165</v>
      </c>
      <c r="I18" s="1391">
        <v>165</v>
      </c>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249.51</v>
      </c>
      <c r="AZ18" s="87">
        <f t="shared" si="12"/>
        <v>165</v>
      </c>
      <c r="BA18" s="87">
        <f t="shared" si="13"/>
        <v>165</v>
      </c>
      <c r="BB18" s="87">
        <f t="shared" si="14"/>
        <v>165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2967" t="s">
        <v>1678</v>
      </c>
      <c r="E19" s="87">
        <f t="shared" si="6"/>
        <v>249.51</v>
      </c>
      <c r="F19" s="88"/>
      <c r="G19" s="89">
        <f t="shared" si="7"/>
        <v>165</v>
      </c>
      <c r="H19" s="90">
        <f t="shared" si="8"/>
        <v>165</v>
      </c>
      <c r="I19" s="1391">
        <v>165</v>
      </c>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249.51</v>
      </c>
      <c r="AZ19" s="87">
        <f t="shared" si="12"/>
        <v>165</v>
      </c>
      <c r="BA19" s="87">
        <f t="shared" si="13"/>
        <v>165</v>
      </c>
      <c r="BB19" s="87">
        <f t="shared" si="14"/>
        <v>165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2967" t="s">
        <v>1678</v>
      </c>
      <c r="E20" s="87">
        <f t="shared" si="6"/>
        <v>1329.29</v>
      </c>
      <c r="F20" s="88"/>
      <c r="G20" s="89">
        <f t="shared" si="7"/>
        <v>879.07</v>
      </c>
      <c r="H20" s="90">
        <f t="shared" si="8"/>
        <v>879.07</v>
      </c>
      <c r="I20" s="1391">
        <v>879.07</v>
      </c>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1329.29</v>
      </c>
      <c r="AZ20" s="87">
        <f t="shared" si="12"/>
        <v>879.07</v>
      </c>
      <c r="BA20" s="87">
        <f t="shared" si="13"/>
        <v>879.07</v>
      </c>
      <c r="BB20" s="87">
        <f t="shared" si="14"/>
        <v>879.07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28.5">
      <c r="A3" s="3302"/>
      <c r="B3" s="3302"/>
      <c r="C3" s="3302"/>
      <c r="D3" s="3303"/>
      <c r="E3" s="33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3" t="s">
        <v>203</v>
      </c>
      <c r="B2" s="3313"/>
      <c r="C2" s="3313"/>
      <c r="D2" s="1960" t="s">
        <v>204</v>
      </c>
      <c r="E2" s="106" t="s">
        <v>205</v>
      </c>
      <c r="F2" s="1969"/>
      <c r="G2" s="1194"/>
      <c r="H2" s="1195"/>
      <c r="I2" s="1196" t="s">
        <v>857</v>
      </c>
      <c r="J2" s="1969"/>
      <c r="K2" s="1969"/>
      <c r="L2" s="1969"/>
    </row>
    <row r="3" spans="1:16" ht="15.75" thickBot="1">
      <c r="A3" s="3314" t="s">
        <v>206</v>
      </c>
      <c r="B3" s="3314"/>
      <c r="C3" s="3314"/>
      <c r="D3" s="107">
        <f>'数据-基础表'!AY6</f>
        <v>15557.09</v>
      </c>
      <c r="E3" s="107">
        <f>'数据-基础表'!AZ5</f>
        <v>10288.000000000002</v>
      </c>
      <c r="F3" s="1969"/>
      <c r="G3" s="280" t="s">
        <v>858</v>
      </c>
      <c r="H3" s="275" t="s">
        <v>859</v>
      </c>
      <c r="I3" s="1961">
        <f>ROUND('数据-基础表'!B3/'数据-基础表'!A3,2)</f>
        <v>0.66</v>
      </c>
      <c r="J3" s="1969"/>
      <c r="K3" s="1969"/>
      <c r="L3" s="1969"/>
    </row>
    <row r="4" spans="1:16" ht="15">
      <c r="A4" s="3315"/>
      <c r="B4" s="3316"/>
      <c r="C4" s="3317"/>
      <c r="D4" s="108" t="s">
        <v>204</v>
      </c>
      <c r="E4" s="109" t="s">
        <v>205</v>
      </c>
      <c r="F4" s="1969"/>
      <c r="G4" s="1197"/>
      <c r="H4" s="275" t="s">
        <v>860</v>
      </c>
      <c r="I4" s="1961">
        <f>ROUND(SUMIF('数据-基础表'!I9:AS9,"地上",'数据-基础表'!I5:AS5)/'数据-基础表'!A3,2)</f>
        <v>0.66</v>
      </c>
      <c r="J4" s="1969"/>
      <c r="K4" s="1969"/>
      <c r="L4" s="1969"/>
    </row>
    <row r="5" spans="1:16">
      <c r="A5" s="110" t="s">
        <v>207</v>
      </c>
      <c r="B5" s="3318" t="s">
        <v>230</v>
      </c>
      <c r="C5" s="3318"/>
      <c r="D5" s="111">
        <f>ROUND($D$3*E5/$E$3,2)</f>
        <v>0</v>
      </c>
      <c r="E5" s="112">
        <f>SUMIF('数据-基础表'!$11:$11,"住宅",'数据-基础表'!$5:$5)</f>
        <v>0</v>
      </c>
      <c r="F5" s="1969"/>
      <c r="G5" s="280" t="s">
        <v>861</v>
      </c>
      <c r="H5" s="275" t="s">
        <v>859</v>
      </c>
      <c r="I5" s="1961">
        <f>ROUND(E31/D31,2)</f>
        <v>0.66</v>
      </c>
      <c r="J5" s="1969"/>
      <c r="K5" s="1969"/>
      <c r="L5" s="1969"/>
    </row>
    <row r="6" spans="1:16" ht="15" thickBot="1">
      <c r="A6" s="113"/>
      <c r="B6" s="3318" t="s">
        <v>208</v>
      </c>
      <c r="C6" s="3318"/>
      <c r="D6" s="111">
        <f>ROUND($D$3*E6/$E$3,2)</f>
        <v>15557.09</v>
      </c>
      <c r="E6" s="112">
        <f>E3-E5</f>
        <v>10288.000000000002</v>
      </c>
      <c r="F6" s="1969"/>
      <c r="G6" s="1197"/>
      <c r="H6" s="275" t="s">
        <v>860</v>
      </c>
      <c r="I6" s="1961">
        <f>ROUND(F31/D31,2)</f>
        <v>0.66</v>
      </c>
      <c r="J6" s="1969"/>
      <c r="K6" s="1969"/>
      <c r="L6" s="1969"/>
    </row>
    <row r="7" spans="1:16" ht="15">
      <c r="A7" s="3310"/>
      <c r="B7" s="3311"/>
      <c r="C7" s="3312"/>
      <c r="D7" s="108" t="s">
        <v>204</v>
      </c>
      <c r="E7" s="114" t="s">
        <v>231</v>
      </c>
      <c r="F7" s="1969"/>
      <c r="G7" s="1152" t="s">
        <v>1645</v>
      </c>
      <c r="H7" s="1153"/>
      <c r="I7" s="1831"/>
      <c r="J7" s="1969"/>
      <c r="K7" s="1969"/>
      <c r="L7" s="1969"/>
    </row>
    <row r="8" spans="1:16">
      <c r="A8" s="110" t="s">
        <v>209</v>
      </c>
      <c r="B8" s="115" t="s">
        <v>210</v>
      </c>
      <c r="C8" s="111" t="s">
        <v>211</v>
      </c>
      <c r="D8" s="111">
        <f t="shared" ref="D8:D15" si="0">ROUND($D$3*E8/$E$3,2)</f>
        <v>15557.09</v>
      </c>
      <c r="E8" s="116">
        <f>SUMIF('数据-基础表'!BB10:BK10,"地上",'数据-基础表'!BB5:BK5)</f>
        <v>10288.000000000002</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15557.09</v>
      </c>
      <c r="E16" s="120">
        <f>SUM(E8:E15)</f>
        <v>10288.000000000002</v>
      </c>
      <c r="F16" s="1969"/>
      <c r="G16" s="1971"/>
      <c r="H16" s="968" t="s">
        <v>219</v>
      </c>
      <c r="I16" s="969"/>
      <c r="J16" s="1969"/>
      <c r="K16" s="3304" t="s">
        <v>2566</v>
      </c>
      <c r="L16" s="3305"/>
      <c r="M16" s="3305"/>
      <c r="N16" s="3305"/>
      <c r="O16" s="3305"/>
      <c r="P16" s="3306"/>
    </row>
    <row r="17" spans="1:19" ht="15">
      <c r="A17" s="121" t="s">
        <v>216</v>
      </c>
      <c r="B17" s="122" t="s">
        <v>217</v>
      </c>
      <c r="C17" s="2283" t="s">
        <v>2313</v>
      </c>
      <c r="D17" s="108" t="s">
        <v>204</v>
      </c>
      <c r="E17" s="124" t="s">
        <v>205</v>
      </c>
      <c r="F17" s="125"/>
      <c r="G17" s="1362"/>
      <c r="H17" s="970" t="s">
        <v>218</v>
      </c>
      <c r="I17" s="971" t="s">
        <v>2312</v>
      </c>
      <c r="J17" s="1969"/>
      <c r="K17" s="3307" t="s">
        <v>2567</v>
      </c>
      <c r="L17" s="3308"/>
      <c r="M17" s="3309"/>
      <c r="N17" s="3307" t="s">
        <v>2568</v>
      </c>
      <c r="O17" s="3308"/>
      <c r="P17" s="3309"/>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6" t="s">
        <v>3115</v>
      </c>
      <c r="D19" s="111">
        <f t="shared" ref="D19:D26" si="1">ROUND($D$3*E19/$E$3,2)</f>
        <v>15557.09</v>
      </c>
      <c r="E19" s="134">
        <f t="shared" ref="E19:E26" si="2">SUM(F19:G19)</f>
        <v>10288.000000000002</v>
      </c>
      <c r="F19" s="135">
        <f>'数据-基础表'!I5</f>
        <v>10288.000000000002</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15557.09</v>
      </c>
      <c r="S19" s="2286">
        <f t="shared" si="5"/>
        <v>10288.000000000002</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6"/>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15557.09</v>
      </c>
      <c r="E27" s="143">
        <f>IF(SUM(E19:E26)='数据-基础表'!BA5,SUM(E19:E26),IF(F27="地上面积有误","面积有误","地下面积有误"))</f>
        <v>10288.000000000002</v>
      </c>
      <c r="F27" s="134">
        <f>IF(SUM(F19:F26)=E8,SUM(F19:F26),"地上面积有误")</f>
        <v>10288.000000000002</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15557.09</v>
      </c>
      <c r="S27" s="275">
        <f>IF(SUM(S19:S26)=$E$3,SUM(S19:S26),SUM(S19:S26)&amp;"误差"&amp;ROUND(SUM(S19:S26)-E3,2))</f>
        <v>10288.000000000002</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15557.09</v>
      </c>
      <c r="E31" s="1368">
        <f>E27+E30</f>
        <v>10288.000000000002</v>
      </c>
      <c r="F31" s="1369">
        <f>F27+F30</f>
        <v>10288.000000000002</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6" sqref="G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44435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工业</v>
      </c>
      <c r="B6" s="2322" t="str">
        <f>IF(A6=0,"","经营性")</f>
        <v>经营性</v>
      </c>
      <c r="C6" s="173" t="s">
        <v>981</v>
      </c>
      <c r="D6" s="2293">
        <f>SUMIF(项目基本情况!D$15:I$15,C6,项目基本情况!D$18:I$18)</f>
        <v>50</v>
      </c>
      <c r="E6" s="2294">
        <f>IF(B6="","",SUMIF(项目基本情况!D$15:I$15,C6,项目基本情况!D$17:I$17))</f>
        <v>53194</v>
      </c>
      <c r="F6" s="174">
        <f>SUMIF(项目基本情况!D$15:I$15,C6,项目基本情况!D$19:I$19)</f>
        <v>23.99</v>
      </c>
      <c r="G6" s="175">
        <f>IF(ISERROR(ROUND(POWER(1+H6,D6-F6)*(POWER(1+H6,F6)-1)/(POWER(1+H6,D6)-1),3)),0,ROUND(POWER(1+H6,D6-F6)*(POWER(1+H6,F6)-1)/(POWER(1+H6,D6)-1),3))</f>
        <v>0.79600000000000004</v>
      </c>
      <c r="H6" s="2977">
        <v>0.06</v>
      </c>
      <c r="I6" s="2977"/>
      <c r="J6" s="176"/>
      <c r="K6" s="179">
        <f>SUMIF('数据-汇总表'!C$19:C$33,'数据-取费表'!A6,'数据-汇总表'!E$19:E$33)</f>
        <v>10288.000000000002</v>
      </c>
      <c r="L6" s="2978"/>
      <c r="M6" s="177">
        <f t="shared" ref="M6:M14" si="0">ROUND(K6*L6/10000,0)</f>
        <v>0</v>
      </c>
      <c r="N6" s="2979"/>
      <c r="O6" s="177">
        <f>IF($N$5="成新度","——",ROUND(M6*N6,0))</f>
        <v>0</v>
      </c>
      <c r="P6" s="178">
        <f>IF($N$5="成新度","——",M6-O6)</f>
        <v>0</v>
      </c>
      <c r="Q6" s="2980"/>
      <c r="R6" s="179">
        <f>SUMIF('数据-汇总表'!C$19:C$33,A6,'数据-汇总表'!R$19:R$33)</f>
        <v>15557.09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6"/>
      <c r="AO6" s="1985"/>
      <c r="AP6" s="1200">
        <f>ROUND(1-1/(1+H6)^F6,3)</f>
        <v>0.753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0.79600000000000004</v>
      </c>
      <c r="H16" s="203">
        <f>ROUND(SUMPRODUCT(H6:H13,K6:K13)/SUMPRODUCT((H6:H13&gt;0)*(K6:K13)),3)</f>
        <v>0.06</v>
      </c>
      <c r="I16" s="204"/>
      <c r="J16" s="204"/>
      <c r="K16" s="205">
        <f>SUM(K6:K15)</f>
        <v>10288.000000000002</v>
      </c>
      <c r="L16" s="206">
        <f>ROUND(M16*10000/SUM(K6:K14),0)</f>
        <v>0</v>
      </c>
      <c r="M16" s="206">
        <f>SUM(M6:M14)</f>
        <v>0</v>
      </c>
      <c r="N16" s="207" t="e">
        <f>ROUND(SUMPRODUCT(M6:M14,N6:N14)/M16,3)</f>
        <v>#DIV/0!</v>
      </c>
      <c r="O16" s="206">
        <f>SUM(O6:O14)</f>
        <v>0</v>
      </c>
      <c r="P16" s="206">
        <f>SUM(P6:P14)</f>
        <v>0</v>
      </c>
      <c r="Q16" s="208" t="e">
        <f>ROUND(SUMPRODUCT(Q6:Q13,K6:K13)/SUMPRODUCT((Q6:Q13&gt;0)*(K6:K13)),2)</f>
        <v>#DIV/0!</v>
      </c>
      <c r="R16" s="2296">
        <f>SUM(R6:R13)</f>
        <v>15557.09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0.753</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t="e">
        <f ca="1">存贷款利率!E2</f>
        <v>#VALUE!</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c r="C42" s="3051">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9" t="s">
        <v>1663</v>
      </c>
      <c r="B1" s="3320"/>
      <c r="C1" s="3320"/>
      <c r="D1" s="3320"/>
      <c r="E1" s="3320"/>
      <c r="F1" s="3320"/>
      <c r="G1" s="3320"/>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7" sqref="D17"/>
    </sheetView>
  </sheetViews>
  <sheetFormatPr defaultColWidth="14.625" defaultRowHeight="13.5"/>
  <cols>
    <col min="1" max="1" width="24.375" customWidth="1"/>
  </cols>
  <sheetData>
    <row r="1" spans="1:10" ht="16.5">
      <c r="A1" s="2996" t="s">
        <v>2844</v>
      </c>
      <c r="B1" s="2996">
        <f>SUM(B14:B23)</f>
        <v>0</v>
      </c>
      <c r="C1" s="2997"/>
      <c r="D1" s="2997"/>
      <c r="E1" s="2997"/>
      <c r="F1" s="2997"/>
    </row>
    <row r="2" spans="1:10" ht="16.5">
      <c r="A2" s="2996" t="s">
        <v>2845</v>
      </c>
      <c r="B2" s="2996">
        <f>SUM(C14:C23)</f>
        <v>4533.33</v>
      </c>
      <c r="C2" s="2997"/>
      <c r="D2" s="2997"/>
      <c r="E2" s="2997"/>
      <c r="F2" s="2997"/>
    </row>
    <row r="3" spans="1:10" ht="16.5">
      <c r="A3" s="2996" t="s">
        <v>2846</v>
      </c>
      <c r="B3" s="2998">
        <f>项目基本情况!D3</f>
        <v>44435</v>
      </c>
      <c r="C3" s="2997"/>
      <c r="D3" s="2997"/>
      <c r="E3" s="2997"/>
      <c r="F3" s="2997"/>
    </row>
    <row r="4" spans="1:10" ht="33">
      <c r="A4" s="2996" t="s">
        <v>2847</v>
      </c>
      <c r="B4" s="2996" t="s">
        <v>2848</v>
      </c>
      <c r="C4" s="2996" t="s">
        <v>2849</v>
      </c>
      <c r="D4" s="2996" t="s">
        <v>2850</v>
      </c>
      <c r="E4" s="2997"/>
      <c r="F4" s="2997"/>
    </row>
    <row r="5" spans="1:10" ht="16.5">
      <c r="A5" s="2996" t="s">
        <v>2851</v>
      </c>
      <c r="B5" s="2996">
        <f>SUM(D14:D23)</f>
        <v>4297597</v>
      </c>
      <c r="C5" s="2996" t="e">
        <f>ROUND(B5*10000/$B$1,0)</f>
        <v>#DIV/0!</v>
      </c>
      <c r="D5" s="2996">
        <f>ROUND(B5/$B$2,0)</f>
        <v>948</v>
      </c>
      <c r="E5" s="2997"/>
      <c r="F5" s="2997"/>
    </row>
    <row r="6" spans="1:10" ht="16.5">
      <c r="A6" s="2996" t="s">
        <v>2852</v>
      </c>
      <c r="B6" s="2996">
        <f>SUM(G14:G23)</f>
        <v>0</v>
      </c>
      <c r="C6" s="2996" t="e">
        <f t="shared" ref="C6:C8" si="0">ROUND(B6*10000/$B$1,0)</f>
        <v>#DIV/0!</v>
      </c>
      <c r="D6" s="2996">
        <f t="shared" ref="D6:D8" si="1">ROUND(B6*10000/$B$2,0)</f>
        <v>0</v>
      </c>
      <c r="E6" s="2997"/>
      <c r="F6" s="2997"/>
    </row>
    <row r="7" spans="1:10" ht="16.5">
      <c r="A7" s="2996" t="s">
        <v>2853</v>
      </c>
      <c r="B7" s="2996">
        <f>SUM(H14:H23)</f>
        <v>0</v>
      </c>
      <c r="C7" s="2996" t="e">
        <f t="shared" si="0"/>
        <v>#DIV/0!</v>
      </c>
      <c r="D7" s="2996">
        <f t="shared" si="1"/>
        <v>0</v>
      </c>
      <c r="E7" s="2997"/>
      <c r="F7" s="2997"/>
    </row>
    <row r="8" spans="1:10" ht="16.5">
      <c r="A8" s="2996" t="s">
        <v>2854</v>
      </c>
      <c r="B8" s="2996">
        <f>SUM(I14:I23)</f>
        <v>0</v>
      </c>
      <c r="C8" s="2996" t="e">
        <f t="shared" si="0"/>
        <v>#DIV/0!</v>
      </c>
      <c r="D8" s="2996">
        <f t="shared" si="1"/>
        <v>0</v>
      </c>
      <c r="E8" s="2997"/>
      <c r="F8" s="2997"/>
    </row>
    <row r="9" spans="1:10" ht="16.5">
      <c r="A9" s="2996" t="s">
        <v>2855</v>
      </c>
      <c r="B9" s="2999"/>
      <c r="C9" s="2997"/>
      <c r="D9" s="2997"/>
      <c r="E9" s="2997"/>
      <c r="F9" s="2997"/>
    </row>
    <row r="10" spans="1:10" ht="16.5">
      <c r="A10" s="2996" t="s">
        <v>2856</v>
      </c>
      <c r="B10" s="2999"/>
      <c r="C10" s="2997"/>
      <c r="D10" s="2997"/>
      <c r="E10" s="2997"/>
      <c r="F10" s="2997"/>
    </row>
    <row r="11" spans="1:10" ht="16.5">
      <c r="A11" s="2996" t="s">
        <v>2873</v>
      </c>
      <c r="B11" s="2999"/>
      <c r="C11" s="2997"/>
      <c r="D11" s="2997"/>
      <c r="E11" s="2997"/>
      <c r="F11" s="2997"/>
    </row>
    <row r="12" spans="1:10" ht="16.5">
      <c r="A12" s="2997"/>
      <c r="B12" s="2997"/>
      <c r="C12" s="2997"/>
      <c r="D12" s="2997"/>
      <c r="E12" s="2997"/>
      <c r="F12" s="2997"/>
    </row>
    <row r="13" spans="1:10" ht="33">
      <c r="A13" s="3002" t="s">
        <v>2872</v>
      </c>
      <c r="B13" s="3000" t="s">
        <v>2844</v>
      </c>
      <c r="C13" s="3000" t="s">
        <v>2845</v>
      </c>
      <c r="D13" s="3000" t="s">
        <v>2857</v>
      </c>
      <c r="E13" s="2996" t="s">
        <v>2871</v>
      </c>
      <c r="F13" s="2996" t="s">
        <v>2850</v>
      </c>
      <c r="G13" s="3000" t="s">
        <v>2858</v>
      </c>
      <c r="H13" s="3000" t="s">
        <v>2859</v>
      </c>
      <c r="I13" s="3000" t="s">
        <v>2860</v>
      </c>
      <c r="J13" s="3222" t="s">
        <v>3151</v>
      </c>
    </row>
    <row r="14" spans="1:10" ht="16.5">
      <c r="A14" s="3003" t="s">
        <v>2870</v>
      </c>
      <c r="B14" s="3000"/>
      <c r="C14" s="3000"/>
      <c r="D14" s="3000"/>
      <c r="E14" s="3000" t="e">
        <f>ROUND(D14*10000/B14,0)</f>
        <v>#DIV/0!</v>
      </c>
      <c r="F14" s="3000"/>
      <c r="G14" s="3000" t="str">
        <f>结果表!C44</f>
        <v>——</v>
      </c>
      <c r="H14" s="3000" t="str">
        <f>结果表!C45</f>
        <v>——</v>
      </c>
      <c r="I14" s="3000" t="str">
        <f>结果表!C46</f>
        <v>——</v>
      </c>
      <c r="J14">
        <f>ROUND(F14*666.67/10000,2)</f>
        <v>0</v>
      </c>
    </row>
    <row r="15" spans="1:10" ht="16.5">
      <c r="A15" s="3003" t="s">
        <v>2861</v>
      </c>
      <c r="B15" s="3000"/>
      <c r="C15" s="3000"/>
      <c r="D15" s="3000"/>
      <c r="E15" s="3000" t="e">
        <f t="shared" ref="E15:E23" si="2">ROUND(D15*10000/B15,0)</f>
        <v>#DIV/0!</v>
      </c>
      <c r="F15" s="3000"/>
      <c r="G15" s="3001"/>
      <c r="H15" s="3001"/>
      <c r="I15" s="3004"/>
      <c r="J15">
        <f t="shared" ref="J15:J16" si="3">ROUND(F15*666.67/10000,2)</f>
        <v>0</v>
      </c>
    </row>
    <row r="16" spans="1:10" ht="16.5">
      <c r="A16" s="3003" t="s">
        <v>2862</v>
      </c>
      <c r="B16" s="3000"/>
      <c r="C16" s="3000"/>
      <c r="D16" s="3000"/>
      <c r="E16" s="3000" t="e">
        <f t="shared" si="2"/>
        <v>#DIV/0!</v>
      </c>
      <c r="F16" s="3000"/>
      <c r="G16" s="3001"/>
      <c r="H16" s="3001"/>
      <c r="I16" s="3004"/>
      <c r="J16">
        <f t="shared" si="3"/>
        <v>0</v>
      </c>
    </row>
    <row r="17" spans="1:10" ht="16.5">
      <c r="A17" s="3003" t="s">
        <v>2863</v>
      </c>
      <c r="B17" s="3000"/>
      <c r="C17" s="3000">
        <f>'成本逼近法（051）'!G1</f>
        <v>4533.33</v>
      </c>
      <c r="D17" s="3000">
        <f>'成本逼近法（051）'!B2</f>
        <v>4297597</v>
      </c>
      <c r="E17" s="3000" t="e">
        <f t="shared" si="2"/>
        <v>#DIV/0!</v>
      </c>
      <c r="F17" s="3000">
        <f>ROUND(D17/C17,0)</f>
        <v>948</v>
      </c>
      <c r="G17" s="3001"/>
      <c r="H17" s="3001"/>
      <c r="I17" s="3004"/>
      <c r="J17">
        <f>ROUND(F17*666.67/10000,2)</f>
        <v>63.2</v>
      </c>
    </row>
    <row r="18" spans="1:10" ht="16.5">
      <c r="A18" s="3003" t="s">
        <v>2864</v>
      </c>
      <c r="B18" s="3004"/>
      <c r="C18" s="3004"/>
      <c r="D18" s="3004"/>
      <c r="E18" s="3000" t="e">
        <f t="shared" si="2"/>
        <v>#DIV/0!</v>
      </c>
      <c r="F18" s="3000" t="e">
        <f t="shared" ref="F18:F23" si="4">ROUND(D18*10000/C18,0)</f>
        <v>#DIV/0!</v>
      </c>
      <c r="G18" s="3004"/>
      <c r="H18" s="3004"/>
      <c r="I18" s="3004"/>
    </row>
    <row r="19" spans="1:10" ht="16.5">
      <c r="A19" s="3003" t="s">
        <v>2865</v>
      </c>
      <c r="B19" s="3004"/>
      <c r="C19" s="3004"/>
      <c r="D19" s="3004"/>
      <c r="E19" s="3000" t="e">
        <f t="shared" si="2"/>
        <v>#DIV/0!</v>
      </c>
      <c r="F19" s="3000" t="e">
        <f t="shared" si="4"/>
        <v>#DIV/0!</v>
      </c>
      <c r="G19" s="3004"/>
      <c r="H19" s="3004"/>
      <c r="I19" s="3004"/>
    </row>
    <row r="20" spans="1:10" ht="16.5">
      <c r="A20" s="3003" t="s">
        <v>2866</v>
      </c>
      <c r="B20" s="3004"/>
      <c r="C20" s="3004"/>
      <c r="D20" s="3004"/>
      <c r="E20" s="3000" t="e">
        <f t="shared" si="2"/>
        <v>#DIV/0!</v>
      </c>
      <c r="F20" s="3000" t="e">
        <f t="shared" si="4"/>
        <v>#DIV/0!</v>
      </c>
      <c r="G20" s="3004"/>
      <c r="H20" s="3004"/>
      <c r="I20" s="3004"/>
    </row>
    <row r="21" spans="1:10" ht="16.5">
      <c r="A21" s="3003" t="s">
        <v>2867</v>
      </c>
      <c r="B21" s="3004"/>
      <c r="C21" s="3004"/>
      <c r="D21" s="3004"/>
      <c r="E21" s="3000" t="e">
        <f t="shared" si="2"/>
        <v>#DIV/0!</v>
      </c>
      <c r="F21" s="3000" t="e">
        <f t="shared" si="4"/>
        <v>#DIV/0!</v>
      </c>
      <c r="G21" s="3004"/>
      <c r="H21" s="3004"/>
      <c r="I21" s="3004"/>
    </row>
    <row r="22" spans="1:10" ht="16.5">
      <c r="A22" s="3003" t="s">
        <v>2868</v>
      </c>
      <c r="B22" s="3004"/>
      <c r="C22" s="3004"/>
      <c r="D22" s="3004"/>
      <c r="E22" s="3000" t="e">
        <f t="shared" si="2"/>
        <v>#DIV/0!</v>
      </c>
      <c r="F22" s="3000" t="e">
        <f t="shared" si="4"/>
        <v>#DIV/0!</v>
      </c>
      <c r="G22" s="3004"/>
      <c r="H22" s="3004"/>
      <c r="I22" s="3004"/>
    </row>
    <row r="23" spans="1:10" ht="16.5">
      <c r="A23" s="3003" t="s">
        <v>2869</v>
      </c>
      <c r="B23" s="3004"/>
      <c r="C23" s="3004"/>
      <c r="D23" s="3004"/>
      <c r="E23" s="2996" t="e">
        <f t="shared" si="2"/>
        <v>#DIV/0!</v>
      </c>
      <c r="F23" s="2996" t="e">
        <f t="shared" si="4"/>
        <v>#DIV/0!</v>
      </c>
      <c r="G23" s="3004"/>
      <c r="H23" s="3004"/>
      <c r="I23" s="3004"/>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9" sqref="F2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3130</v>
      </c>
      <c r="E1" s="1790" t="s">
        <v>2057</v>
      </c>
      <c r="F1" s="1792" t="s">
        <v>3131</v>
      </c>
      <c r="G1" s="311"/>
      <c r="H1" s="311"/>
      <c r="I1" s="311"/>
      <c r="J1" s="2014"/>
      <c r="K1" s="2014"/>
      <c r="L1" s="2014"/>
      <c r="M1" s="2014"/>
      <c r="N1" s="2014"/>
      <c r="O1" s="2014"/>
      <c r="P1" s="2014"/>
      <c r="Q1" s="2014"/>
      <c r="R1" s="2014"/>
      <c r="S1" s="2014"/>
      <c r="T1" s="2014"/>
      <c r="U1" s="2014"/>
      <c r="V1" s="2014"/>
    </row>
    <row r="2" spans="1:22" ht="21.75" customHeight="1" thickBot="1">
      <c r="A2" s="3366" t="str">
        <f>项目基本情况!K2</f>
        <v>出让国有建设用地使用权</v>
      </c>
      <c r="B2" s="3367"/>
      <c r="C2" s="3368"/>
      <c r="D2" s="3368"/>
      <c r="E2" s="3368"/>
      <c r="F2" s="3368"/>
      <c r="G2" s="3367"/>
      <c r="H2" s="3367"/>
      <c r="I2" s="3369"/>
      <c r="J2" s="2015"/>
      <c r="K2" s="2014"/>
      <c r="L2" s="2014"/>
      <c r="M2" s="2014"/>
      <c r="N2" s="2014"/>
      <c r="O2" s="2014"/>
      <c r="P2" s="2014"/>
      <c r="Q2" s="2014"/>
      <c r="R2" s="2014"/>
      <c r="S2" s="2014"/>
      <c r="T2" s="2014"/>
      <c r="U2" s="2014"/>
      <c r="V2" s="2014"/>
    </row>
    <row r="3" spans="1:22" ht="14.25">
      <c r="A3" s="3377" t="s">
        <v>298</v>
      </c>
      <c r="B3" s="3378"/>
      <c r="C3" s="3378"/>
      <c r="D3" s="3378"/>
      <c r="E3" s="3378"/>
      <c r="F3" s="3378"/>
      <c r="G3" s="3378"/>
      <c r="H3" s="3378"/>
      <c r="I3" s="3378"/>
      <c r="J3" s="2015"/>
      <c r="K3" s="2014"/>
      <c r="L3" s="2014"/>
      <c r="M3" s="2014"/>
      <c r="N3" s="2014"/>
      <c r="O3" s="2014"/>
      <c r="P3" s="2014"/>
      <c r="Q3" s="2014"/>
      <c r="R3" s="2014"/>
      <c r="S3" s="2014"/>
      <c r="T3" s="2014"/>
      <c r="U3" s="2014"/>
      <c r="V3" s="2014"/>
    </row>
    <row r="4" spans="1:22" ht="14.25">
      <c r="A4" s="258" t="s">
        <v>299</v>
      </c>
      <c r="B4" s="259" t="s">
        <v>300</v>
      </c>
      <c r="C4" s="260" t="s">
        <v>3129</v>
      </c>
      <c r="D4" s="260" t="s">
        <v>3129</v>
      </c>
      <c r="E4" s="3341" t="s">
        <v>301</v>
      </c>
      <c r="F4" s="3383"/>
      <c r="G4" s="3383"/>
      <c r="H4" s="3383"/>
      <c r="I4" s="3342"/>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370" t="s">
        <v>302</v>
      </c>
      <c r="B5" s="3371">
        <v>25</v>
      </c>
      <c r="C5" s="3379"/>
      <c r="D5" s="3382"/>
      <c r="E5" s="261" t="s">
        <v>303</v>
      </c>
      <c r="F5" s="262"/>
      <c r="G5" s="262"/>
      <c r="H5" s="262"/>
      <c r="I5" s="263"/>
      <c r="J5" s="2015"/>
      <c r="K5" s="2014"/>
      <c r="L5" s="2014"/>
      <c r="M5" s="2014"/>
      <c r="N5" s="2014"/>
      <c r="O5" s="2014"/>
      <c r="P5" s="2014"/>
      <c r="Q5" s="2014"/>
      <c r="R5" s="2014"/>
      <c r="S5" s="2014"/>
      <c r="T5" s="2014"/>
      <c r="U5" s="2014"/>
      <c r="V5" s="2014"/>
    </row>
    <row r="6" spans="1:22" ht="14.25">
      <c r="A6" s="3370"/>
      <c r="B6" s="3371"/>
      <c r="C6" s="3380"/>
      <c r="D6" s="3382"/>
      <c r="E6" s="261" t="s">
        <v>304</v>
      </c>
      <c r="F6" s="262"/>
      <c r="G6" s="262"/>
      <c r="H6" s="262"/>
      <c r="I6" s="263"/>
      <c r="J6" s="2015"/>
      <c r="K6" s="2014"/>
      <c r="L6" s="2014"/>
      <c r="M6" s="2014"/>
      <c r="N6" s="2014"/>
      <c r="O6" s="2014"/>
      <c r="P6" s="2014"/>
      <c r="Q6" s="2014"/>
      <c r="R6" s="2014"/>
      <c r="S6" s="2014"/>
      <c r="T6" s="2014"/>
      <c r="U6" s="2014"/>
      <c r="V6" s="2014"/>
    </row>
    <row r="7" spans="1:22" ht="14.25">
      <c r="A7" s="3370"/>
      <c r="B7" s="3371"/>
      <c r="C7" s="3381"/>
      <c r="D7" s="3382"/>
      <c r="E7" s="261" t="s">
        <v>305</v>
      </c>
      <c r="F7" s="262"/>
      <c r="G7" s="262"/>
      <c r="H7" s="262"/>
      <c r="I7" s="263"/>
      <c r="J7" s="2015"/>
      <c r="K7" s="2014"/>
      <c r="L7" s="2014"/>
      <c r="M7" s="2014"/>
      <c r="N7" s="2014"/>
      <c r="O7" s="2014"/>
      <c r="P7" s="2014"/>
      <c r="Q7" s="2014"/>
      <c r="R7" s="2014"/>
      <c r="S7" s="2014"/>
      <c r="T7" s="2014"/>
      <c r="U7" s="2014"/>
      <c r="V7" s="2014"/>
    </row>
    <row r="8" spans="1:22" ht="14.25">
      <c r="A8" s="3370" t="s">
        <v>306</v>
      </c>
      <c r="B8" s="3371">
        <v>15</v>
      </c>
      <c r="C8" s="3379"/>
      <c r="D8" s="3382"/>
      <c r="E8" s="261" t="s">
        <v>307</v>
      </c>
      <c r="F8" s="262"/>
      <c r="G8" s="262"/>
      <c r="H8" s="262"/>
      <c r="I8" s="263"/>
      <c r="J8" s="2015"/>
      <c r="K8" s="2014"/>
      <c r="L8" s="2014"/>
      <c r="M8" s="2014"/>
      <c r="N8" s="2014"/>
      <c r="O8" s="2014"/>
      <c r="P8" s="2014"/>
      <c r="Q8" s="2014"/>
      <c r="R8" s="2014"/>
      <c r="S8" s="2014"/>
      <c r="T8" s="2014"/>
      <c r="U8" s="2014"/>
      <c r="V8" s="2014"/>
    </row>
    <row r="9" spans="1:22" ht="14.25">
      <c r="A9" s="3370"/>
      <c r="B9" s="3371"/>
      <c r="C9" s="3381"/>
      <c r="D9" s="3382"/>
      <c r="E9" s="261" t="s">
        <v>308</v>
      </c>
      <c r="F9" s="262"/>
      <c r="G9" s="262"/>
      <c r="H9" s="262"/>
      <c r="I9" s="263"/>
      <c r="J9" s="2015"/>
      <c r="K9" s="2014"/>
      <c r="L9" s="2014"/>
      <c r="M9" s="2014"/>
      <c r="N9" s="2014"/>
      <c r="O9" s="2014"/>
      <c r="P9" s="2014"/>
      <c r="Q9" s="2014"/>
      <c r="R9" s="2014"/>
      <c r="S9" s="2014"/>
      <c r="T9" s="2014"/>
      <c r="U9" s="2014"/>
      <c r="V9" s="2014"/>
    </row>
    <row r="10" spans="1:22" ht="14.25">
      <c r="A10" s="3370" t="s">
        <v>309</v>
      </c>
      <c r="B10" s="3371">
        <v>15</v>
      </c>
      <c r="C10" s="3379"/>
      <c r="D10" s="3382"/>
      <c r="E10" s="261" t="s">
        <v>310</v>
      </c>
      <c r="F10" s="262"/>
      <c r="G10" s="262"/>
      <c r="H10" s="262"/>
      <c r="I10" s="263"/>
      <c r="J10" s="2015"/>
      <c r="K10" s="2014"/>
      <c r="L10" s="2014"/>
      <c r="M10" s="2014"/>
      <c r="N10" s="2014"/>
      <c r="O10" s="2014"/>
      <c r="P10" s="2014"/>
      <c r="Q10" s="2014"/>
      <c r="R10" s="2014"/>
      <c r="S10" s="2014"/>
      <c r="T10" s="2014"/>
      <c r="U10" s="2014"/>
      <c r="V10" s="2014"/>
    </row>
    <row r="11" spans="1:22" ht="14.25">
      <c r="A11" s="3370"/>
      <c r="B11" s="3371"/>
      <c r="C11" s="3381"/>
      <c r="D11" s="3382"/>
      <c r="E11" s="261" t="s">
        <v>311</v>
      </c>
      <c r="F11" s="262"/>
      <c r="G11" s="262"/>
      <c r="H11" s="262"/>
      <c r="I11" s="263"/>
      <c r="J11" s="2015"/>
      <c r="K11" s="2014"/>
      <c r="L11" s="2014"/>
      <c r="M11" s="2014"/>
      <c r="N11" s="2014"/>
      <c r="O11" s="2014"/>
      <c r="P11" s="2014"/>
      <c r="Q11" s="2014"/>
      <c r="R11" s="2014"/>
      <c r="S11" s="2014"/>
      <c r="T11" s="2014"/>
      <c r="U11" s="2014"/>
      <c r="V11" s="2014"/>
    </row>
    <row r="12" spans="1:22" ht="14.25">
      <c r="A12" s="3370" t="s">
        <v>312</v>
      </c>
      <c r="B12" s="3371">
        <v>15</v>
      </c>
      <c r="C12" s="3379"/>
      <c r="D12" s="3382"/>
      <c r="E12" s="261" t="s">
        <v>313</v>
      </c>
      <c r="F12" s="262"/>
      <c r="G12" s="262"/>
      <c r="H12" s="262"/>
      <c r="I12" s="263"/>
      <c r="J12" s="2015"/>
      <c r="K12" s="2014"/>
      <c r="L12" s="2014"/>
      <c r="M12" s="2014"/>
      <c r="N12" s="2014"/>
      <c r="O12" s="2014"/>
      <c r="P12" s="2014"/>
      <c r="Q12" s="2014"/>
      <c r="R12" s="2014"/>
      <c r="S12" s="2014"/>
      <c r="T12" s="2014"/>
      <c r="U12" s="2014"/>
      <c r="V12" s="2014"/>
    </row>
    <row r="13" spans="1:22" ht="14.25">
      <c r="A13" s="3370"/>
      <c r="B13" s="3371"/>
      <c r="C13" s="3381"/>
      <c r="D13" s="3382"/>
      <c r="E13" s="261" t="s">
        <v>314</v>
      </c>
      <c r="F13" s="262"/>
      <c r="G13" s="262"/>
      <c r="H13" s="262"/>
      <c r="I13" s="263"/>
      <c r="J13" s="2015"/>
      <c r="K13" s="2014"/>
      <c r="L13" s="2014"/>
      <c r="M13" s="2014"/>
      <c r="N13" s="2014"/>
      <c r="O13" s="2014"/>
      <c r="P13" s="2014"/>
      <c r="Q13" s="2014"/>
      <c r="R13" s="2014"/>
      <c r="S13" s="2014"/>
      <c r="T13" s="2014"/>
      <c r="U13" s="2014"/>
      <c r="V13" s="2014"/>
    </row>
    <row r="14" spans="1:22" ht="14.25">
      <c r="A14" s="3370" t="s">
        <v>315</v>
      </c>
      <c r="B14" s="3371">
        <v>30</v>
      </c>
      <c r="C14" s="3379">
        <v>1</v>
      </c>
      <c r="D14" s="3382">
        <v>1</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70"/>
      <c r="B15" s="3371"/>
      <c r="C15" s="3380"/>
      <c r="D15" s="3382"/>
      <c r="E15" s="261" t="s">
        <v>317</v>
      </c>
      <c r="F15" s="262"/>
      <c r="G15" s="262"/>
      <c r="H15" s="262"/>
      <c r="I15" s="263"/>
      <c r="J15" s="2015"/>
      <c r="K15" s="2014"/>
      <c r="L15" s="2014"/>
      <c r="M15" s="2014"/>
      <c r="N15" s="2014"/>
      <c r="O15" s="2014"/>
      <c r="P15" s="2014"/>
      <c r="Q15" s="2014"/>
      <c r="R15" s="2014"/>
      <c r="S15" s="2014"/>
      <c r="T15" s="2014"/>
      <c r="U15" s="2014"/>
      <c r="V15" s="2014"/>
    </row>
    <row r="16" spans="1:22" ht="14.25">
      <c r="A16" s="3370"/>
      <c r="B16" s="3371"/>
      <c r="C16" s="3381"/>
      <c r="D16" s="338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1</v>
      </c>
      <c r="D17" s="265">
        <f>SUM(D5:D16)</f>
        <v>1</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t="e">
        <f ca="1">IF(C19&lt;D19,D19/C19-1,C19/D19-1)</f>
        <v>#REF!</v>
      </c>
      <c r="E22" s="284"/>
      <c r="F22" s="285"/>
      <c r="G22" s="286" t="e">
        <f ca="1">ROUND(G19/('数据-汇总表'!D3/666.67),0)</f>
        <v>#REF!</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43"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85"/>
      <c r="B25" s="1317" t="s">
        <v>331</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t="e">
        <f ca="1">G19-C24</f>
        <v>#REF!</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t="e">
        <f ca="1">ROUND(C32*10000/'数据-汇总表'!E3,0)</f>
        <v>#REF!</v>
      </c>
      <c r="D33" s="1382" t="s">
        <v>1691</v>
      </c>
      <c r="E33" s="3343"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t="e">
        <f ca="1">ROUND(C32*10000/'数据-汇总表'!D3,0)</f>
        <v>#REF!</v>
      </c>
      <c r="D34" s="1384" t="s">
        <v>1691</v>
      </c>
      <c r="E34" s="3344"/>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t="e">
        <f ca="1">ROUND(C32/('数据-汇总表'!D3/666.67),0)</f>
        <v>#REF!</v>
      </c>
      <c r="D35" s="1387" t="s">
        <v>1693</v>
      </c>
      <c r="E35" s="3345"/>
      <c r="F35" s="301" t="s">
        <v>342</v>
      </c>
      <c r="G35" s="982"/>
      <c r="H35" s="981" t="s">
        <v>343</v>
      </c>
      <c r="I35" s="311"/>
      <c r="J35" s="2014"/>
      <c r="K35" s="3349" t="s">
        <v>350</v>
      </c>
      <c r="L35" s="3349" t="s">
        <v>351</v>
      </c>
      <c r="M35" s="1260" t="s">
        <v>352</v>
      </c>
      <c r="N35" s="3349" t="s">
        <v>353</v>
      </c>
      <c r="O35" s="3349" t="s">
        <v>354</v>
      </c>
      <c r="P35" s="2014"/>
      <c r="V35" s="2014"/>
    </row>
    <row r="36" spans="1:26" ht="16.5" customHeight="1">
      <c r="A36" s="303" t="s">
        <v>344</v>
      </c>
      <c r="B36" s="304" t="s">
        <v>333</v>
      </c>
      <c r="C36" s="305" t="s">
        <v>345</v>
      </c>
      <c r="D36" s="305" t="s">
        <v>346</v>
      </c>
      <c r="E36" s="306" t="s">
        <v>347</v>
      </c>
      <c r="F36" s="311"/>
      <c r="G36" s="311"/>
      <c r="H36" s="311"/>
      <c r="I36" s="311"/>
      <c r="J36" s="2016"/>
      <c r="K36" s="3350"/>
      <c r="L36" s="3350"/>
      <c r="M36" s="1262" t="s">
        <v>355</v>
      </c>
      <c r="N36" s="3350"/>
      <c r="O36" s="3350"/>
      <c r="P36" s="2014"/>
      <c r="V36" s="2014"/>
    </row>
    <row r="37" spans="1:26" ht="16.5" customHeight="1" thickBot="1">
      <c r="A37" s="1256" t="s">
        <v>348</v>
      </c>
      <c r="B37" s="307"/>
      <c r="C37" s="294"/>
      <c r="D37" s="294"/>
      <c r="E37" s="295"/>
      <c r="F37" s="311"/>
      <c r="G37" s="311"/>
      <c r="H37" s="311"/>
      <c r="I37" s="311"/>
      <c r="J37" s="2016"/>
      <c r="K37" s="3351"/>
      <c r="L37" s="3351"/>
      <c r="M37" s="1263"/>
      <c r="N37" s="3351"/>
      <c r="O37" s="3351"/>
      <c r="P37" s="2014"/>
      <c r="V37" s="2014"/>
    </row>
    <row r="38" spans="1:26" ht="16.5" customHeight="1" thickBot="1">
      <c r="A38" s="1256" t="s">
        <v>349</v>
      </c>
      <c r="B38" s="307"/>
      <c r="C38" s="294"/>
      <c r="D38" s="294"/>
      <c r="E38" s="295"/>
      <c r="F38" s="311"/>
      <c r="G38" s="311"/>
      <c r="H38" s="311"/>
      <c r="I38" s="311"/>
      <c r="J38" s="2016"/>
      <c r="K38" s="1264">
        <f>'数据-汇总表'!D3</f>
        <v>15557.09</v>
      </c>
      <c r="L38" s="1265">
        <f>'数据-汇总表'!E3</f>
        <v>10288.000000000002</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26" t="str">
        <f>MID(A44,3,LEN(A44)-2)</f>
        <v/>
      </c>
      <c r="L39" s="3327"/>
      <c r="M39" s="3327"/>
      <c r="N39" s="3328"/>
      <c r="O39" s="1389" t="str">
        <f>C44</f>
        <v>——</v>
      </c>
      <c r="P39" s="2014"/>
      <c r="V39" s="2014"/>
    </row>
    <row r="40" spans="1:26" ht="19.5" thickBot="1">
      <c r="A40" s="104" t="s">
        <v>873</v>
      </c>
      <c r="B40" s="311"/>
      <c r="C40" s="311"/>
      <c r="D40" s="311"/>
      <c r="E40" s="311"/>
      <c r="F40" s="311"/>
      <c r="G40" s="311"/>
      <c r="H40" s="311"/>
      <c r="I40" s="311"/>
      <c r="J40" s="2016"/>
      <c r="K40" s="3326" t="str">
        <f t="shared" ref="K40:K41" si="0">MID(A45,3,LEN(A45)-2)</f>
        <v/>
      </c>
      <c r="L40" s="3327"/>
      <c r="M40" s="3327"/>
      <c r="N40" s="3328"/>
      <c r="O40" s="1389" t="str">
        <f>C45</f>
        <v>——</v>
      </c>
      <c r="P40" s="2014"/>
      <c r="V40" s="2014"/>
    </row>
    <row r="41" spans="1:26" ht="16.5" thickBot="1">
      <c r="A41" s="312" t="s">
        <v>356</v>
      </c>
      <c r="B41" s="313"/>
      <c r="C41" s="314" t="s">
        <v>357</v>
      </c>
      <c r="D41" s="315" t="s">
        <v>358</v>
      </c>
      <c r="E41" s="315" t="s">
        <v>359</v>
      </c>
      <c r="F41" s="316" t="s">
        <v>360</v>
      </c>
      <c r="G41" s="311"/>
      <c r="H41" s="311"/>
      <c r="I41" s="311"/>
      <c r="J41" s="2016"/>
      <c r="K41" s="3326" t="str">
        <f t="shared" si="0"/>
        <v/>
      </c>
      <c r="L41" s="3327"/>
      <c r="M41" s="3327"/>
      <c r="N41" s="3328"/>
      <c r="O41" s="1389" t="str">
        <f>C46</f>
        <v>——</v>
      </c>
      <c r="P41" s="2014"/>
      <c r="V41" s="2014"/>
    </row>
    <row r="42" spans="1:26" ht="29.25">
      <c r="A42" s="3386" t="s">
        <v>2067</v>
      </c>
      <c r="B42" s="3387"/>
      <c r="C42" s="264" t="e">
        <f ca="1">C32</f>
        <v>#REF!</v>
      </c>
      <c r="D42" s="317" t="e">
        <f ca="1">C33</f>
        <v>#REF!</v>
      </c>
      <c r="E42" s="317" t="e">
        <f ca="1">C34</f>
        <v>#REF!</v>
      </c>
      <c r="F42" s="318" t="e">
        <f ca="1">C35</f>
        <v>#REF!</v>
      </c>
      <c r="G42" s="311"/>
      <c r="H42" s="311"/>
      <c r="I42" s="319"/>
      <c r="J42" s="2016"/>
      <c r="K42" s="1267" t="s">
        <v>361</v>
      </c>
      <c r="L42" s="2033" t="s">
        <v>362</v>
      </c>
      <c r="M42" s="1268" t="s">
        <v>363</v>
      </c>
      <c r="N42" s="2034" t="s">
        <v>364</v>
      </c>
      <c r="O42" s="2035" t="s">
        <v>365</v>
      </c>
      <c r="P42" s="2014"/>
      <c r="V42" s="2014"/>
    </row>
    <row r="43" spans="1:26" ht="18">
      <c r="A43" s="3396" t="s">
        <v>2730</v>
      </c>
      <c r="B43" s="3397"/>
      <c r="C43" s="264">
        <f>IF(H33="正常操作",G33+G34+G35,G34+G35)</f>
        <v>0</v>
      </c>
      <c r="D43" s="317" t="s">
        <v>43</v>
      </c>
      <c r="E43" s="317" t="s">
        <v>44</v>
      </c>
      <c r="F43" s="318" t="s">
        <v>44</v>
      </c>
      <c r="G43" s="2822" t="s">
        <v>952</v>
      </c>
      <c r="H43" s="311"/>
      <c r="I43" s="319"/>
      <c r="J43" s="2016"/>
      <c r="K43" s="1269" t="str">
        <f>C4</f>
        <v>成本逼近法1</v>
      </c>
      <c r="L43" s="1270" t="e">
        <f ca="1">IF(L42="估价结果/万元",C19,C20)</f>
        <v>#REF!</v>
      </c>
      <c r="M43" s="1271">
        <f>C18</f>
        <v>0.5</v>
      </c>
      <c r="N43" s="1272" t="e">
        <f ca="1">IF(N42="测算结果/万元",G19,G20)</f>
        <v>#REF!</v>
      </c>
      <c r="O43" s="1273" t="e">
        <f ca="1">IF(O42="最终结果/万元",C32,C33)</f>
        <v>#REF!</v>
      </c>
      <c r="P43" s="2014"/>
      <c r="V43" s="2014"/>
    </row>
    <row r="44" spans="1:26" ht="18.75" thickBot="1">
      <c r="A44" s="3386" t="str">
        <f>IF(OR(项目基本情况!E8="抵押价格",项目基本情况!E8="已注销及未注销"),"3.抵押价格","——")</f>
        <v>——</v>
      </c>
      <c r="B44" s="3387"/>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成本逼近法1</v>
      </c>
      <c r="L44" s="1275" t="e">
        <f ca="1">IF(L42="估价结果/万元",D19,D20)</f>
        <v>#REF!</v>
      </c>
      <c r="M44" s="1276">
        <f>D18</f>
        <v>0.5</v>
      </c>
      <c r="N44" s="1277"/>
      <c r="O44" s="1278"/>
      <c r="P44" s="2014"/>
      <c r="V44" s="2014"/>
    </row>
    <row r="45" spans="1:26" ht="15">
      <c r="A45" s="3391" t="str">
        <f>IF(项目基本情况!E8="已注销及未注销","4.抵押担保权已注销时的抵押价格",IF(项目基本情况!E8="已注销","3.抵押担保权已注销时的抵押价格","——"))</f>
        <v>——</v>
      </c>
      <c r="B45" s="3392"/>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88" t="str">
        <f>IF(项目基本情况!E9="抵押净值",IF(A45="——","4.抵押净值","5.抵押净值"),"——")</f>
        <v>——</v>
      </c>
      <c r="B46" s="338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4" t="s">
        <v>374</v>
      </c>
      <c r="B63" s="3355"/>
      <c r="C63" s="3356"/>
      <c r="D63" s="341" t="e">
        <f ca="1">ROUND(C42*F63,0)</f>
        <v>#REF!</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93" t="s">
        <v>378</v>
      </c>
      <c r="B64" s="3394"/>
      <c r="C64" s="3394"/>
      <c r="D64" s="3394"/>
      <c r="E64" s="3394"/>
      <c r="F64" s="3394"/>
      <c r="G64" s="3395"/>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90" t="s">
        <v>386</v>
      </c>
      <c r="B66" s="3361"/>
      <c r="C66" s="3361"/>
      <c r="D66" s="261" t="e">
        <f ca="1">IF(H66="情况1",0,IF(H66="情况2",D70,IF(H66="情况3",D71,IF(H66="情况4",D72))))</f>
        <v>#REF!</v>
      </c>
      <c r="E66" s="993" t="str">
        <f>IF(H66="情况4","(销售额-原购置价)×税（费）率","销售额×税（费）率")</f>
        <v>销售额×税（费）率</v>
      </c>
      <c r="F66" s="350">
        <f>IF(H66="情况1","免征",'数据-取费表'!B41)</f>
        <v>0</v>
      </c>
      <c r="G66" s="351" t="s">
        <v>387</v>
      </c>
      <c r="H66" s="191" t="s">
        <v>388</v>
      </c>
      <c r="I66" s="1284"/>
      <c r="J66" s="2020"/>
      <c r="K66" s="1287">
        <v>1</v>
      </c>
      <c r="L66" s="3330" t="s">
        <v>385</v>
      </c>
      <c r="M66" s="3331"/>
      <c r="N66" s="2423"/>
      <c r="O66" s="2424"/>
      <c r="P66" s="2425"/>
      <c r="Q66" s="2014"/>
      <c r="R66" s="2014"/>
      <c r="S66" s="2014"/>
      <c r="T66" s="2014"/>
      <c r="U66" s="2014"/>
      <c r="V66" s="2014"/>
    </row>
    <row r="67" spans="1:22" ht="25.5" customHeight="1">
      <c r="A67" s="352" t="s">
        <v>390</v>
      </c>
      <c r="B67" s="3373" t="s">
        <v>391</v>
      </c>
      <c r="C67" s="3373"/>
      <c r="D67" s="353">
        <v>0</v>
      </c>
      <c r="E67" s="41" t="s">
        <v>392</v>
      </c>
      <c r="F67" s="62" t="s">
        <v>21</v>
      </c>
      <c r="G67" s="3357"/>
      <c r="H67" s="311"/>
      <c r="I67" s="1288"/>
      <c r="J67" s="2021"/>
      <c r="K67" s="1962">
        <v>2</v>
      </c>
      <c r="L67" s="3329" t="s">
        <v>389</v>
      </c>
      <c r="M67" s="3329"/>
      <c r="N67" s="1321">
        <f>'数据-取费表'!B2</f>
        <v>44435</v>
      </c>
      <c r="O67" s="1321"/>
      <c r="P67" s="1321"/>
      <c r="Q67" s="2014"/>
      <c r="R67" s="2014"/>
      <c r="S67" s="2014"/>
      <c r="T67" s="2014"/>
      <c r="U67" s="2014"/>
      <c r="V67" s="2014"/>
    </row>
    <row r="68" spans="1:22" ht="25.5" customHeight="1">
      <c r="A68" s="354"/>
      <c r="B68" s="3373" t="s">
        <v>394</v>
      </c>
      <c r="C68" s="3373"/>
      <c r="D68" s="355"/>
      <c r="E68" s="77"/>
      <c r="F68" s="356"/>
      <c r="G68" s="3358"/>
      <c r="H68" s="311"/>
      <c r="I68" s="1288"/>
      <c r="J68" s="2021"/>
      <c r="K68" s="1962">
        <v>3</v>
      </c>
      <c r="L68" s="3329" t="s">
        <v>393</v>
      </c>
      <c r="M68" s="3329"/>
      <c r="N68" s="1289" t="e">
        <f ca="1">C42</f>
        <v>#REF!</v>
      </c>
      <c r="O68" s="1289"/>
      <c r="P68" s="1289"/>
      <c r="Q68" s="2014"/>
      <c r="R68" s="2014"/>
      <c r="S68" s="2014"/>
      <c r="T68" s="2014"/>
      <c r="U68" s="2014"/>
      <c r="V68" s="2014"/>
    </row>
    <row r="69" spans="1:22" ht="12" customHeight="1">
      <c r="A69" s="357"/>
      <c r="B69" s="3373" t="s">
        <v>395</v>
      </c>
      <c r="C69" s="3373"/>
      <c r="D69" s="358"/>
      <c r="E69" s="73"/>
      <c r="F69" s="356"/>
      <c r="G69" s="3359"/>
      <c r="H69" s="311"/>
      <c r="I69" s="1288"/>
      <c r="J69" s="2021"/>
      <c r="K69" s="1290">
        <v>4</v>
      </c>
      <c r="L69" s="3335" t="s">
        <v>2883</v>
      </c>
      <c r="M69" s="3336"/>
      <c r="N69" s="1291" t="str">
        <f>C44</f>
        <v>——</v>
      </c>
      <c r="O69" s="1291"/>
      <c r="P69" s="1291"/>
      <c r="Q69" s="2014"/>
      <c r="R69" s="2014"/>
      <c r="S69" s="2014"/>
      <c r="T69" s="2014"/>
      <c r="U69" s="2014"/>
      <c r="V69" s="2014"/>
    </row>
    <row r="70" spans="1:22" ht="24" customHeight="1">
      <c r="A70" s="359" t="s">
        <v>396</v>
      </c>
      <c r="B70" s="3373" t="s">
        <v>397</v>
      </c>
      <c r="C70" s="3373"/>
      <c r="D70" s="358" t="e">
        <f ca="1">ROUND(D63*'数据-取费表'!B41/(1+'数据-取费表'!C42),0)</f>
        <v>#REF!</v>
      </c>
      <c r="E70" s="17" t="s">
        <v>398</v>
      </c>
      <c r="F70" s="360">
        <f>'数据-取费表'!B41</f>
        <v>0</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72" t="s">
        <v>405</v>
      </c>
      <c r="C71" s="3384"/>
      <c r="D71" s="358" t="e">
        <f ca="1">ROUND(D63*'数据-取费表'!B41/(1+'数据-取费表'!C42),0)</f>
        <v>#REF!</v>
      </c>
      <c r="E71" s="17" t="s">
        <v>398</v>
      </c>
      <c r="F71" s="360">
        <f>'数据-取费表'!B41</f>
        <v>0</v>
      </c>
      <c r="G71" s="361"/>
      <c r="H71" s="311"/>
      <c r="I71" s="1288"/>
      <c r="J71" s="2021"/>
      <c r="K71" s="3012" t="s">
        <v>399</v>
      </c>
      <c r="L71" s="3337" t="s">
        <v>400</v>
      </c>
      <c r="M71" s="3337"/>
      <c r="N71" s="3012" t="s">
        <v>401</v>
      </c>
      <c r="O71" s="3012" t="s">
        <v>402</v>
      </c>
      <c r="P71" s="3012" t="s">
        <v>403</v>
      </c>
      <c r="Q71" s="2014"/>
      <c r="R71" s="2014"/>
      <c r="S71" s="2014"/>
      <c r="T71" s="2014"/>
      <c r="U71" s="2014"/>
      <c r="V71" s="2014"/>
    </row>
    <row r="72" spans="1:22" ht="12" customHeight="1">
      <c r="A72" s="359" t="s">
        <v>407</v>
      </c>
      <c r="B72" s="3372" t="s">
        <v>408</v>
      </c>
      <c r="C72" s="3384"/>
      <c r="D72" s="358" t="e">
        <f ca="1">C86</f>
        <v>#REF!</v>
      </c>
      <c r="E72" s="73" t="s">
        <v>409</v>
      </c>
      <c r="F72" s="360">
        <f>'数据-取费表'!B41</f>
        <v>0</v>
      </c>
      <c r="G72" s="361"/>
      <c r="H72" s="1294"/>
      <c r="I72" s="1288"/>
      <c r="J72" s="2021"/>
      <c r="K72" s="1962">
        <v>1</v>
      </c>
      <c r="L72" s="3334" t="s">
        <v>406</v>
      </c>
      <c r="M72" s="3334"/>
      <c r="N72" s="1292" t="e">
        <f ca="1">D66</f>
        <v>#REF!</v>
      </c>
      <c r="O72" s="1845" t="str">
        <f>E66</f>
        <v>销售额×税（费）率</v>
      </c>
      <c r="P72" s="1293">
        <f>F66</f>
        <v>0</v>
      </c>
      <c r="Q72" s="2014"/>
      <c r="R72" s="2014"/>
      <c r="S72" s="2014"/>
      <c r="T72" s="2014"/>
      <c r="U72" s="2014"/>
      <c r="V72" s="2014"/>
    </row>
    <row r="73" spans="1:22" ht="24" customHeight="1">
      <c r="A73" s="3360" t="s">
        <v>411</v>
      </c>
      <c r="B73" s="3361"/>
      <c r="C73" s="3361"/>
      <c r="D73" s="362">
        <f>IF(H73="个人住宅",0,ROUND(D63*I73,0))</f>
        <v>0</v>
      </c>
      <c r="E73" s="17" t="s">
        <v>412</v>
      </c>
      <c r="F73" s="360" t="str">
        <f>IF(H73="正常",I73,"免征")</f>
        <v>免征</v>
      </c>
      <c r="G73" s="361"/>
      <c r="H73" s="191" t="s">
        <v>2455</v>
      </c>
      <c r="I73" s="360">
        <f>'数据-取费表'!B49</f>
        <v>0</v>
      </c>
      <c r="J73" s="2021"/>
      <c r="K73" s="1962">
        <v>2</v>
      </c>
      <c r="L73" s="3334" t="s">
        <v>410</v>
      </c>
      <c r="M73" s="3334"/>
      <c r="N73" s="1292">
        <f t="shared" ref="N73:P74" si="1">D73</f>
        <v>0</v>
      </c>
      <c r="O73" s="1845" t="str">
        <f t="shared" si="1"/>
        <v>销售额×税（费）率</v>
      </c>
      <c r="P73" s="1293" t="str">
        <f t="shared" si="1"/>
        <v>免征</v>
      </c>
      <c r="Q73" s="2014"/>
      <c r="R73" s="2014"/>
      <c r="S73" s="2014"/>
      <c r="T73" s="2014"/>
      <c r="U73" s="2014"/>
      <c r="V73" s="2014"/>
    </row>
    <row r="74" spans="1:22" ht="24.75">
      <c r="A74" s="3360" t="s">
        <v>415</v>
      </c>
      <c r="B74" s="3361"/>
      <c r="C74" s="3361"/>
      <c r="D74" s="362" t="e">
        <f ca="1">IF(H74="个人住宅",D75,D76)</f>
        <v>#REF!</v>
      </c>
      <c r="E74" s="17" t="s">
        <v>416</v>
      </c>
      <c r="F74" s="360" t="str">
        <f>IF(H74="正常",F76,"免征")</f>
        <v>——</v>
      </c>
      <c r="G74" s="983" t="s">
        <v>417</v>
      </c>
      <c r="H74" s="363" t="s">
        <v>413</v>
      </c>
      <c r="I74" s="42"/>
      <c r="J74" s="2021"/>
      <c r="K74" s="1962">
        <v>3</v>
      </c>
      <c r="L74" s="3334" t="s">
        <v>414</v>
      </c>
      <c r="M74" s="3334"/>
      <c r="N74" s="1292" t="e">
        <f t="shared" ca="1" si="1"/>
        <v>#REF!</v>
      </c>
      <c r="O74" s="1845" t="str">
        <f t="shared" si="1"/>
        <v>增值额×税（费）率</v>
      </c>
      <c r="P74" s="1295" t="str">
        <f t="shared" si="1"/>
        <v>——</v>
      </c>
      <c r="Q74" s="2014"/>
      <c r="R74" s="2014"/>
      <c r="S74" s="2014"/>
      <c r="T74" s="2014"/>
      <c r="U74" s="2014"/>
      <c r="V74" s="2014"/>
    </row>
    <row r="75" spans="1:22" ht="24">
      <c r="A75" s="359" t="s">
        <v>418</v>
      </c>
      <c r="B75" s="3341" t="s">
        <v>419</v>
      </c>
      <c r="C75" s="3342"/>
      <c r="D75" s="364">
        <v>0</v>
      </c>
      <c r="E75" s="41" t="s">
        <v>420</v>
      </c>
      <c r="F75" s="365"/>
      <c r="G75" s="361"/>
      <c r="H75" s="42"/>
      <c r="I75" s="42"/>
      <c r="J75" s="2021"/>
      <c r="K75" s="3005">
        <f>IF(H77="非个人房产","",4)</f>
        <v>4</v>
      </c>
      <c r="L75" s="3334" t="str">
        <f>IF(H77="非个人房产","——","个人所得税")</f>
        <v>个人所得税</v>
      </c>
      <c r="M75" s="3334"/>
      <c r="N75" s="1296" t="e">
        <f ca="1">D77</f>
        <v>#REF!</v>
      </c>
      <c r="O75" s="1858" t="str">
        <f>E77</f>
        <v>销售额×税（费）率</v>
      </c>
      <c r="P75" s="1297">
        <f>F77</f>
        <v>0.01</v>
      </c>
      <c r="Q75" s="2014"/>
      <c r="R75" s="2014"/>
      <c r="S75" s="2014"/>
      <c r="T75" s="2014"/>
      <c r="U75" s="2014"/>
      <c r="V75" s="2014"/>
    </row>
    <row r="76" spans="1:22" ht="24.75">
      <c r="A76" s="359" t="s">
        <v>396</v>
      </c>
      <c r="B76" s="3341" t="s">
        <v>422</v>
      </c>
      <c r="C76" s="3383"/>
      <c r="D76" s="362" t="e">
        <f ca="1">IF(H76="转让取得",C99,C115)</f>
        <v>#REF!</v>
      </c>
      <c r="E76" s="17" t="s">
        <v>423</v>
      </c>
      <c r="F76" s="53" t="s">
        <v>21</v>
      </c>
      <c r="G76" s="361"/>
      <c r="H76" s="363" t="s">
        <v>424</v>
      </c>
      <c r="I76" s="42"/>
      <c r="J76" s="2021"/>
      <c r="K76" s="3005" t="str">
        <f>IF(项目基本情况!K6="上海银行",IF(K75="",4,K75+1),"")</f>
        <v/>
      </c>
      <c r="L76" s="3322" t="str">
        <f>IF(项目基本情况!K6="上海银行","其他处置费用","")</f>
        <v/>
      </c>
      <c r="M76" s="3323"/>
      <c r="N76" s="1292" t="str">
        <f>IF(项目基本情况!K6="上海银行",N89,"")</f>
        <v/>
      </c>
      <c r="O76" s="3324" t="str">
        <f>IF(项目基本情况!K6="上海银行","包含处置中涉及的律师、诉讼、拍卖、评估等费用","")</f>
        <v/>
      </c>
      <c r="P76" s="3325"/>
      <c r="Q76" s="2014"/>
      <c r="R76" s="2014"/>
      <c r="S76" s="2014"/>
      <c r="T76" s="2014"/>
      <c r="U76" s="2014"/>
      <c r="V76" s="2014"/>
    </row>
    <row r="77" spans="1:22" ht="26.25" thickBot="1">
      <c r="A77" s="3352" t="s">
        <v>426</v>
      </c>
      <c r="B77" s="3353"/>
      <c r="C77" s="3353"/>
      <c r="D77" s="366" t="e">
        <f ca="1">IF(H77="非个人房产","——",IF(H77="个人住宅",0,ROUND(D63*I77,0)))</f>
        <v>#REF!</v>
      </c>
      <c r="E77" s="367" t="str">
        <f>IF(H77="非个人房产","——","销售额×税（费）率")</f>
        <v>销售额×税（费）率</v>
      </c>
      <c r="F77" s="368">
        <f>IF(H77="非个人房产","——",IF(H77="个人住宅","免征",I77))</f>
        <v>0.01</v>
      </c>
      <c r="G77" s="984" t="s">
        <v>417</v>
      </c>
      <c r="H77" s="363" t="s">
        <v>2884</v>
      </c>
      <c r="I77" s="369">
        <v>0.01</v>
      </c>
      <c r="J77" s="2021"/>
      <c r="K77" s="3348">
        <f>IF(AND(K75="",K76=""),4,IF(项目基本情况!K6="上海银行",K76+1,K75+1))</f>
        <v>5</v>
      </c>
      <c r="L77" s="3334" t="s">
        <v>2885</v>
      </c>
      <c r="M77" s="3011" t="s">
        <v>421</v>
      </c>
      <c r="N77" s="1298"/>
      <c r="O77" s="1299">
        <f ca="1">SUMIF(N72:N76,"&lt;9e307")</f>
        <v>0</v>
      </c>
      <c r="P77" s="1300"/>
      <c r="Q77" s="3009" t="e">
        <f ca="1">O77/N69</f>
        <v>#VALUE!</v>
      </c>
      <c r="R77" s="2014"/>
      <c r="S77" s="2014"/>
      <c r="T77" s="2014"/>
      <c r="U77" s="2014"/>
      <c r="V77" s="2014"/>
    </row>
    <row r="78" spans="1:22" ht="12" customHeight="1">
      <c r="A78" s="1301"/>
      <c r="B78" s="311"/>
      <c r="C78" s="311"/>
      <c r="D78" s="311"/>
      <c r="E78" s="42"/>
      <c r="F78" s="42"/>
      <c r="G78" s="42"/>
      <c r="H78" s="1003"/>
      <c r="I78" s="311"/>
      <c r="J78" s="2021"/>
      <c r="K78" s="3348"/>
      <c r="L78" s="3334"/>
      <c r="M78" s="3011" t="s">
        <v>425</v>
      </c>
      <c r="N78" s="1298"/>
      <c r="O78" s="1299" t="str">
        <f ca="1">NUMBERSTRING(INT(O77*10000),2)&amp;"元整"</f>
        <v>零元整</v>
      </c>
      <c r="P78" s="1300"/>
      <c r="Q78" s="2014"/>
      <c r="R78" s="2014"/>
      <c r="S78" s="2014"/>
      <c r="T78" s="2014"/>
      <c r="U78" s="2014"/>
      <c r="V78" s="2014"/>
    </row>
    <row r="79" spans="1:22" ht="13.5" thickBot="1">
      <c r="A79" s="3338" t="s">
        <v>427</v>
      </c>
      <c r="B79" s="3338"/>
      <c r="C79" s="3338"/>
      <c r="D79" s="3338"/>
      <c r="E79" s="3338"/>
      <c r="F79" s="42"/>
      <c r="G79" s="42"/>
      <c r="H79" s="1003"/>
      <c r="I79" s="311"/>
      <c r="J79" s="2021"/>
      <c r="K79" s="3332">
        <f>K77+1</f>
        <v>6</v>
      </c>
      <c r="L79" s="3334" t="s">
        <v>2886</v>
      </c>
      <c r="M79" s="3011" t="s">
        <v>421</v>
      </c>
      <c r="N79" s="1298"/>
      <c r="O79" s="1299" t="e">
        <f ca="1">N69-O77</f>
        <v>#VALUE!</v>
      </c>
      <c r="P79" s="1300"/>
      <c r="Q79" s="2014"/>
      <c r="R79" s="2014"/>
      <c r="S79" s="2014"/>
      <c r="T79" s="2014"/>
      <c r="U79" s="2014"/>
      <c r="V79" s="2014"/>
    </row>
    <row r="80" spans="1:22" ht="12.75">
      <c r="A80" s="3339" t="s">
        <v>428</v>
      </c>
      <c r="B80" s="3340"/>
      <c r="C80" s="994"/>
      <c r="D80" s="994" t="s">
        <v>429</v>
      </c>
      <c r="E80" s="370" t="s">
        <v>430</v>
      </c>
      <c r="F80" s="42"/>
      <c r="G80" s="42"/>
      <c r="H80" s="1003"/>
      <c r="I80" s="311"/>
      <c r="J80" s="2014"/>
      <c r="K80" s="3333"/>
      <c r="L80" s="3334"/>
      <c r="M80" s="3011" t="s">
        <v>425</v>
      </c>
      <c r="N80" s="1298"/>
      <c r="O80" s="1299" t="e">
        <f ca="1">NUMBERSTRING(INT(O79*10000),2)&amp;"元整"</f>
        <v>#VALUE!</v>
      </c>
      <c r="P80" s="1300"/>
      <c r="Q80" s="2014"/>
      <c r="R80" s="2014"/>
      <c r="S80" s="2014"/>
      <c r="T80" s="2014"/>
      <c r="U80" s="2014"/>
      <c r="V80" s="2014"/>
    </row>
    <row r="81" spans="1:26" ht="13.5" thickBot="1">
      <c r="A81" s="381" t="s">
        <v>1823</v>
      </c>
      <c r="B81" s="371" t="s">
        <v>431</v>
      </c>
      <c r="C81" s="372" t="e">
        <f ca="1">ROUND((C82+C83)/(1+'数据-取费表'!C42),0)</f>
        <v>#REF!</v>
      </c>
      <c r="D81" s="373"/>
      <c r="E81" s="374"/>
      <c r="F81" s="42"/>
      <c r="G81" s="42"/>
      <c r="H81" s="1003"/>
      <c r="I81" s="311"/>
      <c r="J81" s="2014"/>
      <c r="K81" s="3005">
        <f>K79+1</f>
        <v>7</v>
      </c>
      <c r="L81" s="3346" t="s">
        <v>2887</v>
      </c>
      <c r="M81" s="3347"/>
      <c r="N81" s="1302"/>
      <c r="O81" s="1303" t="e">
        <f ca="1">ROUND(O79*10000/'数据-汇总表'!E3,0)</f>
        <v>#VALUE!</v>
      </c>
      <c r="P81" s="1304"/>
      <c r="Q81" s="2014"/>
      <c r="R81" s="2014"/>
      <c r="S81" s="2014"/>
      <c r="T81" s="2014"/>
      <c r="U81" s="2014"/>
      <c r="V81" s="2014"/>
    </row>
    <row r="82" spans="1:26" ht="13.5" thickTop="1">
      <c r="A82" s="375" t="s">
        <v>1824</v>
      </c>
      <c r="B82" s="376" t="s">
        <v>432</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21" t="s">
        <v>2874</v>
      </c>
      <c r="L83" s="3017" t="s">
        <v>2875</v>
      </c>
      <c r="M83" s="3007" t="e">
        <f>IF(N69&gt;10000,N69*0.5%,IF(AND(N69&gt;1000,N69&lt;=10000),N69*1%,IF(AND(N69&gt;100,N69&lt;=1000),N69*3%,IF(AND(N69&gt;10,N69&lt;=100),N69*5%,N69*8%))))</f>
        <v>#VALUE!</v>
      </c>
      <c r="N83" s="53" t="e">
        <f>ROUND(M83,1)</f>
        <v>#VALUE!</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321"/>
      <c r="L84" s="3017" t="s">
        <v>2876</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t="e">
        <f ca="1">C81-C84</f>
        <v>#REF!</v>
      </c>
      <c r="D85" s="378" t="s">
        <v>19</v>
      </c>
      <c r="E85" s="379"/>
      <c r="F85" s="42"/>
      <c r="G85" s="42"/>
      <c r="H85" s="1003"/>
      <c r="I85" s="311"/>
      <c r="J85" s="2014"/>
      <c r="K85" s="3321"/>
      <c r="L85" s="3017" t="s">
        <v>2878</v>
      </c>
      <c r="M85" s="3007"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t="e">
        <f ca="1">IF(C85&lt;=0,0,ROUND(C85*D86,0))</f>
        <v>#REF!</v>
      </c>
      <c r="D86" s="389">
        <f>'数据-取费表'!B41</f>
        <v>0</v>
      </c>
      <c r="E86" s="390"/>
      <c r="F86" s="42"/>
      <c r="G86" s="42"/>
      <c r="H86" s="1003"/>
      <c r="I86" s="311"/>
      <c r="J86" s="2014"/>
      <c r="K86" s="3321"/>
      <c r="L86" s="3017" t="s">
        <v>2879</v>
      </c>
      <c r="M86" s="3007"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21"/>
      <c r="L87" s="3017" t="s">
        <v>2881</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4"/>
      <c r="R87" s="2014"/>
      <c r="S87" s="2014"/>
      <c r="T87" s="2014"/>
      <c r="U87" s="2014"/>
      <c r="V87" s="2014"/>
      <c r="W87" s="292"/>
      <c r="X87" s="292"/>
      <c r="Y87" s="292"/>
      <c r="Z87" s="292"/>
    </row>
    <row r="88" spans="1:26" s="1310" customFormat="1" ht="15" thickBot="1">
      <c r="A88" s="3375" t="s">
        <v>437</v>
      </c>
      <c r="B88" s="3376"/>
      <c r="C88" s="3376"/>
      <c r="D88" s="3376"/>
      <c r="E88" s="3376"/>
      <c r="F88" s="3376"/>
      <c r="G88" s="3376"/>
      <c r="H88" s="3376"/>
      <c r="I88" s="1311"/>
      <c r="J88" s="2022"/>
      <c r="K88" s="3321"/>
      <c r="L88" s="3017" t="s">
        <v>2882</v>
      </c>
      <c r="M88" s="3007" t="e">
        <f>IF(N69&gt;10000,N69*0.5%,IF(AND(N69&gt;5000,N69&lt;=10000),N69*1%,IF(AND(N69&gt;1000,N69&lt;=5000),N69*2%,IF(AND(N69&gt;200,N69&lt;=1000),N69*3%,N69*5%))))</f>
        <v>#VALUE!</v>
      </c>
      <c r="N88" s="53" t="e">
        <f>ROUND(M88,1)</f>
        <v>#VALUE!</v>
      </c>
      <c r="O88" s="3010"/>
      <c r="P88" s="11"/>
      <c r="Q88" s="2019"/>
      <c r="R88" s="2019"/>
      <c r="S88" s="2019"/>
      <c r="T88" s="2019"/>
      <c r="U88" s="2019"/>
      <c r="V88" s="2019"/>
      <c r="W88" s="2023"/>
      <c r="X88" s="2023"/>
      <c r="Y88" s="2023"/>
      <c r="Z88" s="2023"/>
    </row>
    <row r="89" spans="1:26" s="1310" customFormat="1" ht="14.25">
      <c r="A89" s="3339" t="s">
        <v>428</v>
      </c>
      <c r="B89" s="3340"/>
      <c r="C89" s="994"/>
      <c r="D89" s="994" t="s">
        <v>429</v>
      </c>
      <c r="E89" s="391" t="s">
        <v>438</v>
      </c>
      <c r="F89" s="392"/>
      <c r="G89" s="392"/>
      <c r="H89" s="393"/>
      <c r="I89" s="1312"/>
      <c r="J89" s="2024"/>
      <c r="K89" s="3321"/>
      <c r="L89" s="3017" t="s">
        <v>27</v>
      </c>
      <c r="M89" s="3008"/>
      <c r="N89" s="53" t="e">
        <f>ROUND(SUM(N83:N88),0)</f>
        <v>#VALUE!</v>
      </c>
      <c r="O89" s="3018" t="e">
        <f>N89/N69</f>
        <v>#VALUE!</v>
      </c>
      <c r="P89" s="2019"/>
      <c r="Q89" s="2019"/>
      <c r="R89" s="2019"/>
      <c r="S89" s="2019"/>
      <c r="T89" s="2019"/>
      <c r="U89" s="2019"/>
      <c r="V89" s="2019"/>
      <c r="W89" s="2023"/>
      <c r="X89" s="2023"/>
      <c r="Y89" s="2023"/>
      <c r="Z89" s="2023"/>
    </row>
    <row r="90" spans="1:26" s="1310" customFormat="1" ht="14.25">
      <c r="A90" s="381" t="s">
        <v>1823</v>
      </c>
      <c r="B90" s="382" t="s">
        <v>439</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72" t="s">
        <v>447</v>
      </c>
      <c r="F94" s="3373"/>
      <c r="G94" s="3373"/>
      <c r="H94" s="337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0</v>
      </c>
      <c r="D95" s="402">
        <f>'数据-取费表'!B48+'数据-取费表'!B49</f>
        <v>0</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t="e">
        <f ca="1">ROUND(D63*D96/(1+'数据-取费表'!C42),0)</f>
        <v>#REF!</v>
      </c>
      <c r="D96" s="406">
        <f>'数据-取费表'!B43</f>
        <v>0</v>
      </c>
      <c r="E96" s="3362" t="s">
        <v>2428</v>
      </c>
      <c r="F96" s="3363"/>
      <c r="G96" s="3363"/>
      <c r="H96" s="336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75" t="s">
        <v>454</v>
      </c>
      <c r="B101" s="3376"/>
      <c r="C101" s="3376"/>
      <c r="D101" s="3376"/>
      <c r="E101" s="3376"/>
      <c r="F101" s="3376"/>
      <c r="G101" s="3376"/>
      <c r="H101" s="337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39" t="s">
        <v>428</v>
      </c>
      <c r="B102" s="3340"/>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0</v>
      </c>
      <c r="D107" s="406">
        <f>'数据-取费表'!B48+'数据-取费表'!B49</f>
        <v>0</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65" t="s">
        <v>462</v>
      </c>
      <c r="F109" s="3363"/>
      <c r="G109" s="336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61</v>
      </c>
      <c r="D110" s="406">
        <v>0.1</v>
      </c>
      <c r="E110" s="3365" t="s">
        <v>464</v>
      </c>
      <c r="F110" s="3363"/>
      <c r="G110" s="3363"/>
      <c r="H110" s="336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t="e">
        <f ca="1">ROUND(D63*D111/(1+'数据-取费表'!C42),0)</f>
        <v>#REF!</v>
      </c>
      <c r="D111" s="406">
        <f>'数据-取费表'!B43</f>
        <v>0</v>
      </c>
      <c r="E111" s="3362" t="s">
        <v>2428</v>
      </c>
      <c r="F111" s="3363"/>
      <c r="G111" s="3363"/>
      <c r="H111" s="336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65" t="s">
        <v>2453</v>
      </c>
      <c r="F112" s="3363"/>
      <c r="G112" s="3363"/>
      <c r="H112" s="336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t="e">
        <f ca="1">C36</f>
        <v>#VALUE!</v>
      </c>
      <c r="C2" s="2090"/>
      <c r="D2" s="2090"/>
      <c r="E2" s="2090"/>
      <c r="F2" s="2090"/>
      <c r="G2" s="2090"/>
      <c r="H2" s="2090"/>
      <c r="I2" s="2090"/>
      <c r="J2" s="2090"/>
      <c r="K2" s="2090"/>
    </row>
    <row r="3" spans="1:31" s="2027" customFormat="1" ht="18" customHeight="1">
      <c r="A3" s="2092" t="s">
        <v>1684</v>
      </c>
      <c r="B3" s="2093" t="e">
        <f ca="1">ROUND(B2*10000/IF(B1="",'数据-汇总表'!E3,INDIRECT("'数据-取费表'!K"&amp;$K$1)),0)</f>
        <v>#VALUE!</v>
      </c>
      <c r="C3" s="2090"/>
      <c r="D3" s="2090"/>
      <c r="E3" s="2090"/>
      <c r="F3" s="2090"/>
      <c r="G3" s="2090"/>
      <c r="H3" s="2090"/>
      <c r="I3" s="2090"/>
      <c r="J3" s="2090"/>
      <c r="K3" s="2090"/>
    </row>
    <row r="4" spans="1:31" s="2027" customFormat="1" ht="18" customHeight="1">
      <c r="A4" s="426" t="s">
        <v>468</v>
      </c>
      <c r="B4" s="427" t="e">
        <f ca="1">ROUND(B2*10000/IF(B1="",'数据-汇总表'!D3,INDIRECT("'数据-取费表'!R"&amp;$K$1)),0)</f>
        <v>#VALUE!</v>
      </c>
      <c r="C4" s="428"/>
      <c r="D4" s="422"/>
      <c r="E4" s="422"/>
      <c r="F4" s="422"/>
      <c r="G4" s="422"/>
      <c r="H4" s="422"/>
      <c r="I4" s="422"/>
      <c r="J4" s="422"/>
      <c r="K4" s="422"/>
    </row>
    <row r="5" spans="1:31" s="2027"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c r="D10" s="2981"/>
      <c r="E10" s="2981"/>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0</v>
      </c>
      <c r="D16" s="2800">
        <f ca="1">IF(B1="",'数据-汇总表'!E3,INDIRECT("'数据-取费表'!K"&amp;$K$1)+INDIRECT("'数据-取费表'!S"&amp;$K$1))</f>
        <v>10288.000000000002</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0</v>
      </c>
      <c r="G17" s="261" t="s">
        <v>486</v>
      </c>
      <c r="H17" s="2771"/>
      <c r="I17" s="2771"/>
      <c r="J17" s="2771"/>
      <c r="K17" s="279"/>
    </row>
    <row r="18" spans="1:14" s="2102" customFormat="1" ht="13.5" customHeight="1">
      <c r="A18" s="2806" t="s">
        <v>1853</v>
      </c>
      <c r="B18" s="2807" t="s">
        <v>487</v>
      </c>
      <c r="C18" s="2808">
        <f ca="1">SUM(C13:C17)</f>
        <v>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10288.000000000002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0"/>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10288.000000000002</v>
      </c>
      <c r="E22" s="53">
        <f>'数据-取费表'!B28</f>
        <v>0</v>
      </c>
      <c r="F22" s="2803"/>
      <c r="G22" s="26"/>
      <c r="H22" s="51"/>
      <c r="I22" s="51"/>
      <c r="J22" s="51"/>
      <c r="K22" s="2775"/>
    </row>
    <row r="23" spans="1:14" s="2102" customFormat="1" ht="13.5" customHeight="1">
      <c r="A23" s="2806" t="s">
        <v>1858</v>
      </c>
      <c r="B23" s="2987" t="s">
        <v>2834</v>
      </c>
      <c r="C23" s="2808">
        <f ca="1">ROUND((C18+C19+C20)*F23,0)</f>
        <v>0</v>
      </c>
      <c r="D23" s="468"/>
      <c r="E23" s="468"/>
      <c r="F23" s="2812">
        <f>'数据-取费表'!B37</f>
        <v>0</v>
      </c>
      <c r="G23" s="2768" t="s">
        <v>2431</v>
      </c>
      <c r="H23" s="2769"/>
      <c r="I23" s="2769"/>
      <c r="J23" s="2769"/>
      <c r="K23" s="2770"/>
      <c r="L23" s="2104"/>
      <c r="M23" s="2104"/>
      <c r="N23" s="2104"/>
    </row>
    <row r="24" spans="1:14" s="2102" customFormat="1" ht="13.5" customHeight="1">
      <c r="A24" s="2806" t="s">
        <v>1859</v>
      </c>
      <c r="B24" s="2987" t="s">
        <v>2837</v>
      </c>
      <c r="C24" s="2808">
        <f>ROUND(C6*F24,0)</f>
        <v>0</v>
      </c>
      <c r="D24" s="475"/>
      <c r="E24" s="473"/>
      <c r="F24" s="2812">
        <f>'数据-取费表'!B38</f>
        <v>0</v>
      </c>
      <c r="G24" s="2777" t="s">
        <v>499</v>
      </c>
      <c r="H24" s="2771"/>
      <c r="I24" s="2771"/>
      <c r="J24" s="2771"/>
      <c r="K24" s="279"/>
      <c r="L24" s="2104"/>
      <c r="M24" s="2104"/>
      <c r="N24" s="2104"/>
    </row>
    <row r="25" spans="1:14" s="2105" customFormat="1" ht="13.5" customHeight="1">
      <c r="A25" s="2806" t="s">
        <v>1860</v>
      </c>
      <c r="B25" s="2987" t="s">
        <v>2835</v>
      </c>
      <c r="C25" s="467">
        <f>ROUND(F25/(1+'数据-取费表'!C42),4)</f>
        <v>0</v>
      </c>
      <c r="D25" s="462" t="s">
        <v>2829</v>
      </c>
      <c r="E25" s="469"/>
      <c r="F25" s="2812">
        <f>IF(项目基本情况!B8="出让",0,'数据-取费表'!B48+'数据-取费表'!B49)</f>
        <v>0</v>
      </c>
      <c r="G25" s="2776" t="s">
        <v>2289</v>
      </c>
      <c r="H25" s="2769"/>
      <c r="I25" s="2769"/>
      <c r="J25" s="2769"/>
      <c r="K25" s="2770"/>
    </row>
    <row r="26" spans="1:14" s="2104" customFormat="1" ht="13.5" customHeight="1">
      <c r="A26" s="2806" t="s">
        <v>1861</v>
      </c>
      <c r="B26" s="2988" t="s">
        <v>2836</v>
      </c>
      <c r="C26" s="2813" t="e">
        <f ca="1">C28</f>
        <v>#VALUE!</v>
      </c>
      <c r="D26" s="467" t="e">
        <f ca="1">C27</f>
        <v>#VALUE!</v>
      </c>
      <c r="E26" s="469" t="s">
        <v>495</v>
      </c>
      <c r="F26" s="471" t="e">
        <f ca="1">'数据-取费表'!B40</f>
        <v>#VALUE!</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t="e">
        <f ca="1">ROUND(IF('数据-取费表'!B22&lt;=1,(1+C25)*F26*'数据-取费表'!B24,(1+C25)*(POWER((1+F26),'数据-取费表'!B24)-1)),4)</f>
        <v>#VALUE!</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2838</v>
      </c>
      <c r="C28" s="2816" t="e">
        <f ca="1">ROUND(IF('数据-取费表'!B22&lt;=1,(C18+C19+C20+C23+C24)*F26*'数据-取费表'!B24/2,(C18+C19+C20+C23+C24)*(POWER((1+F26),'数据-取费表'!B24/2)-1)),0)</f>
        <v>#VALUE!</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89">
        <f>'数据-取费表'!B41</f>
        <v>0</v>
      </c>
      <c r="G29" s="2777" t="s">
        <v>498</v>
      </c>
      <c r="H29" s="2769"/>
      <c r="I29" s="2769"/>
      <c r="J29" s="2769"/>
      <c r="K29" s="2770"/>
    </row>
    <row r="30" spans="1:14" s="2107" customFormat="1" ht="13.5" customHeight="1">
      <c r="A30" s="1621" t="s">
        <v>1863</v>
      </c>
      <c r="B30" s="2818" t="s">
        <v>500</v>
      </c>
      <c r="C30" s="2813" t="e">
        <f ca="1">C31</f>
        <v>#VALUE!</v>
      </c>
      <c r="D30" s="477" t="e">
        <f ca="1">C32</f>
        <v>#VALUE!</v>
      </c>
      <c r="E30" s="469" t="s">
        <v>495</v>
      </c>
      <c r="F30" s="471"/>
      <c r="G30" s="2776" t="s">
        <v>2973</v>
      </c>
      <c r="H30" s="2769"/>
      <c r="I30" s="2769"/>
      <c r="J30" s="2769"/>
      <c r="K30" s="2770"/>
    </row>
    <row r="31" spans="1:14" s="2106" customFormat="1" ht="13.5" customHeight="1">
      <c r="A31" s="803" t="s">
        <v>1856</v>
      </c>
      <c r="B31" s="2814"/>
      <c r="C31" s="450" t="e">
        <f ca="1">C18+C19+C20+C23+C24+C26+C29</f>
        <v>#VALUE!</v>
      </c>
      <c r="D31" s="472"/>
      <c r="E31" s="473"/>
      <c r="F31" s="474"/>
      <c r="G31" s="261"/>
      <c r="H31" s="2771"/>
      <c r="I31" s="2771"/>
      <c r="J31" s="2771"/>
      <c r="K31" s="279"/>
    </row>
    <row r="32" spans="1:14" s="2106" customFormat="1" ht="13.5" customHeight="1">
      <c r="A32" s="803" t="s">
        <v>1857</v>
      </c>
      <c r="B32" s="2814"/>
      <c r="C32" s="53" t="e">
        <f ca="1">ROUND(C25+D26,4)</f>
        <v>#VALUE!</v>
      </c>
      <c r="D32" s="472"/>
      <c r="E32" s="473"/>
      <c r="F32" s="474"/>
      <c r="G32" s="261"/>
      <c r="H32" s="2771"/>
      <c r="I32" s="2771"/>
      <c r="J32" s="2771"/>
      <c r="K32" s="279"/>
    </row>
    <row r="33" spans="1:11" s="2108" customFormat="1" ht="13.5" customHeight="1">
      <c r="A33" s="2986" t="s">
        <v>2833</v>
      </c>
      <c r="B33" s="2984" t="s">
        <v>2831</v>
      </c>
      <c r="C33" s="478" t="e">
        <f ca="1">C35</f>
        <v>#DIV/0!</v>
      </c>
      <c r="D33" s="467" t="e">
        <f ca="1">C34</f>
        <v>#DIV/0!</v>
      </c>
      <c r="E33" s="469" t="s">
        <v>495</v>
      </c>
      <c r="F33" s="479" t="e">
        <f ca="1">IF(B1="",'数据-取费表'!Q16,INDIRECT("'数据-取费表'!q"&amp;$K$1))</f>
        <v>#DIV/0!</v>
      </c>
      <c r="G33" s="2772"/>
      <c r="H33" s="2773"/>
      <c r="I33" s="2773"/>
      <c r="J33" s="2773"/>
      <c r="K33" s="2774"/>
    </row>
    <row r="34" spans="1:11" s="2109" customFormat="1" ht="13.5" customHeight="1">
      <c r="A34" s="375" t="s">
        <v>1856</v>
      </c>
      <c r="B34" s="2819" t="s">
        <v>501</v>
      </c>
      <c r="C34" s="472" t="e">
        <f ca="1">ROUND((1+C25)*F33,4)</f>
        <v>#DIV/0!</v>
      </c>
      <c r="D34" s="472"/>
      <c r="E34" s="473"/>
      <c r="F34" s="480"/>
      <c r="G34" s="261" t="s">
        <v>2290</v>
      </c>
      <c r="H34" s="2771"/>
      <c r="I34" s="2771"/>
      <c r="J34" s="2771"/>
      <c r="K34" s="279"/>
    </row>
    <row r="35" spans="1:11" s="2109" customFormat="1" ht="13.5" customHeight="1" thickBot="1">
      <c r="A35" s="1622" t="s">
        <v>1857</v>
      </c>
      <c r="B35" s="2985" t="s">
        <v>2839</v>
      </c>
      <c r="C35" s="1614" t="e">
        <f ca="1">ROUND((C18+C19+C20+C23+C24)*F33,0)</f>
        <v>#DIV/0!</v>
      </c>
      <c r="D35" s="1615"/>
      <c r="E35" s="2820"/>
      <c r="F35" s="1616"/>
      <c r="G35" s="2778"/>
      <c r="H35" s="2779"/>
      <c r="I35" s="2779"/>
      <c r="J35" s="2779"/>
      <c r="K35" s="2780"/>
    </row>
    <row r="36" spans="1:11" s="2071" customFormat="1" ht="13.5" customHeight="1" thickBot="1">
      <c r="A36" s="284" t="s">
        <v>1844</v>
      </c>
      <c r="B36" s="2782"/>
      <c r="C36" s="2821" t="e">
        <f ca="1">ROUND((C6-C30-C33)/(1+D30+D33),0)</f>
        <v>#VALUE!</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#VALUE!</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#VALUE!</v>
      </c>
      <c r="C3" s="2090"/>
      <c r="D3" s="2090"/>
      <c r="E3" s="2090"/>
      <c r="F3" s="2090"/>
      <c r="G3" s="2090"/>
      <c r="H3" s="2090"/>
      <c r="I3" s="2090"/>
      <c r="J3" s="2090"/>
      <c r="K3" s="2090"/>
    </row>
    <row r="4" spans="1:41" s="2027" customFormat="1" ht="18" customHeight="1">
      <c r="A4" s="426" t="s">
        <v>468</v>
      </c>
      <c r="B4" s="427" t="e">
        <f ca="1">ROUND(B2*10000/IF(B1="",'数据-汇总表'!D3,INDIRECT("'数据-取费表'!R"&amp;$K$1)),0)</f>
        <v>#VALUE!</v>
      </c>
      <c r="C4" s="2047"/>
      <c r="D4" s="2090"/>
      <c r="E4" s="2090"/>
      <c r="F4" s="2090"/>
      <c r="G4" s="2090"/>
      <c r="H4" s="2090"/>
      <c r="I4" s="2090"/>
      <c r="J4" s="2090"/>
      <c r="K4" s="2090"/>
    </row>
    <row r="5" spans="1:41" s="2027" customFormat="1" ht="18" customHeight="1" thickBot="1">
      <c r="A5" s="429"/>
      <c r="B5" s="430" t="e">
        <f ca="1">ROUND(B2/(IF(B1="",'数据-汇总表'!D3,INDIRECT("'数据-取费表'!R"&amp;$K$1))/666.67),0)</f>
        <v>#VALUE!</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0</v>
      </c>
      <c r="D16" s="451">
        <f ca="1">IF(B1="",'数据-汇总表'!E3,INDIRECT("'数据-取费表'!K"&amp;$K$1)+INDIRECT("'数据-取费表'!S"&amp;$K$1))</f>
        <v>10288.000000000002</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0</v>
      </c>
      <c r="G17" s="444" t="s">
        <v>502</v>
      </c>
      <c r="H17" s="457"/>
      <c r="I17" s="457"/>
      <c r="J17" s="457"/>
      <c r="K17" s="458"/>
    </row>
    <row r="18" spans="1:14" s="2105" customFormat="1" ht="13.5" customHeight="1">
      <c r="A18" s="1620" t="s">
        <v>1853</v>
      </c>
      <c r="B18" s="459" t="s">
        <v>487</v>
      </c>
      <c r="C18" s="460">
        <f ca="1">SUM(C13:C17)</f>
        <v>0</v>
      </c>
      <c r="D18" s="461"/>
      <c r="E18" s="462"/>
      <c r="F18" s="462"/>
      <c r="G18" s="1323" t="s">
        <v>2432</v>
      </c>
      <c r="H18" s="447"/>
      <c r="I18" s="447"/>
      <c r="J18" s="447"/>
      <c r="K18" s="448"/>
    </row>
    <row r="19" spans="1:14" s="2105" customFormat="1" ht="13.5" customHeight="1">
      <c r="A19" s="1620" t="s">
        <v>1854</v>
      </c>
      <c r="B19" s="459" t="s">
        <v>493</v>
      </c>
      <c r="C19" s="460">
        <f ca="1">ROUND(C18*F19,0)</f>
        <v>0</v>
      </c>
      <c r="D19" s="462"/>
      <c r="E19" s="462"/>
      <c r="F19" s="466">
        <f>'数据-取费表'!B37</f>
        <v>0</v>
      </c>
      <c r="G19" s="444" t="s">
        <v>503</v>
      </c>
      <c r="H19" s="447"/>
      <c r="I19" s="447"/>
      <c r="J19" s="447"/>
      <c r="K19" s="448"/>
      <c r="L19" s="2107"/>
      <c r="M19" s="2107"/>
      <c r="N19" s="2107"/>
    </row>
    <row r="20" spans="1:14" s="2105" customFormat="1" ht="13.5" customHeight="1">
      <c r="A20" s="1620" t="s">
        <v>1855</v>
      </c>
      <c r="B20" s="459" t="s">
        <v>504</v>
      </c>
      <c r="C20" s="2982">
        <f>F20</f>
        <v>0</v>
      </c>
      <c r="D20" s="469" t="s">
        <v>505</v>
      </c>
      <c r="E20" s="469"/>
      <c r="F20" s="486">
        <f>'数据-取费表'!B38</f>
        <v>0</v>
      </c>
      <c r="G20" s="1323" t="s">
        <v>506</v>
      </c>
      <c r="H20" s="447"/>
      <c r="I20" s="447"/>
      <c r="J20" s="447"/>
      <c r="K20" s="448"/>
      <c r="L20" s="2107"/>
      <c r="M20" s="2107"/>
      <c r="N20" s="2107"/>
    </row>
    <row r="21" spans="1:14" s="2107" customFormat="1" ht="13.5" customHeight="1">
      <c r="A21" s="1620" t="s">
        <v>1858</v>
      </c>
      <c r="B21" s="461" t="s">
        <v>494</v>
      </c>
      <c r="C21" s="470" t="e">
        <f ca="1">C22</f>
        <v>#VALUE!</v>
      </c>
      <c r="D21" s="467" t="e">
        <f ca="1">C23</f>
        <v>#VALUE!</v>
      </c>
      <c r="E21" s="469" t="s">
        <v>507</v>
      </c>
      <c r="F21" s="471" t="e">
        <f ca="1">'数据-取费表'!B40</f>
        <v>#VALUE!</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t="e">
        <f ca="1">ROUND(IF('数据-取费表'!B22&lt;=1,(C18+C19)*F21*'数据-取费表'!B20/2,(C18+C19)*(POWER((1+F21),'数据-取费表'!B20/2)-1)),0)</f>
        <v>#VALUE!</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t="e">
        <f ca="1">ROUND(IF('数据-取费表'!B22&lt;=1,F20*F21*'数据-取费表'!B20/2,F20*(POWER((1+F21),'数据-取费表'!B20/2)-1)),4)</f>
        <v>#VALUE!</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4" t="s">
        <v>2832</v>
      </c>
      <c r="C24" s="478" t="e">
        <f ca="1">C25</f>
        <v>#DIV/0!</v>
      </c>
      <c r="D24" s="489" t="e">
        <f ca="1">C26</f>
        <v>#DIV/0!</v>
      </c>
      <c r="E24" s="469" t="s">
        <v>507</v>
      </c>
      <c r="F24" s="479" t="e">
        <f ca="1">IF(B1="",'数据-取费表'!Q16,INDIRECT("'数据-取费表'!q"&amp;$K$1))</f>
        <v>#DIV/0!</v>
      </c>
      <c r="G24" s="444"/>
      <c r="H24" s="447"/>
      <c r="I24" s="447"/>
      <c r="J24" s="447"/>
      <c r="K24" s="448"/>
    </row>
    <row r="25" spans="1:14" s="2106" customFormat="1" ht="13.5" customHeight="1">
      <c r="A25" s="1619" t="s">
        <v>1848</v>
      </c>
      <c r="B25" s="1324" t="s">
        <v>2436</v>
      </c>
      <c r="C25" s="490" t="e">
        <f ca="1">ROUND((C18+C19)*F24,0)</f>
        <v>#DIV/0!</v>
      </c>
      <c r="D25" s="472"/>
      <c r="E25" s="473"/>
      <c r="F25" s="480"/>
      <c r="G25" s="1322" t="s">
        <v>2433</v>
      </c>
      <c r="H25" s="457"/>
      <c r="I25" s="457"/>
      <c r="J25" s="457"/>
      <c r="K25" s="458"/>
    </row>
    <row r="26" spans="1:14" s="2106" customFormat="1" ht="13.5" customHeight="1">
      <c r="A26" s="1619" t="s">
        <v>1849</v>
      </c>
      <c r="B26" s="1324" t="s">
        <v>509</v>
      </c>
      <c r="C26" s="491" t="e">
        <f ca="1">ROUND(F20*F24,4)</f>
        <v>#DIV/0!</v>
      </c>
      <c r="D26" s="472"/>
      <c r="E26" s="481"/>
      <c r="F26" s="480"/>
      <c r="G26" s="1322" t="s">
        <v>510</v>
      </c>
      <c r="H26" s="457"/>
      <c r="I26" s="457"/>
      <c r="J26" s="457"/>
      <c r="K26" s="458"/>
    </row>
    <row r="27" spans="1:14" s="2106" customFormat="1" ht="13.5" customHeight="1">
      <c r="A27" s="1623" t="s">
        <v>1867</v>
      </c>
      <c r="B27" s="459" t="s">
        <v>511</v>
      </c>
      <c r="C27" s="2983">
        <f>ROUND(F27/(1+'数据-取费表'!C42),4)</f>
        <v>0</v>
      </c>
      <c r="D27" s="462" t="s">
        <v>2830</v>
      </c>
      <c r="E27" s="462"/>
      <c r="F27" s="466">
        <f>'数据-取费表'!B41</f>
        <v>0</v>
      </c>
      <c r="G27" s="1946" t="s">
        <v>2291</v>
      </c>
      <c r="H27" s="447"/>
      <c r="I27" s="447"/>
      <c r="J27" s="447"/>
      <c r="K27" s="448"/>
    </row>
    <row r="28" spans="1:14" s="2107" customFormat="1" ht="13.5" customHeight="1">
      <c r="A28" s="1623" t="s">
        <v>1868</v>
      </c>
      <c r="B28" s="476" t="s">
        <v>512</v>
      </c>
      <c r="C28" s="470" t="e">
        <f ca="1">ROUND((C18+C19+C21+C24)/(1-C20-D21-D24-C27),0)</f>
        <v>#VALUE!</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#VALUE!</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#VALUE!</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33" t="str">
        <f>项目基本情况!B1</f>
        <v>出让国有建设用地使用权预评估</v>
      </c>
      <c r="C37" s="3233"/>
      <c r="D37" s="3233"/>
      <c r="E37" s="3233"/>
      <c r="F37" s="3233"/>
      <c r="G37" s="3233"/>
      <c r="H37" s="3233"/>
      <c r="I37" s="3233"/>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F25" sqref="F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20" t="s">
        <v>522</v>
      </c>
      <c r="D6" s="3421"/>
      <c r="E6" s="3420" t="s">
        <v>523</v>
      </c>
      <c r="F6" s="3421"/>
      <c r="G6" s="3420" t="s">
        <v>524</v>
      </c>
      <c r="H6" s="3421"/>
      <c r="I6" s="3420" t="s">
        <v>525</v>
      </c>
      <c r="J6" s="3421"/>
      <c r="K6" s="514" t="s">
        <v>526</v>
      </c>
      <c r="L6" s="2119"/>
      <c r="M6" s="2118"/>
      <c r="N6" s="2118"/>
      <c r="O6" s="2120"/>
      <c r="P6" s="3422" t="s">
        <v>527</v>
      </c>
      <c r="Q6" s="3423"/>
      <c r="R6" s="3408" t="s">
        <v>523</v>
      </c>
      <c r="S6" s="3409"/>
      <c r="T6" s="3408" t="s">
        <v>524</v>
      </c>
      <c r="U6" s="3409"/>
      <c r="V6" s="3428" t="s">
        <v>525</v>
      </c>
      <c r="W6" s="3428"/>
      <c r="X6" s="1554"/>
      <c r="Y6" s="3408" t="s">
        <v>527</v>
      </c>
      <c r="Z6" s="3409"/>
      <c r="AA6" s="3403" t="s">
        <v>523</v>
      </c>
      <c r="AB6" s="3404" t="s">
        <v>524</v>
      </c>
      <c r="AC6" s="3403" t="s">
        <v>525</v>
      </c>
    </row>
    <row r="7" spans="1:30" ht="20.25">
      <c r="A7" s="515"/>
      <c r="B7" s="516"/>
      <c r="C7" s="3431" t="s">
        <v>2931</v>
      </c>
      <c r="D7" s="3432"/>
      <c r="E7" s="3431" t="s">
        <v>2932</v>
      </c>
      <c r="F7" s="3432"/>
      <c r="G7" s="3431" t="s">
        <v>2933</v>
      </c>
      <c r="H7" s="3432"/>
      <c r="I7" s="3431" t="s">
        <v>2934</v>
      </c>
      <c r="J7" s="3432"/>
      <c r="K7" s="514"/>
      <c r="L7" s="2119"/>
      <c r="M7" s="2118"/>
      <c r="N7" s="2118"/>
      <c r="O7" s="2120"/>
      <c r="P7" s="3424"/>
      <c r="Q7" s="3425"/>
      <c r="R7" s="3410"/>
      <c r="S7" s="3411"/>
      <c r="T7" s="3410"/>
      <c r="U7" s="3411"/>
      <c r="V7" s="3428"/>
      <c r="W7" s="3428"/>
      <c r="X7" s="1554"/>
      <c r="Y7" s="3410"/>
      <c r="Z7" s="3411"/>
      <c r="AA7" s="3404"/>
      <c r="AB7" s="3404"/>
      <c r="AC7" s="3404"/>
    </row>
    <row r="8" spans="1:30" ht="21" thickBot="1">
      <c r="A8" s="515"/>
      <c r="B8" s="516"/>
      <c r="C8" s="3433" t="s">
        <v>2935</v>
      </c>
      <c r="D8" s="3434"/>
      <c r="E8" s="3433" t="s">
        <v>2935</v>
      </c>
      <c r="F8" s="3434"/>
      <c r="G8" s="3429" t="s">
        <v>2935</v>
      </c>
      <c r="H8" s="3430"/>
      <c r="I8" s="3429" t="s">
        <v>2935</v>
      </c>
      <c r="J8" s="3430"/>
      <c r="K8" s="514" t="s">
        <v>528</v>
      </c>
      <c r="L8" s="2119"/>
      <c r="M8" s="2118"/>
      <c r="N8" s="2118"/>
      <c r="O8" s="2120"/>
      <c r="P8" s="3426"/>
      <c r="Q8" s="3427"/>
      <c r="R8" s="3410"/>
      <c r="S8" s="3411"/>
      <c r="T8" s="3412"/>
      <c r="U8" s="3413"/>
      <c r="V8" s="3428"/>
      <c r="W8" s="3428"/>
      <c r="X8" s="1554"/>
      <c r="Y8" s="3412"/>
      <c r="Z8" s="3413"/>
      <c r="AA8" s="3405"/>
      <c r="AB8" s="3405"/>
      <c r="AC8" s="3405"/>
    </row>
    <row r="9" spans="1:30" s="1216" customFormat="1" ht="21" thickBot="1">
      <c r="A9" s="2868"/>
      <c r="B9" s="2875" t="s">
        <v>529</v>
      </c>
      <c r="C9" s="2867">
        <f>'数据-取费表'!B2</f>
        <v>44435</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06" t="s">
        <v>530</v>
      </c>
      <c r="Q9" s="3415"/>
      <c r="R9" s="1555" t="s">
        <v>8</v>
      </c>
      <c r="S9" s="1556">
        <f t="shared" ref="S9:S17" si="0">F9</f>
        <v>0</v>
      </c>
      <c r="T9" s="1555" t="s">
        <v>8</v>
      </c>
      <c r="U9" s="1556">
        <f t="shared" ref="U9:U17" si="1">H9</f>
        <v>0</v>
      </c>
      <c r="V9" s="1555" t="s">
        <v>8</v>
      </c>
      <c r="W9" s="1556">
        <f t="shared" ref="W9:W17" si="2">J9</f>
        <v>0</v>
      </c>
      <c r="X9" s="1557"/>
      <c r="Y9" s="3406" t="s">
        <v>530</v>
      </c>
      <c r="Z9" s="3407"/>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06" t="s">
        <v>533</v>
      </c>
      <c r="Q10" s="3407"/>
      <c r="R10" s="1555" t="s">
        <v>8</v>
      </c>
      <c r="S10" s="1556">
        <f t="shared" si="0"/>
        <v>0</v>
      </c>
      <c r="T10" s="1555" t="s">
        <v>8</v>
      </c>
      <c r="U10" s="1556">
        <f t="shared" si="1"/>
        <v>0</v>
      </c>
      <c r="V10" s="1555" t="s">
        <v>8</v>
      </c>
      <c r="W10" s="1556">
        <f t="shared" si="2"/>
        <v>0</v>
      </c>
      <c r="X10" s="1557"/>
      <c r="Y10" s="3406" t="s">
        <v>533</v>
      </c>
      <c r="Z10" s="3407"/>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14" t="s">
        <v>535</v>
      </c>
      <c r="Q11" s="1147" t="str">
        <f t="shared" ref="Q11:Q17" si="6">B11</f>
        <v>用途</v>
      </c>
      <c r="R11" s="1555" t="s">
        <v>8</v>
      </c>
      <c r="S11" s="1556">
        <f t="shared" si="0"/>
        <v>100</v>
      </c>
      <c r="T11" s="1555" t="s">
        <v>8</v>
      </c>
      <c r="U11" s="1556">
        <f t="shared" si="1"/>
        <v>100</v>
      </c>
      <c r="V11" s="1555" t="s">
        <v>8</v>
      </c>
      <c r="W11" s="1556">
        <f t="shared" si="2"/>
        <v>100</v>
      </c>
      <c r="X11" s="1557"/>
      <c r="Y11" s="3371"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126</v>
      </c>
      <c r="G12" s="530"/>
      <c r="H12" s="255">
        <f>ROUND(100/'数据-取费表'!G16,0)</f>
        <v>126</v>
      </c>
      <c r="I12" s="530"/>
      <c r="J12" s="255">
        <f>ROUND(100/'数据-取费表'!G16,0)</f>
        <v>126</v>
      </c>
      <c r="K12" s="531"/>
      <c r="L12" s="2124"/>
      <c r="M12" s="2118"/>
      <c r="N12" s="2118"/>
      <c r="O12" s="2125"/>
      <c r="P12" s="3414"/>
      <c r="Q12" s="1147" t="str">
        <f t="shared" si="6"/>
        <v>土地使用年限（年）</v>
      </c>
      <c r="R12" s="1555" t="s">
        <v>8</v>
      </c>
      <c r="S12" s="1556">
        <f t="shared" si="0"/>
        <v>126</v>
      </c>
      <c r="T12" s="1555" t="s">
        <v>8</v>
      </c>
      <c r="U12" s="1556">
        <f t="shared" si="1"/>
        <v>126</v>
      </c>
      <c r="V12" s="1555" t="s">
        <v>8</v>
      </c>
      <c r="W12" s="1556">
        <f t="shared" si="2"/>
        <v>126</v>
      </c>
      <c r="X12" s="1557"/>
      <c r="Y12" s="3371"/>
      <c r="Z12" s="1146" t="str">
        <f t="shared" si="7"/>
        <v>土地使用年限（年）</v>
      </c>
      <c r="AA12" s="1558">
        <f t="shared" si="3"/>
        <v>0.79365079365079361</v>
      </c>
      <c r="AB12" s="1558">
        <f t="shared" si="4"/>
        <v>0.79365079365079361</v>
      </c>
      <c r="AC12" s="1558">
        <f t="shared" si="5"/>
        <v>0.79365079365079361</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14"/>
      <c r="Q13" s="1147" t="str">
        <f t="shared" si="6"/>
        <v>容积率</v>
      </c>
      <c r="R13" s="1555" t="s">
        <v>8</v>
      </c>
      <c r="S13" s="1556" t="e">
        <f t="shared" si="0"/>
        <v>#N/A</v>
      </c>
      <c r="T13" s="1555" t="s">
        <v>8</v>
      </c>
      <c r="U13" s="1556" t="e">
        <f t="shared" si="1"/>
        <v>#N/A</v>
      </c>
      <c r="V13" s="1555" t="s">
        <v>8</v>
      </c>
      <c r="W13" s="1556" t="e">
        <f t="shared" si="2"/>
        <v>#N/A</v>
      </c>
      <c r="X13" s="1557"/>
      <c r="Y13" s="3371"/>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14"/>
      <c r="Q14" s="1147" t="str">
        <f t="shared" si="6"/>
        <v>配建</v>
      </c>
      <c r="R14" s="1555" t="s">
        <v>8</v>
      </c>
      <c r="S14" s="1556">
        <f t="shared" si="0"/>
        <v>100</v>
      </c>
      <c r="T14" s="1555" t="s">
        <v>8</v>
      </c>
      <c r="U14" s="1556">
        <f t="shared" si="1"/>
        <v>100</v>
      </c>
      <c r="V14" s="1555" t="s">
        <v>8</v>
      </c>
      <c r="W14" s="1556">
        <f t="shared" si="2"/>
        <v>100</v>
      </c>
      <c r="X14" s="1557"/>
      <c r="Y14" s="3371"/>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14"/>
      <c r="Q15" s="1147">
        <f t="shared" si="6"/>
        <v>111</v>
      </c>
      <c r="R15" s="1555" t="s">
        <v>8</v>
      </c>
      <c r="S15" s="1556">
        <f t="shared" si="0"/>
        <v>100</v>
      </c>
      <c r="T15" s="1555" t="s">
        <v>8</v>
      </c>
      <c r="U15" s="1556">
        <f t="shared" si="1"/>
        <v>100</v>
      </c>
      <c r="V15" s="1555" t="s">
        <v>8</v>
      </c>
      <c r="W15" s="1556">
        <f t="shared" si="2"/>
        <v>100</v>
      </c>
      <c r="X15" s="1557"/>
      <c r="Y15" s="3371"/>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4"/>
      <c r="Q16" s="1147">
        <f t="shared" si="6"/>
        <v>111</v>
      </c>
      <c r="R16" s="1555" t="s">
        <v>8</v>
      </c>
      <c r="S16" s="1556">
        <f t="shared" si="0"/>
        <v>100</v>
      </c>
      <c r="T16" s="1555" t="s">
        <v>8</v>
      </c>
      <c r="U16" s="1556">
        <f t="shared" si="1"/>
        <v>100</v>
      </c>
      <c r="V16" s="1555" t="s">
        <v>8</v>
      </c>
      <c r="W16" s="1556">
        <f t="shared" si="2"/>
        <v>100</v>
      </c>
      <c r="X16" s="1557"/>
      <c r="Y16" s="3371"/>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16" t="s">
        <v>540</v>
      </c>
      <c r="Q17" s="1559" t="str">
        <f t="shared" si="6"/>
        <v>居住社区成熟度</v>
      </c>
      <c r="R17" s="1560" t="s">
        <v>8</v>
      </c>
      <c r="S17" s="1561">
        <f t="shared" si="0"/>
        <v>100</v>
      </c>
      <c r="T17" s="1560" t="s">
        <v>8</v>
      </c>
      <c r="U17" s="1561">
        <f t="shared" si="1"/>
        <v>100</v>
      </c>
      <c r="V17" s="1560" t="s">
        <v>8</v>
      </c>
      <c r="W17" s="1561">
        <f t="shared" si="2"/>
        <v>100</v>
      </c>
      <c r="X17" s="1554"/>
      <c r="Y17" s="3416"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17"/>
      <c r="Q18" s="1559"/>
      <c r="R18" s="1560"/>
      <c r="S18" s="1561"/>
      <c r="T18" s="1560"/>
      <c r="U18" s="1561"/>
      <c r="V18" s="1560"/>
      <c r="W18" s="1561"/>
      <c r="X18" s="1554"/>
      <c r="Y18" s="3417"/>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17"/>
      <c r="Q19" s="1559" t="str">
        <f>B19</f>
        <v>商业繁华度</v>
      </c>
      <c r="R19" s="1560" t="s">
        <v>8</v>
      </c>
      <c r="S19" s="1561">
        <f>F19</f>
        <v>100</v>
      </c>
      <c r="T19" s="1560" t="s">
        <v>8</v>
      </c>
      <c r="U19" s="1561">
        <f>H19</f>
        <v>100</v>
      </c>
      <c r="V19" s="1560" t="s">
        <v>8</v>
      </c>
      <c r="W19" s="1561">
        <f>J19</f>
        <v>100</v>
      </c>
      <c r="X19" s="1554"/>
      <c r="Y19" s="3417"/>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17"/>
      <c r="Q20" s="1559"/>
      <c r="R20" s="1560"/>
      <c r="S20" s="1561"/>
      <c r="T20" s="1560"/>
      <c r="U20" s="1561"/>
      <c r="V20" s="1560"/>
      <c r="W20" s="1561"/>
      <c r="X20" s="1554"/>
      <c r="Y20" s="3417"/>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17"/>
      <c r="Q21" s="1559" t="str">
        <f>B21</f>
        <v>办公集聚程度</v>
      </c>
      <c r="R21" s="1560" t="s">
        <v>8</v>
      </c>
      <c r="S21" s="1561">
        <f>F21</f>
        <v>100</v>
      </c>
      <c r="T21" s="1560" t="s">
        <v>8</v>
      </c>
      <c r="U21" s="1561">
        <f>H21</f>
        <v>100</v>
      </c>
      <c r="V21" s="1560" t="s">
        <v>8</v>
      </c>
      <c r="W21" s="1561">
        <f>J21</f>
        <v>100</v>
      </c>
      <c r="X21" s="1554"/>
      <c r="Y21" s="3417"/>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17"/>
      <c r="Q22" s="1559"/>
      <c r="R22" s="1560"/>
      <c r="S22" s="1561"/>
      <c r="T22" s="1560"/>
      <c r="U22" s="1561"/>
      <c r="V22" s="1560"/>
      <c r="W22" s="1561"/>
      <c r="X22" s="1554"/>
      <c r="Y22" s="341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17"/>
      <c r="Q23" s="1559" t="str">
        <f>B23</f>
        <v>交通便捷度</v>
      </c>
      <c r="R23" s="1560" t="s">
        <v>8</v>
      </c>
      <c r="S23" s="1561">
        <f>F23</f>
        <v>100</v>
      </c>
      <c r="T23" s="1560" t="s">
        <v>8</v>
      </c>
      <c r="U23" s="1561">
        <f>H23</f>
        <v>100</v>
      </c>
      <c r="V23" s="1560" t="s">
        <v>8</v>
      </c>
      <c r="W23" s="1561">
        <f>J23</f>
        <v>100</v>
      </c>
      <c r="X23" s="1554"/>
      <c r="Y23" s="3417"/>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17"/>
      <c r="Q24" s="1559"/>
      <c r="R24" s="1560"/>
      <c r="S24" s="1561"/>
      <c r="T24" s="1560"/>
      <c r="U24" s="1561"/>
      <c r="V24" s="1560"/>
      <c r="W24" s="1561"/>
      <c r="X24" s="1554"/>
      <c r="Y24" s="341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17"/>
      <c r="Q25" s="1559" t="str">
        <f t="shared" ref="Q25:Q39" si="8">B25</f>
        <v>区域土地利用方向</v>
      </c>
      <c r="R25" s="1560" t="s">
        <v>8</v>
      </c>
      <c r="S25" s="1561">
        <f>F25</f>
        <v>100</v>
      </c>
      <c r="T25" s="1560" t="s">
        <v>8</v>
      </c>
      <c r="U25" s="1561">
        <f>H25</f>
        <v>100</v>
      </c>
      <c r="V25" s="1560" t="s">
        <v>8</v>
      </c>
      <c r="W25" s="1561">
        <f>J25</f>
        <v>100</v>
      </c>
      <c r="X25" s="1554"/>
      <c r="Y25" s="3417"/>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17"/>
      <c r="Q26" s="1559"/>
      <c r="R26" s="1560"/>
      <c r="S26" s="1561"/>
      <c r="T26" s="1560"/>
      <c r="U26" s="1561"/>
      <c r="V26" s="1560"/>
      <c r="W26" s="1561"/>
      <c r="X26" s="1554"/>
      <c r="Y26" s="341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17"/>
      <c r="Q27" s="1559" t="str">
        <f t="shared" si="8"/>
        <v>自然及人文环境状况</v>
      </c>
      <c r="R27" s="1560" t="s">
        <v>8</v>
      </c>
      <c r="S27" s="1561">
        <f>F27</f>
        <v>100</v>
      </c>
      <c r="T27" s="1560" t="s">
        <v>8</v>
      </c>
      <c r="U27" s="1561">
        <f>H27</f>
        <v>100</v>
      </c>
      <c r="V27" s="1560" t="s">
        <v>8</v>
      </c>
      <c r="W27" s="1561">
        <f>J27</f>
        <v>100</v>
      </c>
      <c r="X27" s="1554"/>
      <c r="Y27" s="3417"/>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17"/>
      <c r="Q28" s="1559"/>
      <c r="R28" s="1560"/>
      <c r="S28" s="1561"/>
      <c r="T28" s="1560"/>
      <c r="U28" s="1561"/>
      <c r="V28" s="1560"/>
      <c r="W28" s="1561"/>
      <c r="X28" s="1554"/>
      <c r="Y28" s="3417"/>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17"/>
      <c r="Q29" s="1147" t="str">
        <f t="shared" si="8"/>
        <v>公共配套设施</v>
      </c>
      <c r="R29" s="1555" t="s">
        <v>8</v>
      </c>
      <c r="S29" s="1556">
        <f>F29</f>
        <v>100</v>
      </c>
      <c r="T29" s="1555" t="s">
        <v>8</v>
      </c>
      <c r="U29" s="1556">
        <f>H29</f>
        <v>100</v>
      </c>
      <c r="V29" s="1555" t="s">
        <v>8</v>
      </c>
      <c r="W29" s="1556">
        <f>J29</f>
        <v>100</v>
      </c>
      <c r="X29" s="1557"/>
      <c r="Y29" s="3417"/>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17"/>
      <c r="Q30" s="1147"/>
      <c r="R30" s="1555"/>
      <c r="S30" s="1556"/>
      <c r="T30" s="1555"/>
      <c r="U30" s="1556"/>
      <c r="V30" s="1555"/>
      <c r="W30" s="1556"/>
      <c r="X30" s="1557"/>
      <c r="Y30" s="3417"/>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17"/>
      <c r="Q31" s="2543" t="str">
        <f t="shared" ref="Q31" si="9">B31</f>
        <v>基础设施水平</v>
      </c>
      <c r="R31" s="1555" t="s">
        <v>8</v>
      </c>
      <c r="S31" s="1556">
        <f>F31</f>
        <v>100</v>
      </c>
      <c r="T31" s="1555" t="s">
        <v>8</v>
      </c>
      <c r="U31" s="1556">
        <f>H31</f>
        <v>100</v>
      </c>
      <c r="V31" s="1555" t="s">
        <v>8</v>
      </c>
      <c r="W31" s="1556">
        <f>J31</f>
        <v>100</v>
      </c>
      <c r="X31" s="1557"/>
      <c r="Y31" s="3417"/>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17"/>
      <c r="Q32" s="2543"/>
      <c r="R32" s="1555"/>
      <c r="S32" s="1556"/>
      <c r="T32" s="1555"/>
      <c r="U32" s="1556"/>
      <c r="V32" s="1555"/>
      <c r="W32" s="1556"/>
      <c r="X32" s="1557"/>
      <c r="Y32" s="3417"/>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1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7"/>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17"/>
      <c r="Q34" s="1559" t="str">
        <f t="shared" si="8"/>
        <v>毗邻道路的类型与等级</v>
      </c>
      <c r="R34" s="1560" t="s">
        <v>8</v>
      </c>
      <c r="S34" s="1561">
        <f t="shared" si="10"/>
        <v>100</v>
      </c>
      <c r="T34" s="1560" t="s">
        <v>8</v>
      </c>
      <c r="U34" s="1561">
        <f t="shared" si="11"/>
        <v>100</v>
      </c>
      <c r="V34" s="1560" t="s">
        <v>8</v>
      </c>
      <c r="W34" s="1561">
        <f t="shared" si="12"/>
        <v>100</v>
      </c>
      <c r="X34" s="1554"/>
      <c r="Y34" s="3417"/>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17"/>
      <c r="Q35" s="1559"/>
      <c r="R35" s="1560"/>
      <c r="S35" s="1561"/>
      <c r="T35" s="1560"/>
      <c r="U35" s="1561"/>
      <c r="V35" s="1560"/>
      <c r="W35" s="1561"/>
      <c r="X35" s="1554"/>
      <c r="Y35" s="3417"/>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7"/>
      <c r="Q36" s="1559" t="str">
        <f t="shared" si="8"/>
        <v>土地级别</v>
      </c>
      <c r="R36" s="1560" t="s">
        <v>8</v>
      </c>
      <c r="S36" s="1561">
        <f t="shared" si="10"/>
        <v>100</v>
      </c>
      <c r="T36" s="1560" t="s">
        <v>8</v>
      </c>
      <c r="U36" s="1561">
        <f t="shared" si="11"/>
        <v>100</v>
      </c>
      <c r="V36" s="1560" t="s">
        <v>8</v>
      </c>
      <c r="W36" s="1561">
        <f t="shared" si="12"/>
        <v>100</v>
      </c>
      <c r="X36" s="1554"/>
      <c r="Y36" s="341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7"/>
      <c r="Q37" s="1559">
        <f t="shared" si="8"/>
        <v>111</v>
      </c>
      <c r="R37" s="1560" t="s">
        <v>8</v>
      </c>
      <c r="S37" s="1561">
        <f t="shared" si="10"/>
        <v>100</v>
      </c>
      <c r="T37" s="1560" t="s">
        <v>8</v>
      </c>
      <c r="U37" s="1561">
        <f t="shared" si="11"/>
        <v>100</v>
      </c>
      <c r="V37" s="1560" t="s">
        <v>8</v>
      </c>
      <c r="W37" s="1561">
        <f t="shared" si="12"/>
        <v>100</v>
      </c>
      <c r="X37" s="1554"/>
      <c r="Y37" s="341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8" t="s">
        <v>550</v>
      </c>
      <c r="Q38" s="1559">
        <f t="shared" si="8"/>
        <v>111</v>
      </c>
      <c r="R38" s="1560" t="s">
        <v>8</v>
      </c>
      <c r="S38" s="1561">
        <f t="shared" si="10"/>
        <v>100</v>
      </c>
      <c r="T38" s="1560" t="s">
        <v>8</v>
      </c>
      <c r="U38" s="1561">
        <f t="shared" si="11"/>
        <v>100</v>
      </c>
      <c r="V38" s="1560" t="s">
        <v>8</v>
      </c>
      <c r="W38" s="1561">
        <f t="shared" si="12"/>
        <v>100</v>
      </c>
      <c r="X38" s="1554"/>
      <c r="Y38" s="3419"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9"/>
      <c r="Q39" s="1559">
        <f t="shared" si="8"/>
        <v>111</v>
      </c>
      <c r="R39" s="1564" t="s">
        <v>8</v>
      </c>
      <c r="S39" s="1565">
        <f t="shared" si="10"/>
        <v>100</v>
      </c>
      <c r="T39" s="1564" t="s">
        <v>8</v>
      </c>
      <c r="U39" s="1565">
        <f t="shared" si="11"/>
        <v>100</v>
      </c>
      <c r="V39" s="1564" t="s">
        <v>8</v>
      </c>
      <c r="W39" s="1565">
        <f t="shared" si="12"/>
        <v>100</v>
      </c>
      <c r="X39" s="1566"/>
      <c r="Y39" s="3419"/>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19"/>
      <c r="Q40" s="1559" t="str">
        <f>B40</f>
        <v>宗地面积</v>
      </c>
      <c r="R40" s="1560" t="s">
        <v>8</v>
      </c>
      <c r="S40" s="1561" t="e">
        <f t="shared" si="10"/>
        <v>#N/A</v>
      </c>
      <c r="T40" s="1560" t="s">
        <v>8</v>
      </c>
      <c r="U40" s="1561" t="e">
        <f t="shared" si="11"/>
        <v>#N/A</v>
      </c>
      <c r="V40" s="1560" t="s">
        <v>8</v>
      </c>
      <c r="W40" s="1561" t="e">
        <f t="shared" si="12"/>
        <v>#N/A</v>
      </c>
      <c r="X40" s="1554"/>
      <c r="Y40" s="3419"/>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19"/>
      <c r="Q41" s="1559" t="str">
        <f t="shared" ref="Q41:Q47" si="14">B41</f>
        <v>宗地形状</v>
      </c>
      <c r="R41" s="1560" t="s">
        <v>8</v>
      </c>
      <c r="S41" s="1561">
        <f t="shared" si="10"/>
        <v>100</v>
      </c>
      <c r="T41" s="1560" t="s">
        <v>8</v>
      </c>
      <c r="U41" s="1561">
        <f t="shared" si="11"/>
        <v>100</v>
      </c>
      <c r="V41" s="1560" t="s">
        <v>8</v>
      </c>
      <c r="W41" s="1561">
        <f t="shared" si="12"/>
        <v>100</v>
      </c>
      <c r="X41" s="1554"/>
      <c r="Y41" s="3419"/>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9"/>
      <c r="Q42" s="1559" t="str">
        <f t="shared" si="14"/>
        <v>临街宽度及深度</v>
      </c>
      <c r="R42" s="1560" t="s">
        <v>8</v>
      </c>
      <c r="S42" s="1561">
        <f t="shared" si="10"/>
        <v>100</v>
      </c>
      <c r="T42" s="1560" t="s">
        <v>8</v>
      </c>
      <c r="U42" s="1561">
        <f t="shared" si="11"/>
        <v>100</v>
      </c>
      <c r="V42" s="1560" t="s">
        <v>8</v>
      </c>
      <c r="W42" s="1561">
        <f t="shared" si="12"/>
        <v>100</v>
      </c>
      <c r="X42" s="1554"/>
      <c r="Y42" s="3419"/>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19"/>
      <c r="Q43" s="1559" t="str">
        <f t="shared" si="14"/>
        <v>宗地开发程度</v>
      </c>
      <c r="R43" s="1555" t="s">
        <v>8</v>
      </c>
      <c r="S43" s="1556">
        <f t="shared" si="10"/>
        <v>100</v>
      </c>
      <c r="T43" s="1555" t="s">
        <v>8</v>
      </c>
      <c r="U43" s="1556">
        <f t="shared" si="11"/>
        <v>100</v>
      </c>
      <c r="V43" s="1555" t="s">
        <v>8</v>
      </c>
      <c r="W43" s="1556">
        <f t="shared" si="12"/>
        <v>100</v>
      </c>
      <c r="X43" s="1557"/>
      <c r="Y43" s="3419"/>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19" t="s">
        <v>550</v>
      </c>
      <c r="Q44" s="1559" t="str">
        <f t="shared" si="14"/>
        <v>工程地质条件</v>
      </c>
      <c r="R44" s="1560" t="s">
        <v>8</v>
      </c>
      <c r="S44" s="1561">
        <f t="shared" si="10"/>
        <v>100</v>
      </c>
      <c r="T44" s="1560" t="s">
        <v>8</v>
      </c>
      <c r="U44" s="1561">
        <f t="shared" si="11"/>
        <v>100</v>
      </c>
      <c r="V44" s="1560" t="s">
        <v>8</v>
      </c>
      <c r="W44" s="1561">
        <f t="shared" si="12"/>
        <v>100</v>
      </c>
      <c r="X44" s="1554"/>
      <c r="Y44" s="341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9"/>
      <c r="Q45" s="1559">
        <f t="shared" si="14"/>
        <v>111</v>
      </c>
      <c r="R45" s="1560" t="s">
        <v>8</v>
      </c>
      <c r="S45" s="1561">
        <f t="shared" si="10"/>
        <v>100</v>
      </c>
      <c r="T45" s="1560" t="s">
        <v>8</v>
      </c>
      <c r="U45" s="1561">
        <f t="shared" si="11"/>
        <v>100</v>
      </c>
      <c r="V45" s="1560" t="s">
        <v>8</v>
      </c>
      <c r="W45" s="1561">
        <f t="shared" si="12"/>
        <v>100</v>
      </c>
      <c r="X45" s="1554"/>
      <c r="Y45" s="341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9"/>
      <c r="Q46" s="1559">
        <f t="shared" si="14"/>
        <v>111</v>
      </c>
      <c r="R46" s="1560" t="s">
        <v>8</v>
      </c>
      <c r="S46" s="1561">
        <f t="shared" si="10"/>
        <v>100</v>
      </c>
      <c r="T46" s="1560" t="s">
        <v>8</v>
      </c>
      <c r="U46" s="1561">
        <f t="shared" si="11"/>
        <v>100</v>
      </c>
      <c r="V46" s="1560" t="s">
        <v>8</v>
      </c>
      <c r="W46" s="1561">
        <f t="shared" si="12"/>
        <v>100</v>
      </c>
      <c r="X46" s="1554"/>
      <c r="Y46" s="341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9"/>
      <c r="Q47" s="1559">
        <f t="shared" si="14"/>
        <v>111</v>
      </c>
      <c r="R47" s="1564" t="s">
        <v>8</v>
      </c>
      <c r="S47" s="1565">
        <f t="shared" si="10"/>
        <v>100</v>
      </c>
      <c r="T47" s="1564" t="s">
        <v>8</v>
      </c>
      <c r="U47" s="1565">
        <f t="shared" si="11"/>
        <v>100</v>
      </c>
      <c r="V47" s="1564" t="s">
        <v>8</v>
      </c>
      <c r="W47" s="1565">
        <f t="shared" si="12"/>
        <v>100</v>
      </c>
      <c r="X47" s="1566"/>
      <c r="Y47" s="3419"/>
      <c r="Z47" s="1567">
        <f t="shared" si="13"/>
        <v>111</v>
      </c>
      <c r="AA47" s="1563">
        <f t="shared" si="3"/>
        <v>1</v>
      </c>
      <c r="AB47" s="1563">
        <f t="shared" si="4"/>
        <v>1</v>
      </c>
      <c r="AC47" s="1563">
        <f t="shared" si="5"/>
        <v>1</v>
      </c>
    </row>
    <row r="48" spans="1:29" ht="20.25">
      <c r="A48" s="607" t="s">
        <v>556</v>
      </c>
      <c r="B48" s="608" t="s">
        <v>2936</v>
      </c>
      <c r="C48" s="609" t="s">
        <v>1</v>
      </c>
      <c r="D48" s="610"/>
      <c r="E48" s="611"/>
      <c r="F48" s="612"/>
      <c r="G48" s="613"/>
      <c r="H48" s="614"/>
      <c r="I48" s="611"/>
      <c r="J48" s="614"/>
      <c r="K48" s="1336"/>
      <c r="L48" s="2130"/>
      <c r="M48" s="2118"/>
      <c r="N48" s="2118"/>
      <c r="O48" s="2131"/>
      <c r="P48" s="3414" t="str">
        <f>A48</f>
        <v>成交单价</v>
      </c>
      <c r="Q48" s="3414"/>
      <c r="R48" s="3428">
        <f>E48</f>
        <v>0</v>
      </c>
      <c r="S48" s="3428"/>
      <c r="T48" s="3428">
        <f>G48</f>
        <v>0</v>
      </c>
      <c r="U48" s="3428"/>
      <c r="V48" s="3428">
        <f>I48</f>
        <v>0</v>
      </c>
      <c r="W48" s="3428"/>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14" t="str">
        <f>A49</f>
        <v>比较价格（元/平方米）</v>
      </c>
      <c r="Q49" s="3414"/>
      <c r="R49" s="3438" t="e">
        <f>ROUND(PRODUCT(R48,AA9:AA47),0)</f>
        <v>#DIV/0!</v>
      </c>
      <c r="S49" s="3438"/>
      <c r="T49" s="3438" t="e">
        <f>ROUND(PRODUCT(T48,AB9:AB47),0)</f>
        <v>#DIV/0!</v>
      </c>
      <c r="U49" s="3438"/>
      <c r="V49" s="3438" t="e">
        <f>ROUND(PRODUCT(V48,AC9:AC47),0)</f>
        <v>#DIV/0!</v>
      </c>
      <c r="W49" s="3438"/>
      <c r="X49" s="1546"/>
      <c r="Y49" s="1546"/>
      <c r="Z49" s="1546"/>
      <c r="AA49" s="1546"/>
      <c r="AB49" s="1546"/>
      <c r="AC49" s="1546"/>
    </row>
    <row r="50" spans="1:29" ht="21" thickBot="1">
      <c r="A50" s="621" t="s">
        <v>2937</v>
      </c>
      <c r="B50" s="622"/>
      <c r="C50" s="623" t="e">
        <f>R50</f>
        <v>#DIV/0!</v>
      </c>
      <c r="D50" s="623"/>
      <c r="E50" s="623"/>
      <c r="F50" s="623"/>
      <c r="G50" s="623"/>
      <c r="H50" s="623"/>
      <c r="I50" s="623"/>
      <c r="J50" s="623"/>
      <c r="K50" s="1338"/>
      <c r="L50" s="2130"/>
      <c r="M50" s="2118"/>
      <c r="N50" s="2118"/>
      <c r="O50" s="2131"/>
      <c r="P50" s="3435" t="str">
        <f>A50</f>
        <v>估价对象XX用房的比较价格（楼面单价，元/平方米）</v>
      </c>
      <c r="Q50" s="3436"/>
      <c r="R50" s="3437" t="e">
        <f>ROUND(AVERAGE(R49:V49),0)</f>
        <v>#DIV/0!</v>
      </c>
      <c r="S50" s="3437"/>
      <c r="T50" s="3437"/>
      <c r="U50" s="3437"/>
      <c r="V50" s="3437"/>
      <c r="W50" s="3437"/>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8" t="s">
        <v>2281</v>
      </c>
      <c r="H57" s="3399"/>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10288.000000000002</v>
      </c>
      <c r="F58" s="636" t="e">
        <f t="shared" ref="F58:F67" si="15">ROUND(B58*E58/10000,0)</f>
        <v>#DIV/0!</v>
      </c>
      <c r="G58" s="3400"/>
      <c r="H58" s="340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02"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0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0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0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15557.09</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2021-8-1</v>
      </c>
      <c r="D70" s="2755">
        <f>EDATE(C70,-3)</f>
        <v>44317</v>
      </c>
      <c r="E70" s="2755">
        <f t="shared" ref="E70:N70" si="18">EDATE(D70,-3)</f>
        <v>44228</v>
      </c>
      <c r="F70" s="2755">
        <f t="shared" si="18"/>
        <v>44136</v>
      </c>
      <c r="G70" s="2755">
        <f t="shared" si="18"/>
        <v>44044</v>
      </c>
      <c r="H70" s="2755">
        <f t="shared" si="18"/>
        <v>43952</v>
      </c>
      <c r="I70" s="2755">
        <f t="shared" si="18"/>
        <v>43862</v>
      </c>
      <c r="J70" s="2755">
        <f t="shared" si="18"/>
        <v>43770</v>
      </c>
      <c r="K70" s="2755">
        <f t="shared" si="18"/>
        <v>43678</v>
      </c>
      <c r="L70" s="2755">
        <f t="shared" si="18"/>
        <v>43586</v>
      </c>
      <c r="M70" s="2755">
        <f t="shared" si="18"/>
        <v>43497</v>
      </c>
      <c r="N70" s="2755">
        <f t="shared" si="18"/>
        <v>43405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2021-3</v>
      </c>
      <c r="D72" s="2757" t="str">
        <f>YEAR(D70)&amp;"-"&amp;ROUNDUP(MONTH(D70)/3,0)</f>
        <v>2021-2</v>
      </c>
      <c r="E72" s="2757" t="str">
        <f t="shared" ref="E72:N72" si="19">YEAR(E70)&amp;"-"&amp;ROUNDUP(MONTH(E70)/3,0)</f>
        <v>2021-1</v>
      </c>
      <c r="F72" s="2757" t="str">
        <f t="shared" si="19"/>
        <v>2020-4</v>
      </c>
      <c r="G72" s="2757" t="str">
        <f t="shared" si="19"/>
        <v>2020-3</v>
      </c>
      <c r="H72" s="2757" t="str">
        <f t="shared" si="19"/>
        <v>2020-2</v>
      </c>
      <c r="I72" s="2757" t="str">
        <f t="shared" si="19"/>
        <v>2020-1</v>
      </c>
      <c r="J72" s="2757" t="str">
        <f t="shared" si="19"/>
        <v>2019-4</v>
      </c>
      <c r="K72" s="2757" t="str">
        <f t="shared" si="19"/>
        <v>2019-3</v>
      </c>
      <c r="L72" s="2757" t="str">
        <f t="shared" si="19"/>
        <v>2019-2</v>
      </c>
      <c r="M72" s="2757" t="str">
        <f t="shared" si="19"/>
        <v>2019-1</v>
      </c>
      <c r="N72" s="2757" t="str">
        <f t="shared" si="19"/>
        <v>2018-4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20" t="s">
        <v>522</v>
      </c>
      <c r="D6" s="3421"/>
      <c r="E6" s="3444" t="s">
        <v>523</v>
      </c>
      <c r="F6" s="3445"/>
      <c r="G6" s="3420" t="s">
        <v>524</v>
      </c>
      <c r="H6" s="3421"/>
      <c r="I6" s="3420" t="s">
        <v>525</v>
      </c>
      <c r="J6" s="3421"/>
      <c r="K6" s="514" t="s">
        <v>526</v>
      </c>
      <c r="L6" s="2119"/>
      <c r="M6" s="2120"/>
      <c r="N6" s="2120"/>
      <c r="O6" s="2120"/>
      <c r="P6" s="3422" t="s">
        <v>527</v>
      </c>
      <c r="Q6" s="3423"/>
      <c r="R6" s="3408" t="s">
        <v>523</v>
      </c>
      <c r="S6" s="3409"/>
      <c r="T6" s="3408" t="s">
        <v>524</v>
      </c>
      <c r="U6" s="3409"/>
      <c r="V6" s="3428" t="s">
        <v>525</v>
      </c>
      <c r="W6" s="3428"/>
      <c r="X6" s="1554"/>
      <c r="Y6" s="3408" t="s">
        <v>527</v>
      </c>
      <c r="Z6" s="3409"/>
      <c r="AA6" s="3403" t="s">
        <v>523</v>
      </c>
      <c r="AB6" s="3404" t="s">
        <v>524</v>
      </c>
      <c r="AC6" s="3403" t="s">
        <v>525</v>
      </c>
    </row>
    <row r="7" spans="1:29" ht="15">
      <c r="A7" s="515"/>
      <c r="B7" s="516"/>
      <c r="C7" s="3431" t="s">
        <v>2931</v>
      </c>
      <c r="D7" s="3432"/>
      <c r="E7" s="3446" t="s">
        <v>2932</v>
      </c>
      <c r="F7" s="3447"/>
      <c r="G7" s="3431" t="s">
        <v>2933</v>
      </c>
      <c r="H7" s="3432"/>
      <c r="I7" s="3431" t="s">
        <v>2934</v>
      </c>
      <c r="J7" s="3432"/>
      <c r="K7" s="514"/>
      <c r="L7" s="2119"/>
      <c r="M7" s="2120"/>
      <c r="N7" s="2120"/>
      <c r="O7" s="2120"/>
      <c r="P7" s="3424"/>
      <c r="Q7" s="3425"/>
      <c r="R7" s="3410"/>
      <c r="S7" s="3411"/>
      <c r="T7" s="3410"/>
      <c r="U7" s="3411"/>
      <c r="V7" s="3428"/>
      <c r="W7" s="3428"/>
      <c r="X7" s="1554"/>
      <c r="Y7" s="3410"/>
      <c r="Z7" s="3411"/>
      <c r="AA7" s="3404"/>
      <c r="AB7" s="3404"/>
      <c r="AC7" s="3404"/>
    </row>
    <row r="8" spans="1:29" ht="15.75" thickBot="1">
      <c r="A8" s="517"/>
      <c r="B8" s="518"/>
      <c r="C8" s="3429" t="s">
        <v>2935</v>
      </c>
      <c r="D8" s="3430"/>
      <c r="E8" s="3448" t="s">
        <v>2935</v>
      </c>
      <c r="F8" s="3449"/>
      <c r="G8" s="3429" t="s">
        <v>2935</v>
      </c>
      <c r="H8" s="3430"/>
      <c r="I8" s="3429" t="s">
        <v>2935</v>
      </c>
      <c r="J8" s="3430"/>
      <c r="K8" s="514" t="s">
        <v>528</v>
      </c>
      <c r="L8" s="2119"/>
      <c r="M8" s="2120"/>
      <c r="N8" s="2120"/>
      <c r="O8" s="2120"/>
      <c r="P8" s="3426"/>
      <c r="Q8" s="3427"/>
      <c r="R8" s="3410"/>
      <c r="S8" s="3411"/>
      <c r="T8" s="3412"/>
      <c r="U8" s="3413"/>
      <c r="V8" s="3428"/>
      <c r="W8" s="3428"/>
      <c r="X8" s="1554"/>
      <c r="Y8" s="3412"/>
      <c r="Z8" s="3413"/>
      <c r="AA8" s="3405"/>
      <c r="AB8" s="3405"/>
      <c r="AC8" s="3405"/>
    </row>
    <row r="9" spans="1:29" s="1216" customFormat="1" ht="15.75" thickBot="1">
      <c r="A9" s="2868"/>
      <c r="B9" s="2875" t="s">
        <v>529</v>
      </c>
      <c r="C9" s="519">
        <f>'数据-取费表'!B2</f>
        <v>44435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6" t="s">
        <v>530</v>
      </c>
      <c r="Q9" s="3415"/>
      <c r="R9" s="1555" t="s">
        <v>8</v>
      </c>
      <c r="S9" s="1556">
        <f t="shared" ref="S9:S17" si="0">F9</f>
        <v>0</v>
      </c>
      <c r="T9" s="1555" t="s">
        <v>8</v>
      </c>
      <c r="U9" s="1556">
        <f t="shared" ref="U9:U17" si="1">H9</f>
        <v>0</v>
      </c>
      <c r="V9" s="1555" t="s">
        <v>8</v>
      </c>
      <c r="W9" s="1556">
        <f t="shared" ref="W9:W17" si="2">J9</f>
        <v>0</v>
      </c>
      <c r="X9" s="1557"/>
      <c r="Y9" s="3406" t="s">
        <v>530</v>
      </c>
      <c r="Z9" s="340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6" t="s">
        <v>533</v>
      </c>
      <c r="Q10" s="3407"/>
      <c r="R10" s="1555" t="s">
        <v>8</v>
      </c>
      <c r="S10" s="1556">
        <f t="shared" si="0"/>
        <v>0</v>
      </c>
      <c r="T10" s="1555" t="s">
        <v>8</v>
      </c>
      <c r="U10" s="1556">
        <f t="shared" si="1"/>
        <v>0</v>
      </c>
      <c r="V10" s="1555" t="s">
        <v>8</v>
      </c>
      <c r="W10" s="1556">
        <f t="shared" si="2"/>
        <v>0</v>
      </c>
      <c r="X10" s="1557"/>
      <c r="Y10" s="3406" t="s">
        <v>533</v>
      </c>
      <c r="Z10" s="3407"/>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14" t="s">
        <v>535</v>
      </c>
      <c r="Q11" s="1147" t="str">
        <f t="shared" ref="Q11:Q17" si="6">B11</f>
        <v>用途</v>
      </c>
      <c r="R11" s="1555" t="s">
        <v>8</v>
      </c>
      <c r="S11" s="1556">
        <f t="shared" si="0"/>
        <v>100</v>
      </c>
      <c r="T11" s="1555" t="s">
        <v>8</v>
      </c>
      <c r="U11" s="1556">
        <f t="shared" si="1"/>
        <v>100</v>
      </c>
      <c r="V11" s="1555" t="s">
        <v>8</v>
      </c>
      <c r="W11" s="1556">
        <f t="shared" si="2"/>
        <v>100</v>
      </c>
      <c r="X11" s="1557"/>
      <c r="Y11" s="3371"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126</v>
      </c>
      <c r="G12" s="528"/>
      <c r="H12" s="255">
        <f>ROUND(100/'数据-取费表'!G16,0)</f>
        <v>126</v>
      </c>
      <c r="I12" s="528"/>
      <c r="J12" s="255">
        <f>ROUND(100/'数据-取费表'!G16,0)</f>
        <v>126</v>
      </c>
      <c r="K12" s="531"/>
      <c r="L12" s="2124"/>
      <c r="M12" s="2164"/>
      <c r="N12" s="2164"/>
      <c r="O12" s="2125"/>
      <c r="P12" s="3414"/>
      <c r="Q12" s="1147" t="str">
        <f t="shared" si="6"/>
        <v>土地使用年限（年）</v>
      </c>
      <c r="R12" s="1555" t="s">
        <v>8</v>
      </c>
      <c r="S12" s="1556">
        <f t="shared" si="0"/>
        <v>126</v>
      </c>
      <c r="T12" s="1555" t="s">
        <v>8</v>
      </c>
      <c r="U12" s="1556">
        <f t="shared" si="1"/>
        <v>126</v>
      </c>
      <c r="V12" s="1555" t="s">
        <v>8</v>
      </c>
      <c r="W12" s="1556">
        <f t="shared" si="2"/>
        <v>126</v>
      </c>
      <c r="X12" s="1557"/>
      <c r="Y12" s="3371"/>
      <c r="Z12" s="1146" t="str">
        <f t="shared" si="7"/>
        <v>土地使用年限（年）</v>
      </c>
      <c r="AA12" s="1558">
        <f t="shared" si="3"/>
        <v>0.79365079365079361</v>
      </c>
      <c r="AB12" s="1558">
        <f t="shared" si="4"/>
        <v>0.79365079365079361</v>
      </c>
      <c r="AC12" s="1558">
        <f t="shared" si="5"/>
        <v>0.79365079365079361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14"/>
      <c r="Q13" s="1147" t="str">
        <f t="shared" si="6"/>
        <v>容积率</v>
      </c>
      <c r="R13" s="1555" t="s">
        <v>8</v>
      </c>
      <c r="S13" s="1556" t="e">
        <f t="shared" si="0"/>
        <v>#N/A</v>
      </c>
      <c r="T13" s="1555" t="s">
        <v>8</v>
      </c>
      <c r="U13" s="1556" t="e">
        <f t="shared" si="1"/>
        <v>#N/A</v>
      </c>
      <c r="V13" s="1555" t="s">
        <v>8</v>
      </c>
      <c r="W13" s="1556" t="e">
        <f t="shared" si="2"/>
        <v>#N/A</v>
      </c>
      <c r="X13" s="1557"/>
      <c r="Y13" s="337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14"/>
      <c r="Q14" s="1147">
        <f t="shared" si="6"/>
        <v>111</v>
      </c>
      <c r="R14" s="1555" t="s">
        <v>8</v>
      </c>
      <c r="S14" s="1556">
        <f t="shared" si="0"/>
        <v>100</v>
      </c>
      <c r="T14" s="1555" t="s">
        <v>8</v>
      </c>
      <c r="U14" s="1556">
        <f t="shared" si="1"/>
        <v>100</v>
      </c>
      <c r="V14" s="1555" t="s">
        <v>8</v>
      </c>
      <c r="W14" s="1556">
        <f t="shared" si="2"/>
        <v>100</v>
      </c>
      <c r="X14" s="1557"/>
      <c r="Y14" s="337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14"/>
      <c r="Q15" s="1147">
        <f t="shared" si="6"/>
        <v>111</v>
      </c>
      <c r="R15" s="1555" t="s">
        <v>8</v>
      </c>
      <c r="S15" s="1556">
        <f t="shared" si="0"/>
        <v>100</v>
      </c>
      <c r="T15" s="1555" t="s">
        <v>8</v>
      </c>
      <c r="U15" s="1556">
        <f t="shared" si="1"/>
        <v>100</v>
      </c>
      <c r="V15" s="1555" t="s">
        <v>8</v>
      </c>
      <c r="W15" s="1556">
        <f t="shared" si="2"/>
        <v>100</v>
      </c>
      <c r="X15" s="1557"/>
      <c r="Y15" s="337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14"/>
      <c r="Q16" s="1147">
        <f t="shared" si="6"/>
        <v>111</v>
      </c>
      <c r="R16" s="1555" t="s">
        <v>8</v>
      </c>
      <c r="S16" s="1556">
        <f t="shared" si="0"/>
        <v>100</v>
      </c>
      <c r="T16" s="1555" t="s">
        <v>8</v>
      </c>
      <c r="U16" s="1556">
        <f t="shared" si="1"/>
        <v>100</v>
      </c>
      <c r="V16" s="1555" t="s">
        <v>8</v>
      </c>
      <c r="W16" s="1556">
        <f t="shared" si="2"/>
        <v>100</v>
      </c>
      <c r="X16" s="1557"/>
      <c r="Y16" s="3371"/>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6" t="s">
        <v>540</v>
      </c>
      <c r="Q17" s="1559" t="str">
        <f t="shared" si="6"/>
        <v>产业集聚程度</v>
      </c>
      <c r="R17" s="1560" t="s">
        <v>8</v>
      </c>
      <c r="S17" s="1561">
        <f t="shared" si="0"/>
        <v>100</v>
      </c>
      <c r="T17" s="1560" t="s">
        <v>8</v>
      </c>
      <c r="U17" s="1561">
        <f t="shared" si="1"/>
        <v>100</v>
      </c>
      <c r="V17" s="1560" t="s">
        <v>8</v>
      </c>
      <c r="W17" s="1561">
        <f t="shared" si="2"/>
        <v>100</v>
      </c>
      <c r="X17" s="1554"/>
      <c r="Y17" s="341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7"/>
      <c r="Q18" s="1559"/>
      <c r="R18" s="1560"/>
      <c r="S18" s="1561"/>
      <c r="T18" s="1560"/>
      <c r="U18" s="1561"/>
      <c r="V18" s="1560"/>
      <c r="W18" s="1561"/>
      <c r="X18" s="1554"/>
      <c r="Y18" s="341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7"/>
      <c r="Q19" s="1559" t="str">
        <f>B19</f>
        <v>交通便捷度</v>
      </c>
      <c r="R19" s="1560" t="s">
        <v>8</v>
      </c>
      <c r="S19" s="1561">
        <f>F19</f>
        <v>100</v>
      </c>
      <c r="T19" s="1560" t="s">
        <v>8</v>
      </c>
      <c r="U19" s="1561">
        <f>H19</f>
        <v>100</v>
      </c>
      <c r="V19" s="1560" t="s">
        <v>8</v>
      </c>
      <c r="W19" s="1561">
        <f>J19</f>
        <v>100</v>
      </c>
      <c r="X19" s="1554"/>
      <c r="Y19" s="341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7"/>
      <c r="Q20" s="1559"/>
      <c r="R20" s="1560"/>
      <c r="S20" s="1561"/>
      <c r="T20" s="1560"/>
      <c r="U20" s="1561"/>
      <c r="V20" s="1560"/>
      <c r="W20" s="1561"/>
      <c r="X20" s="1554"/>
      <c r="Y20" s="341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7"/>
      <c r="Q21" s="1559" t="str">
        <f t="shared" ref="Q21:Q35" si="8">B21</f>
        <v>区域土地利用方向</v>
      </c>
      <c r="R21" s="1560" t="s">
        <v>8</v>
      </c>
      <c r="S21" s="1561">
        <f>F21</f>
        <v>100</v>
      </c>
      <c r="T21" s="1560" t="s">
        <v>8</v>
      </c>
      <c r="U21" s="1561">
        <f>H21</f>
        <v>100</v>
      </c>
      <c r="V21" s="1560" t="s">
        <v>8</v>
      </c>
      <c r="W21" s="1561">
        <f>J21</f>
        <v>100</v>
      </c>
      <c r="X21" s="1554"/>
      <c r="Y21" s="341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7"/>
      <c r="Q22" s="1559"/>
      <c r="R22" s="1560"/>
      <c r="S22" s="1561"/>
      <c r="T22" s="1560"/>
      <c r="U22" s="1561"/>
      <c r="V22" s="1560"/>
      <c r="W22" s="1561"/>
      <c r="X22" s="1554"/>
      <c r="Y22" s="341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7"/>
      <c r="Q23" s="1559" t="str">
        <f t="shared" si="8"/>
        <v>环境状况</v>
      </c>
      <c r="R23" s="1560" t="s">
        <v>8</v>
      </c>
      <c r="S23" s="1561">
        <f>F23</f>
        <v>100</v>
      </c>
      <c r="T23" s="1560" t="s">
        <v>8</v>
      </c>
      <c r="U23" s="1561">
        <f>H23</f>
        <v>100</v>
      </c>
      <c r="V23" s="1560" t="s">
        <v>8</v>
      </c>
      <c r="W23" s="1561">
        <f>J23</f>
        <v>100</v>
      </c>
      <c r="X23" s="1554"/>
      <c r="Y23" s="341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7"/>
      <c r="Q24" s="1559"/>
      <c r="R24" s="1560"/>
      <c r="S24" s="1561"/>
      <c r="T24" s="1560"/>
      <c r="U24" s="1561"/>
      <c r="V24" s="1560"/>
      <c r="W24" s="1561"/>
      <c r="X24" s="1554"/>
      <c r="Y24" s="3417"/>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7"/>
      <c r="Q25" s="1147" t="str">
        <f t="shared" si="8"/>
        <v>公共配套设施</v>
      </c>
      <c r="R25" s="1555" t="s">
        <v>8</v>
      </c>
      <c r="S25" s="1556">
        <f>F25</f>
        <v>100</v>
      </c>
      <c r="T25" s="1555" t="s">
        <v>8</v>
      </c>
      <c r="U25" s="1556">
        <f>H25</f>
        <v>100</v>
      </c>
      <c r="V25" s="1555" t="s">
        <v>8</v>
      </c>
      <c r="W25" s="1556">
        <f>J25</f>
        <v>100</v>
      </c>
      <c r="X25" s="1557"/>
      <c r="Y25" s="3417"/>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7"/>
      <c r="Q26" s="1147"/>
      <c r="R26" s="1555"/>
      <c r="S26" s="1556"/>
      <c r="T26" s="1555"/>
      <c r="U26" s="1556"/>
      <c r="V26" s="1555"/>
      <c r="W26" s="1556"/>
      <c r="X26" s="1557"/>
      <c r="Y26" s="3417"/>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7"/>
      <c r="Q27" s="2543" t="str">
        <f t="shared" ref="Q27" si="9">B27</f>
        <v>基础设施水平</v>
      </c>
      <c r="R27" s="1555" t="s">
        <v>8</v>
      </c>
      <c r="S27" s="1556">
        <f>F27</f>
        <v>100</v>
      </c>
      <c r="T27" s="1555" t="s">
        <v>8</v>
      </c>
      <c r="U27" s="1556">
        <f>H27</f>
        <v>100</v>
      </c>
      <c r="V27" s="1555" t="s">
        <v>8</v>
      </c>
      <c r="W27" s="1556">
        <f>J27</f>
        <v>100</v>
      </c>
      <c r="X27" s="1557"/>
      <c r="Y27" s="3417"/>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7"/>
      <c r="Q28" s="2543"/>
      <c r="R28" s="1555"/>
      <c r="S28" s="1556"/>
      <c r="T28" s="1555"/>
      <c r="U28" s="1556"/>
      <c r="V28" s="1555"/>
      <c r="W28" s="1556"/>
      <c r="X28" s="1557"/>
      <c r="Y28" s="3417"/>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7"/>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7"/>
      <c r="Q30" s="1559" t="str">
        <f t="shared" si="8"/>
        <v>毗邻道路的类型与等级</v>
      </c>
      <c r="R30" s="1560" t="s">
        <v>8</v>
      </c>
      <c r="S30" s="1561">
        <f t="shared" si="10"/>
        <v>100</v>
      </c>
      <c r="T30" s="1560" t="s">
        <v>8</v>
      </c>
      <c r="U30" s="1561">
        <f t="shared" si="11"/>
        <v>100</v>
      </c>
      <c r="V30" s="1560" t="s">
        <v>8</v>
      </c>
      <c r="W30" s="1561">
        <f t="shared" si="12"/>
        <v>100</v>
      </c>
      <c r="X30" s="1554"/>
      <c r="Y30" s="341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7"/>
      <c r="Q31" s="1559"/>
      <c r="R31" s="1560"/>
      <c r="S31" s="1561"/>
      <c r="T31" s="1560"/>
      <c r="U31" s="1561"/>
      <c r="V31" s="1560"/>
      <c r="W31" s="1561"/>
      <c r="X31" s="1554"/>
      <c r="Y31" s="3417"/>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7"/>
      <c r="Q32" s="1559" t="str">
        <f t="shared" si="8"/>
        <v>土地级别</v>
      </c>
      <c r="R32" s="1560" t="s">
        <v>8</v>
      </c>
      <c r="S32" s="1561">
        <f t="shared" si="10"/>
        <v>100</v>
      </c>
      <c r="T32" s="1560" t="s">
        <v>8</v>
      </c>
      <c r="U32" s="1561">
        <f t="shared" si="11"/>
        <v>100</v>
      </c>
      <c r="V32" s="1560" t="s">
        <v>8</v>
      </c>
      <c r="W32" s="1561">
        <f t="shared" si="12"/>
        <v>100</v>
      </c>
      <c r="X32" s="1554"/>
      <c r="Y32" s="341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7"/>
      <c r="Q33" s="1559">
        <f t="shared" si="8"/>
        <v>111</v>
      </c>
      <c r="R33" s="1560" t="s">
        <v>8</v>
      </c>
      <c r="S33" s="1561">
        <f t="shared" si="10"/>
        <v>100</v>
      </c>
      <c r="T33" s="1560" t="s">
        <v>8</v>
      </c>
      <c r="U33" s="1561">
        <f t="shared" si="11"/>
        <v>100</v>
      </c>
      <c r="V33" s="1560" t="s">
        <v>8</v>
      </c>
      <c r="W33" s="1561">
        <f t="shared" si="12"/>
        <v>100</v>
      </c>
      <c r="X33" s="1554"/>
      <c r="Y33" s="341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8" t="s">
        <v>550</v>
      </c>
      <c r="Q34" s="1559">
        <f t="shared" si="8"/>
        <v>111</v>
      </c>
      <c r="R34" s="1560" t="s">
        <v>8</v>
      </c>
      <c r="S34" s="1561">
        <f t="shared" si="10"/>
        <v>100</v>
      </c>
      <c r="T34" s="1560" t="s">
        <v>8</v>
      </c>
      <c r="U34" s="1561">
        <f t="shared" si="11"/>
        <v>100</v>
      </c>
      <c r="V34" s="1560" t="s">
        <v>8</v>
      </c>
      <c r="W34" s="1561">
        <f t="shared" si="12"/>
        <v>100</v>
      </c>
      <c r="X34" s="1554"/>
      <c r="Y34" s="3419"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9"/>
      <c r="Q35" s="1559">
        <f t="shared" si="8"/>
        <v>111</v>
      </c>
      <c r="R35" s="1564" t="s">
        <v>8</v>
      </c>
      <c r="S35" s="1565">
        <f t="shared" si="10"/>
        <v>100</v>
      </c>
      <c r="T35" s="1564" t="s">
        <v>8</v>
      </c>
      <c r="U35" s="1565">
        <f t="shared" si="11"/>
        <v>100</v>
      </c>
      <c r="V35" s="1564" t="s">
        <v>8</v>
      </c>
      <c r="W35" s="1565">
        <f t="shared" si="12"/>
        <v>100</v>
      </c>
      <c r="X35" s="1566"/>
      <c r="Y35" s="3419"/>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9"/>
      <c r="Q36" s="1559" t="str">
        <f>B36</f>
        <v>宗地面积</v>
      </c>
      <c r="R36" s="1560" t="s">
        <v>8</v>
      </c>
      <c r="S36" s="1561" t="e">
        <f t="shared" si="10"/>
        <v>#N/A</v>
      </c>
      <c r="T36" s="1560" t="s">
        <v>8</v>
      </c>
      <c r="U36" s="1561" t="e">
        <f t="shared" si="11"/>
        <v>#N/A</v>
      </c>
      <c r="V36" s="1560" t="s">
        <v>8</v>
      </c>
      <c r="W36" s="1561" t="e">
        <f t="shared" si="12"/>
        <v>#N/A</v>
      </c>
      <c r="X36" s="1554"/>
      <c r="Y36" s="341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9"/>
      <c r="Q37" s="1559" t="str">
        <f t="shared" ref="Q37:Q42" si="14">B37</f>
        <v>宗地形状</v>
      </c>
      <c r="R37" s="1560" t="s">
        <v>8</v>
      </c>
      <c r="S37" s="1561">
        <f t="shared" si="10"/>
        <v>100</v>
      </c>
      <c r="T37" s="1560" t="s">
        <v>8</v>
      </c>
      <c r="U37" s="1561">
        <f t="shared" si="11"/>
        <v>100</v>
      </c>
      <c r="V37" s="1560" t="s">
        <v>8</v>
      </c>
      <c r="W37" s="1561">
        <f t="shared" si="12"/>
        <v>100</v>
      </c>
      <c r="X37" s="1554"/>
      <c r="Y37" s="3419"/>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9"/>
      <c r="Q38" s="1559" t="str">
        <f t="shared" si="14"/>
        <v>宗地开发程度</v>
      </c>
      <c r="R38" s="1555" t="s">
        <v>8</v>
      </c>
      <c r="S38" s="1556">
        <f t="shared" si="10"/>
        <v>100</v>
      </c>
      <c r="T38" s="1555" t="s">
        <v>8</v>
      </c>
      <c r="U38" s="1556">
        <f t="shared" si="11"/>
        <v>100</v>
      </c>
      <c r="V38" s="1555" t="s">
        <v>8</v>
      </c>
      <c r="W38" s="1556">
        <f t="shared" si="12"/>
        <v>100</v>
      </c>
      <c r="X38" s="1557"/>
      <c r="Y38" s="341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9" t="s">
        <v>601</v>
      </c>
      <c r="Q39" s="1559" t="str">
        <f t="shared" si="14"/>
        <v>工程地质条件</v>
      </c>
      <c r="R39" s="1560" t="s">
        <v>8</v>
      </c>
      <c r="S39" s="1561">
        <f t="shared" si="10"/>
        <v>100</v>
      </c>
      <c r="T39" s="1560" t="s">
        <v>8</v>
      </c>
      <c r="U39" s="1561">
        <f t="shared" si="11"/>
        <v>100</v>
      </c>
      <c r="V39" s="1560" t="s">
        <v>8</v>
      </c>
      <c r="W39" s="1561">
        <f t="shared" si="12"/>
        <v>100</v>
      </c>
      <c r="X39" s="1554"/>
      <c r="Y39" s="341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9"/>
      <c r="Q40" s="1559">
        <f t="shared" si="14"/>
        <v>111</v>
      </c>
      <c r="R40" s="1560" t="s">
        <v>8</v>
      </c>
      <c r="S40" s="1561">
        <f t="shared" si="10"/>
        <v>100</v>
      </c>
      <c r="T40" s="1560" t="s">
        <v>8</v>
      </c>
      <c r="U40" s="1561">
        <f t="shared" si="11"/>
        <v>100</v>
      </c>
      <c r="V40" s="1560" t="s">
        <v>8</v>
      </c>
      <c r="W40" s="1561">
        <f t="shared" si="12"/>
        <v>100</v>
      </c>
      <c r="X40" s="1554"/>
      <c r="Y40" s="341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9"/>
      <c r="Q41" s="1559">
        <f t="shared" si="14"/>
        <v>111</v>
      </c>
      <c r="R41" s="1560" t="s">
        <v>8</v>
      </c>
      <c r="S41" s="1561">
        <f t="shared" si="10"/>
        <v>100</v>
      </c>
      <c r="T41" s="1560" t="s">
        <v>8</v>
      </c>
      <c r="U41" s="1561">
        <f t="shared" si="11"/>
        <v>100</v>
      </c>
      <c r="V41" s="1560" t="s">
        <v>8</v>
      </c>
      <c r="W41" s="1561">
        <f t="shared" si="12"/>
        <v>100</v>
      </c>
      <c r="X41" s="1554"/>
      <c r="Y41" s="341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9"/>
      <c r="Q42" s="1559">
        <f t="shared" si="14"/>
        <v>111</v>
      </c>
      <c r="R42" s="1564" t="s">
        <v>8</v>
      </c>
      <c r="S42" s="1565">
        <f t="shared" si="10"/>
        <v>100</v>
      </c>
      <c r="T42" s="1564" t="s">
        <v>8</v>
      </c>
      <c r="U42" s="1565">
        <f t="shared" si="11"/>
        <v>100</v>
      </c>
      <c r="V42" s="1564" t="s">
        <v>8</v>
      </c>
      <c r="W42" s="1565">
        <f t="shared" si="12"/>
        <v>100</v>
      </c>
      <c r="X42" s="1566"/>
      <c r="Y42" s="3419"/>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14" t="str">
        <f>A43</f>
        <v>成交单价</v>
      </c>
      <c r="Q43" s="3414"/>
      <c r="R43" s="3428">
        <f>E43</f>
        <v>0</v>
      </c>
      <c r="S43" s="3428"/>
      <c r="T43" s="3428">
        <f>G43</f>
        <v>0</v>
      </c>
      <c r="U43" s="3428"/>
      <c r="V43" s="3428">
        <f>I43</f>
        <v>0</v>
      </c>
      <c r="W43" s="3428"/>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14" t="str">
        <f>A44</f>
        <v>比较价格（元/平方米）</v>
      </c>
      <c r="Q44" s="3414"/>
      <c r="R44" s="3438" t="e">
        <f>ROUND(PRODUCT(R43,AA9:AA42),0)</f>
        <v>#DIV/0!</v>
      </c>
      <c r="S44" s="3438"/>
      <c r="T44" s="3438" t="e">
        <f>ROUND(PRODUCT(T43,AB9:AB42),0)</f>
        <v>#DIV/0!</v>
      </c>
      <c r="U44" s="3438"/>
      <c r="V44" s="3438" t="e">
        <f>ROUND(PRODUCT(V43,AC9:AC42),0)</f>
        <v>#DIV/0!</v>
      </c>
      <c r="W44" s="3438"/>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435" t="str">
        <f>A45</f>
        <v>估价对象XX用房的比较价格（楼面单价，元/平方米）</v>
      </c>
      <c r="Q45" s="3436"/>
      <c r="R45" s="3437" t="e">
        <f>ROUND(AVERAGE(R44:V44),0)</f>
        <v>#DIV/0!</v>
      </c>
      <c r="S45" s="3437"/>
      <c r="T45" s="3437"/>
      <c r="U45" s="3437"/>
      <c r="V45" s="3437"/>
      <c r="W45" s="3437"/>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39" t="s">
        <v>2284</v>
      </c>
      <c r="H52" s="3440"/>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10288.000000000002</v>
      </c>
      <c r="F53" s="1936" t="e">
        <f t="shared" ref="F53:F62" si="15">ROUND(B53*E53/10000,0)</f>
        <v>#DIV/0!</v>
      </c>
      <c r="G53" s="3441"/>
      <c r="H53" s="344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3"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15557.09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2021-8-1</v>
      </c>
      <c r="D65" s="2755">
        <f>EDATE(C65,-3)</f>
        <v>44317</v>
      </c>
      <c r="E65" s="2755">
        <f t="shared" ref="E65:N65" si="18">EDATE(D65,-3)</f>
        <v>44228</v>
      </c>
      <c r="F65" s="2755">
        <f t="shared" si="18"/>
        <v>44136</v>
      </c>
      <c r="G65" s="2755">
        <f t="shared" si="18"/>
        <v>44044</v>
      </c>
      <c r="H65" s="2755">
        <f t="shared" si="18"/>
        <v>43952</v>
      </c>
      <c r="I65" s="2755">
        <f t="shared" si="18"/>
        <v>43862</v>
      </c>
      <c r="J65" s="2755">
        <f t="shared" si="18"/>
        <v>43770</v>
      </c>
      <c r="K65" s="2755">
        <f t="shared" si="18"/>
        <v>43678</v>
      </c>
      <c r="L65" s="2755">
        <f t="shared" si="18"/>
        <v>43586</v>
      </c>
      <c r="M65" s="2755">
        <f t="shared" si="18"/>
        <v>43497</v>
      </c>
      <c r="N65" s="2755">
        <f t="shared" si="18"/>
        <v>43405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2021-3</v>
      </c>
      <c r="D67" s="2757" t="str">
        <f t="shared" ref="D67:N67" si="19">YEAR(D65)&amp;"-"&amp;ROUNDUP(MONTH(D65)/3,0)</f>
        <v>2021-2</v>
      </c>
      <c r="E67" s="2757" t="str">
        <f t="shared" si="19"/>
        <v>2021-1</v>
      </c>
      <c r="F67" s="2757" t="str">
        <f t="shared" si="19"/>
        <v>2020-4</v>
      </c>
      <c r="G67" s="2757" t="str">
        <f t="shared" si="19"/>
        <v>2020-3</v>
      </c>
      <c r="H67" s="2757" t="str">
        <f t="shared" si="19"/>
        <v>2020-2</v>
      </c>
      <c r="I67" s="2757" t="str">
        <f t="shared" si="19"/>
        <v>2020-1</v>
      </c>
      <c r="J67" s="2757" t="str">
        <f t="shared" si="19"/>
        <v>2019-4</v>
      </c>
      <c r="K67" s="2757" t="str">
        <f t="shared" si="19"/>
        <v>2019-3</v>
      </c>
      <c r="L67" s="2757" t="str">
        <f t="shared" si="19"/>
        <v>2019-2</v>
      </c>
      <c r="M67" s="2757" t="str">
        <f t="shared" si="19"/>
        <v>2019-1</v>
      </c>
      <c r="N67" s="2757" t="str">
        <f t="shared" si="19"/>
        <v>2018-4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19" sqref="I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 ca="1">C26</f>
        <v>#DIV/0!</v>
      </c>
      <c r="C2" s="1404" t="s">
        <v>921</v>
      </c>
      <c r="D2" s="1405" t="s">
        <v>922</v>
      </c>
      <c r="E2" s="1406" t="s">
        <v>981</v>
      </c>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 ca="1">ROUND($C$5*$C$18*$C$19*$C$20*S2*$C$24,0)</f>
        <v>#DIV/0!</v>
      </c>
      <c r="U2" s="2882"/>
      <c r="V2" s="2893" t="e">
        <f ca="1">ROUND(T2*U2/10000,0)</f>
        <v>#DIV/0!</v>
      </c>
      <c r="W2" s="2175"/>
      <c r="X2" s="2175"/>
      <c r="Y2" s="2175"/>
      <c r="Z2" s="2175"/>
      <c r="AA2" s="2175"/>
      <c r="AB2" s="2175"/>
      <c r="AC2" s="2176"/>
    </row>
    <row r="3" spans="1:39" ht="15.75">
      <c r="A3" s="1408" t="s">
        <v>1687</v>
      </c>
      <c r="B3" s="1038" t="e">
        <f ca="1">ROUND(B2*10000/D1,0)</f>
        <v>#DIV/0!</v>
      </c>
      <c r="C3" s="1404" t="s">
        <v>927</v>
      </c>
      <c r="D3" s="1405" t="s">
        <v>928</v>
      </c>
      <c r="E3" s="1409" t="s">
        <v>3159</v>
      </c>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ca="1" si="0">ROUND($C$5*$C$18*$C$19*$C$20*S3*$C$24,0)</f>
        <v>#DIV/0!</v>
      </c>
      <c r="U3" s="2882"/>
      <c r="V3" s="2893" t="e">
        <f t="shared" ref="V3:V16" ca="1" si="1">ROUND(T3*U3/10000,0)</f>
        <v>#DIV/0!</v>
      </c>
      <c r="W3" s="2175"/>
      <c r="X3" s="2175"/>
      <c r="Y3" s="2175"/>
      <c r="Z3" s="2175"/>
      <c r="AA3" s="2175"/>
      <c r="AB3" s="2175"/>
      <c r="AC3" s="2176"/>
    </row>
    <row r="4" spans="1:39" ht="28.5">
      <c r="A4" s="1877" t="s">
        <v>2280</v>
      </c>
      <c r="B4" s="2418" t="e">
        <f ca="1">ROUND(B2*10000/F1,0)</f>
        <v>#DIV/0!</v>
      </c>
      <c r="C4" s="1880" t="s">
        <v>2254</v>
      </c>
      <c r="D4" s="1880" t="e">
        <f ca="1">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t="e">
        <f>ROUND(IF(G3&gt;1,IF(R4&lt;7,SUMPRODUCT((B93:B98=R4)*(C92:N92=G2)*(C93:N98)),SUMIF(C92:N92,G2,C100:N100)),IF(R4&lt;7,SUMPRODUCT((B102:B107=R4)*(C92:N92=G2)*(C102:N107)),SUMIF(C92:N92,G2,C109:N109))),4)</f>
        <v>#DIV/0!</v>
      </c>
      <c r="T4" s="2893" t="e">
        <f t="shared" ca="1" si="0"/>
        <v>#DIV/0!</v>
      </c>
      <c r="U4" s="2882"/>
      <c r="V4" s="2893" t="e">
        <f t="shared" ca="1"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t="e">
        <f>ROUND(IF(G3&gt;1,IF(R5&lt;7,SUMPRODUCT((B93:B98=R5)*(C92:N92=G2)*(C93:N98)),SUMIF(C92:N92,G2,C100:N100)),IF(R5&lt;7,SUMPRODUCT((B102:B107=R5)*(C92:N92=G2)*(C102:N107)),SUMIF(C92:N92,G2,C109:N109))),4)</f>
        <v>#DIV/0!</v>
      </c>
      <c r="T5" s="2893" t="e">
        <f t="shared" ca="1" si="0"/>
        <v>#DIV/0!</v>
      </c>
      <c r="U5" s="2882"/>
      <c r="V5" s="2893" t="e">
        <f t="shared" ca="1"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ca="1" si="0"/>
        <v>#DIV/0!</v>
      </c>
      <c r="U6" s="2882"/>
      <c r="V6" s="2893" t="e">
        <f t="shared" ca="1" si="1"/>
        <v>#DIV/0!</v>
      </c>
      <c r="W6" s="2175"/>
      <c r="X6" s="2175"/>
      <c r="Y6" s="2175"/>
      <c r="Z6" s="2175"/>
      <c r="AA6" s="2175"/>
      <c r="AB6" s="2175"/>
      <c r="AC6" s="2177"/>
      <c r="AD6" s="1416"/>
      <c r="AE6" s="1416"/>
      <c r="AF6" s="1416"/>
      <c r="AG6" s="1416"/>
      <c r="AH6" s="1416"/>
      <c r="AI6" s="1416"/>
      <c r="AJ6" s="1417"/>
    </row>
    <row r="7" spans="1:39" ht="24">
      <c r="A7" s="3451"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ca="1" si="0"/>
        <v>#DIV/0!</v>
      </c>
      <c r="U7" s="2882"/>
      <c r="V7" s="2893" t="e">
        <f t="shared" ca="1" si="1"/>
        <v>#DIV/0!</v>
      </c>
      <c r="W7" s="2891" t="s">
        <v>2765</v>
      </c>
      <c r="X7" s="2883">
        <f>G2</f>
        <v>0</v>
      </c>
      <c r="Y7" s="2883" t="s">
        <v>2766</v>
      </c>
      <c r="Z7" s="2884">
        <f>G3</f>
        <v>0</v>
      </c>
      <c r="AA7" s="2178"/>
      <c r="AB7" s="2178"/>
      <c r="AC7" s="2179"/>
      <c r="AD7" s="2885"/>
      <c r="AE7" s="2885"/>
      <c r="AF7" s="2885"/>
      <c r="AG7" s="2885"/>
      <c r="AH7" s="2885"/>
      <c r="AI7" s="2885"/>
      <c r="AJ7" s="2886"/>
    </row>
    <row r="8" spans="1:39" ht="15">
      <c r="A8" s="3452"/>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ca="1" si="0"/>
        <v>#DIV/0!</v>
      </c>
      <c r="U8" s="2882"/>
      <c r="V8" s="2893" t="e">
        <f t="shared" ca="1" si="1"/>
        <v>#DIV/0!</v>
      </c>
      <c r="W8" s="3462" t="s">
        <v>2783</v>
      </c>
      <c r="X8" s="3463"/>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5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ca="1" si="0"/>
        <v>#DIV/0!</v>
      </c>
      <c r="U9" s="2882"/>
      <c r="V9" s="2893" t="e">
        <f t="shared" ca="1" si="1"/>
        <v>#DIV/0!</v>
      </c>
      <c r="W9" s="3461"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5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ca="1" si="0"/>
        <v>#DIV/0!</v>
      </c>
      <c r="U10" s="2882"/>
      <c r="V10" s="2893" t="e">
        <f t="shared" ca="1" si="1"/>
        <v>#DIV/0!</v>
      </c>
      <c r="W10" s="3461"/>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5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ca="1" si="0"/>
        <v>#DIV/0!</v>
      </c>
      <c r="U11" s="2882"/>
      <c r="V11" s="2893" t="e">
        <f t="shared" ca="1" si="1"/>
        <v>#DIV/0!</v>
      </c>
      <c r="W11" s="3461"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5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ca="1" si="0"/>
        <v>#DIV/0!</v>
      </c>
      <c r="U12" s="2882"/>
      <c r="V12" s="2893" t="e">
        <f t="shared" ca="1" si="1"/>
        <v>#DIV/0!</v>
      </c>
      <c r="W12" s="3461"/>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53"/>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ca="1" si="0"/>
        <v>#DIV/0!</v>
      </c>
      <c r="U13" s="2882"/>
      <c r="V13" s="2893" t="e">
        <f t="shared" ca="1" si="1"/>
        <v>#DIV/0!</v>
      </c>
      <c r="W13" s="3461"/>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53"/>
      <c r="B14" s="1448"/>
      <c r="C14" s="1449"/>
      <c r="D14" s="1450"/>
      <c r="E14" s="1450"/>
      <c r="F14" s="1451"/>
      <c r="G14" s="1452" t="s">
        <v>949</v>
      </c>
      <c r="H14" s="1453"/>
      <c r="I14" s="1454"/>
      <c r="J14" s="1455"/>
      <c r="K14" s="3150"/>
      <c r="L14" s="3150"/>
      <c r="M14" s="3150"/>
      <c r="N14" s="3150"/>
      <c r="O14" s="3150"/>
      <c r="P14" s="1398"/>
      <c r="Q14" s="2175"/>
      <c r="R14" s="2893">
        <v>13</v>
      </c>
      <c r="S14" s="2882"/>
      <c r="T14" s="2893" t="e">
        <f t="shared" ca="1" si="0"/>
        <v>#DIV/0!</v>
      </c>
      <c r="U14" s="2882"/>
      <c r="V14" s="2893" t="e">
        <f t="shared" ca="1" si="1"/>
        <v>#DIV/0!</v>
      </c>
      <c r="W14" s="2175"/>
      <c r="X14" s="2175"/>
      <c r="Y14" s="2175"/>
      <c r="Z14" s="2175"/>
      <c r="AA14" s="2175"/>
      <c r="AB14" s="2175"/>
      <c r="AC14" s="2176"/>
    </row>
    <row r="15" spans="1:39" ht="13.5" customHeight="1" thickBot="1">
      <c r="A15" s="3454"/>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ca="1" si="0"/>
        <v>#DIV/0!</v>
      </c>
      <c r="U15" s="2882"/>
      <c r="V15" s="2893" t="e">
        <f t="shared" ca="1" si="1"/>
        <v>#DIV/0!</v>
      </c>
      <c r="W15" s="2175"/>
      <c r="X15" s="2175"/>
      <c r="Y15" s="2175"/>
      <c r="Z15" s="2175"/>
      <c r="AA15" s="2175"/>
      <c r="AB15" s="2175"/>
      <c r="AC15" s="2176"/>
    </row>
    <row r="16" spans="1:39" ht="24.6" customHeight="1">
      <c r="A16" s="3451" t="s">
        <v>1838</v>
      </c>
      <c r="B16" s="1424" t="s">
        <v>950</v>
      </c>
      <c r="C16" s="1052" t="e">
        <f>ROUND(IF(F17="与级别开发程度一致",0,(G17-E17)/C17),0)</f>
        <v>#DIV/0!</v>
      </c>
      <c r="D16" s="3469" t="s">
        <v>954</v>
      </c>
      <c r="E16" s="3470"/>
      <c r="F16" s="3469" t="s">
        <v>951</v>
      </c>
      <c r="G16" s="3470"/>
      <c r="H16" s="1456"/>
      <c r="I16" s="1456"/>
      <c r="J16" s="1456"/>
      <c r="K16" s="1456"/>
      <c r="L16" s="1456"/>
      <c r="M16" s="1456"/>
      <c r="N16" s="1456"/>
      <c r="O16" s="3174"/>
      <c r="P16" s="1398"/>
      <c r="Q16" s="2178"/>
      <c r="R16" s="2893">
        <v>15</v>
      </c>
      <c r="S16" s="2882"/>
      <c r="T16" s="2893" t="e">
        <f t="shared" ca="1" si="0"/>
        <v>#DIV/0!</v>
      </c>
      <c r="U16" s="2882"/>
      <c r="V16" s="2893" t="e">
        <f t="shared" ca="1" si="1"/>
        <v>#DIV/0!</v>
      </c>
      <c r="W16" s="2178"/>
      <c r="X16" s="2178"/>
      <c r="Y16" s="2178"/>
      <c r="Z16" s="2178"/>
      <c r="AA16" s="2178"/>
      <c r="AB16" s="2178"/>
      <c r="AC16" s="2179"/>
    </row>
    <row r="17" spans="1:40" ht="13.5" thickBot="1">
      <c r="A17" s="3455"/>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1</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44435</v>
      </c>
      <c r="H19" s="1464" t="s">
        <v>3160</v>
      </c>
      <c r="I19" s="2741" t="str">
        <f>IF(H19="季度增幅（自定义）",SUMIF(N21:N24,E2,O21:O24),"")</f>
        <v/>
      </c>
      <c r="J19" s="1460"/>
      <c r="K19" s="3149"/>
      <c r="L19" s="2992" t="s">
        <v>2841</v>
      </c>
      <c r="M19" s="2993">
        <f>ROUND(SUMIF(地价!B2:F2,E2,地价!B27:F27),0)</f>
        <v>230</v>
      </c>
      <c r="N19" s="2743" t="s">
        <v>1676</v>
      </c>
      <c r="O19" s="2742">
        <f>ROUNDDOWN(DATEDIF(E19,G19,"M")/3,0)</f>
        <v>30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0.74690000000000001</v>
      </c>
      <c r="D20" s="2738" t="s">
        <v>972</v>
      </c>
      <c r="E20" s="3047">
        <f ca="1">存贷款利率!I4/100</f>
        <v>4.3499999999999997E-2</v>
      </c>
      <c r="F20" s="2738" t="s">
        <v>973</v>
      </c>
      <c r="G20" s="2739">
        <f ca="1">SUMIF(M26:P26,E2,M28:P28)</f>
        <v>4.8000000000000001E-2</v>
      </c>
      <c r="H20" s="2738" t="s">
        <v>974</v>
      </c>
      <c r="I20" s="2734">
        <f>SUMIF('数据-取费表'!C6:C15,E2,'数据-取费表'!F6:F15)/COUNTIF('数据-取费表'!C6:C15,E2)</f>
        <v>23.99</v>
      </c>
      <c r="J20" s="2740">
        <f>IF(E2="住宅",70,IF(E2="商业",40,50))</f>
        <v>50</v>
      </c>
      <c r="K20" s="3151"/>
      <c r="L20" s="2994"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0</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v>
      </c>
      <c r="D24" s="1523"/>
      <c r="E24" s="1524"/>
      <c r="F24" s="1524"/>
      <c r="G24" s="1524"/>
      <c r="H24" s="1524"/>
      <c r="I24" s="1524"/>
      <c r="J24" s="1524"/>
      <c r="K24" s="3153"/>
      <c r="L24" s="1470"/>
      <c r="M24" s="1470"/>
      <c r="N24" s="1467" t="s">
        <v>981</v>
      </c>
      <c r="O24" s="3157"/>
      <c r="P24" s="2733">
        <f>SUMPRODUCT((地价!A3:A27=YEAR(G19)&amp;"-"&amp;ROUNDUP(MONTH(G19)/3,0))*(地价!AD2:AH2=N24)*(地价!AD3:AH27))</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 ca="1">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 ca="1">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 ca="1">ROUND(C5*C18*C19*C20*C21*C24,0)</f>
        <v>#DIV/0!</v>
      </c>
      <c r="D29" s="1492"/>
      <c r="E29" s="1835" t="e">
        <f ca="1">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 ca="1">ROUND(IF(E2="工业",C29*M39,C29*M38),0)</f>
        <v>#DIV/0!</v>
      </c>
      <c r="D30" s="1498"/>
      <c r="E30" s="1835" t="e">
        <f ca="1">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58" t="s">
        <v>2962</v>
      </c>
      <c r="B33" s="1512" t="s">
        <v>999</v>
      </c>
      <c r="C33" s="1059" t="e">
        <f ca="1">ROUND(D5*C19*C20*C24*F33,0)</f>
        <v>#DIV/0!</v>
      </c>
      <c r="D33" s="1525"/>
      <c r="E33" s="1048" t="e">
        <f ca="1">ROUND(C33*D33/10000,0)</f>
        <v>#DIV/0!</v>
      </c>
      <c r="F33" s="1048">
        <f>SUMIF(修正!A45:A56,G2,修正!B45:B56)</f>
        <v>0</v>
      </c>
      <c r="G33" s="1048" t="e">
        <f t="shared" ref="G33" ca="1" si="6">ROUND(IF(E2="工业",C33*$M$39,C33*$M$38),0)</f>
        <v>#DIV/0!</v>
      </c>
      <c r="H33" s="1048">
        <f>D33</f>
        <v>0</v>
      </c>
      <c r="I33" s="1048" t="e">
        <f ca="1">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59"/>
      <c r="B34" s="1442" t="s">
        <v>1000</v>
      </c>
      <c r="C34" s="1059" t="e">
        <f ca="1">ROUND(D5*C19*C20*C24*F34,0)</f>
        <v>#DIV/0!</v>
      </c>
      <c r="D34" s="1525"/>
      <c r="E34" s="1048" t="e">
        <f t="shared" ref="E34:E39" ca="1" si="7">ROUND(C34*D34/10000,0)</f>
        <v>#DIV/0!</v>
      </c>
      <c r="F34" s="1048">
        <f>SUMIF(修正!A45:A56,G2,修正!C45:C56)</f>
        <v>0</v>
      </c>
      <c r="G34" s="1048" t="e">
        <f ca="1">ROUND(IF(E2="工业",C34*$M$39,C34*$M$38),0)</f>
        <v>#DIV/0!</v>
      </c>
      <c r="H34" s="1048">
        <f t="shared" ref="H34:H39" si="8">D34</f>
        <v>0</v>
      </c>
      <c r="I34" s="1048" t="e">
        <f t="shared" ref="I34:I39" ca="1"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59"/>
      <c r="B35" s="1442" t="s">
        <v>1001</v>
      </c>
      <c r="C35" s="1059" t="e">
        <f ca="1">ROUND(D5*C19*C20*C24*F35,0)</f>
        <v>#DIV/0!</v>
      </c>
      <c r="D35" s="1525"/>
      <c r="E35" s="1048" t="e">
        <f t="shared" ca="1" si="7"/>
        <v>#DIV/0!</v>
      </c>
      <c r="F35" s="1048">
        <f>SUMIF(修正!A45:A56,G2,修正!D45:D56)</f>
        <v>0</v>
      </c>
      <c r="G35" s="1048" t="e">
        <f ca="1">ROUND(IF(E2="工业",C35*$M$39,C35*$M$38),0)</f>
        <v>#DIV/0!</v>
      </c>
      <c r="H35" s="1048">
        <f t="shared" si="8"/>
        <v>0</v>
      </c>
      <c r="I35" s="1048" t="e">
        <f t="shared" ca="1"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60"/>
      <c r="B36" s="1442" t="s">
        <v>1002</v>
      </c>
      <c r="C36" s="1059" t="e">
        <f ca="1">ROUND(D5*C19*C20*C24*F36,0)</f>
        <v>#DIV/0!</v>
      </c>
      <c r="D36" s="1525"/>
      <c r="E36" s="1048" t="e">
        <f t="shared" ca="1" si="7"/>
        <v>#DIV/0!</v>
      </c>
      <c r="F36" s="1048">
        <f>SUMIF(修正!A45:A56,G2,修正!E45:E56)</f>
        <v>0</v>
      </c>
      <c r="G36" s="1048" t="e">
        <f ca="1">ROUND(IF(E2="工业",C36*$M$39,C36*$M$38),0)</f>
        <v>#DIV/0!</v>
      </c>
      <c r="H36" s="1048">
        <f t="shared" si="8"/>
        <v>0</v>
      </c>
      <c r="I36" s="1048" t="e">
        <f t="shared" ca="1"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 ca="1">ROUND(D5*C19*C20*C24*F37,0)</f>
        <v>#DIV/0!</v>
      </c>
      <c r="D37" s="1525"/>
      <c r="E37" s="1048" t="e">
        <f t="shared" ca="1" si="7"/>
        <v>#DIV/0!</v>
      </c>
      <c r="F37" s="1059">
        <f>SUMIF(修正!A45:A56,G2,修正!F45:F56)</f>
        <v>0</v>
      </c>
      <c r="G37" s="1048" t="e">
        <f ca="1">ROUND(IF(E2="工业",C37*$M$39,C37*$M$38),0)</f>
        <v>#DIV/0!</v>
      </c>
      <c r="H37" s="1048">
        <f t="shared" si="8"/>
        <v>0</v>
      </c>
      <c r="I37" s="1048" t="e">
        <f t="shared" ca="1"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 ca="1">ROUND(D5*C19*C41*C24*F38,0)</f>
        <v>#DIV/0!</v>
      </c>
      <c r="D38" s="1525"/>
      <c r="E38" s="1048" t="e">
        <f t="shared" ca="1" si="7"/>
        <v>#DIV/0!</v>
      </c>
      <c r="F38" s="1059">
        <f>SUMIF(修正!A45:A56,G2,修正!G45:G56)</f>
        <v>0</v>
      </c>
      <c r="G38" s="1048" t="e">
        <f ca="1">ROUND(IF(E2="工业",C38*$M$39,C38*$M$38),0)</f>
        <v>#DIV/0!</v>
      </c>
      <c r="H38" s="1048">
        <f t="shared" si="8"/>
        <v>0</v>
      </c>
      <c r="I38" s="1048" t="e">
        <f t="shared" ca="1"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 ca="1">ROUND(D5*C19*C41*C24*F39,0)</f>
        <v>#DIV/0!</v>
      </c>
      <c r="D39" s="1526"/>
      <c r="E39" s="1051" t="e">
        <f t="shared" ca="1" si="7"/>
        <v>#DIV/0!</v>
      </c>
      <c r="F39" s="1061">
        <f>SUMIF(修正!A45:A56,G2,修正!H45:H56)</f>
        <v>0</v>
      </c>
      <c r="G39" s="1051" t="e">
        <f ca="1">ROUND(IF(E2="工业",C39*$M$39,C39*$M$38),0)</f>
        <v>#DIV/0!</v>
      </c>
      <c r="H39" s="1051">
        <f t="shared" si="8"/>
        <v>0</v>
      </c>
      <c r="I39" s="1051" t="e">
        <f t="shared" ca="1"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f ca="1">ROUND(POWER(1+E41,H41-G41)*(POWER(1+E41,G41)-1)/(POWER(1+E41,H41)-1),4)</f>
        <v>0</v>
      </c>
      <c r="D41" s="378" t="s">
        <v>2987</v>
      </c>
      <c r="E41" s="3146">
        <f ca="1">G20</f>
        <v>4.8000000000000001E-2</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f>IF(E2="工业",SUMIF(L1:L12,G2,N1:N12),"——")</f>
        <v>0</v>
      </c>
      <c r="G80" s="2380"/>
      <c r="H80" s="2426">
        <f t="shared" ref="H80:H87" si="26">IFERROR(ROUNDDOWN($F$80*I80/2,4),"——")</f>
        <v>0</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f t="shared" si="26"/>
        <v>0</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f t="shared" si="26"/>
        <v>0</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f t="shared" si="26"/>
        <v>0</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f t="shared" si="26"/>
        <v>0</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f t="shared" si="26"/>
        <v>0</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f t="shared" si="26"/>
        <v>0</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f t="shared" si="26"/>
        <v>0</v>
      </c>
      <c r="I87" s="2407">
        <v>0.06</v>
      </c>
      <c r="J87" s="2403">
        <f t="shared" si="27"/>
        <v>0</v>
      </c>
      <c r="K87" s="2403">
        <f t="shared" si="28"/>
        <v>0</v>
      </c>
      <c r="L87" s="2403">
        <v>0</v>
      </c>
      <c r="M87" s="2403">
        <f t="shared" si="29"/>
        <v>0</v>
      </c>
      <c r="N87" s="2403">
        <f t="shared" si="29"/>
        <v>0</v>
      </c>
      <c r="AC87" s="1402"/>
      <c r="AD87" s="1401"/>
      <c r="AJ87" s="1400"/>
      <c r="AN87" s="1401"/>
    </row>
    <row r="90" spans="1:40">
      <c r="A90" s="3456" t="s">
        <v>1633</v>
      </c>
      <c r="B90" s="3456"/>
      <c r="C90" s="3456"/>
      <c r="D90" s="3456"/>
      <c r="E90" s="3456"/>
      <c r="F90" s="3456"/>
      <c r="G90" s="3456"/>
      <c r="H90" s="3456"/>
      <c r="I90" s="3456"/>
      <c r="J90" s="3456"/>
      <c r="K90" s="2415"/>
      <c r="L90" s="2415"/>
      <c r="M90" s="2415"/>
      <c r="N90" s="2415"/>
    </row>
    <row r="91" spans="1:40">
      <c r="A91" s="3457" t="s">
        <v>1443</v>
      </c>
      <c r="B91" s="3457" t="s">
        <v>1634</v>
      </c>
      <c r="C91" s="1136" t="s">
        <v>1635</v>
      </c>
      <c r="D91" s="1137"/>
      <c r="E91" s="1137"/>
      <c r="F91" s="1137"/>
      <c r="G91" s="1137"/>
      <c r="H91" s="1137"/>
      <c r="I91" s="1137"/>
      <c r="J91" s="1138"/>
      <c r="K91" s="1130"/>
      <c r="L91" s="1130"/>
      <c r="M91" s="1130"/>
      <c r="N91" s="1130"/>
    </row>
    <row r="92" spans="1:40">
      <c r="A92" s="3457"/>
      <c r="B92" s="345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64"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4"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65"/>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65"/>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65"/>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65"/>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65"/>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65"/>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65"/>
      <c r="B108" s="346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6"/>
      <c r="B109" s="3468"/>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50" t="s">
        <v>1639</v>
      </c>
      <c r="B110" s="3450"/>
      <c r="C110" s="3450"/>
      <c r="D110" s="3450"/>
      <c r="E110" s="3450"/>
      <c r="F110" s="3450"/>
      <c r="G110" s="3450"/>
      <c r="H110" s="3450"/>
      <c r="I110" s="3450"/>
      <c r="J110" s="3450"/>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t="str">
        <f>E2</f>
        <v>工业</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7" t="s">
        <v>1007</v>
      </c>
      <c r="B18" s="1150" t="s">
        <v>1446</v>
      </c>
      <c r="C18" s="1127" t="s">
        <v>1447</v>
      </c>
      <c r="D18" s="1128"/>
      <c r="E18" s="1150">
        <v>1</v>
      </c>
      <c r="F18" s="1129" t="s">
        <v>1448</v>
      </c>
      <c r="G18" s="1130"/>
      <c r="H18" s="1101"/>
      <c r="I18" s="1101"/>
    </row>
    <row r="19" spans="1:9" s="1585" customFormat="1" ht="19.5" customHeight="1">
      <c r="A19" s="3457"/>
      <c r="B19" s="3457" t="s">
        <v>1449</v>
      </c>
      <c r="C19" s="1127" t="s">
        <v>1450</v>
      </c>
      <c r="D19" s="1128"/>
      <c r="E19" s="1150">
        <v>0.9</v>
      </c>
      <c r="F19" s="1129" t="s">
        <v>1451</v>
      </c>
      <c r="G19" s="1130"/>
      <c r="H19" s="1101"/>
      <c r="I19" s="1101"/>
    </row>
    <row r="20" spans="1:9" s="1585" customFormat="1" ht="19.5" customHeight="1">
      <c r="A20" s="3457"/>
      <c r="B20" s="3457"/>
      <c r="C20" s="1127" t="s">
        <v>1452</v>
      </c>
      <c r="D20" s="1128"/>
      <c r="E20" s="1150">
        <v>1.1000000000000001</v>
      </c>
      <c r="F20" s="1129" t="s">
        <v>1453</v>
      </c>
      <c r="G20" s="1130"/>
      <c r="H20" s="1101"/>
      <c r="I20" s="1101"/>
    </row>
    <row r="21" spans="1:9" s="1585" customFormat="1" ht="19.5" customHeight="1">
      <c r="A21" s="3457"/>
      <c r="B21" s="3457"/>
      <c r="C21" s="1127" t="s">
        <v>1454</v>
      </c>
      <c r="D21" s="1128"/>
      <c r="E21" s="1150">
        <v>0.8</v>
      </c>
      <c r="F21" s="1129" t="s">
        <v>1455</v>
      </c>
      <c r="G21" s="1130"/>
      <c r="H21" s="1101"/>
      <c r="I21" s="1101"/>
    </row>
    <row r="22" spans="1:9" s="1585" customFormat="1" ht="19.5" customHeight="1">
      <c r="A22" s="3457"/>
      <c r="B22" s="3457"/>
      <c r="C22" s="1127" t="s">
        <v>1456</v>
      </c>
      <c r="D22" s="1128"/>
      <c r="E22" s="1150">
        <v>0.5</v>
      </c>
      <c r="F22" s="1129"/>
      <c r="G22" s="1130"/>
      <c r="H22" s="1101"/>
      <c r="I22" s="1101"/>
    </row>
    <row r="23" spans="1:9" s="1585" customFormat="1" ht="19.5" customHeight="1">
      <c r="A23" s="3457" t="s">
        <v>1029</v>
      </c>
      <c r="B23" s="1150" t="s">
        <v>1446</v>
      </c>
      <c r="C23" s="1127" t="s">
        <v>1457</v>
      </c>
      <c r="D23" s="1128"/>
      <c r="E23" s="1150">
        <v>1</v>
      </c>
      <c r="F23" s="1129" t="s">
        <v>1458</v>
      </c>
      <c r="G23" s="1130"/>
      <c r="H23" s="1101"/>
      <c r="I23" s="1101"/>
    </row>
    <row r="24" spans="1:9" s="1585" customFormat="1" ht="19.5" customHeight="1">
      <c r="A24" s="3457"/>
      <c r="B24" s="3457" t="s">
        <v>1449</v>
      </c>
      <c r="C24" s="1127" t="s">
        <v>1459</v>
      </c>
      <c r="D24" s="1128"/>
      <c r="E24" s="1150">
        <v>0.5</v>
      </c>
      <c r="F24" s="1129"/>
      <c r="G24" s="1130"/>
      <c r="H24" s="1101"/>
      <c r="I24" s="1101"/>
    </row>
    <row r="25" spans="1:9" s="1585" customFormat="1" ht="19.5" customHeight="1">
      <c r="A25" s="3457"/>
      <c r="B25" s="3457"/>
      <c r="C25" s="1127" t="s">
        <v>1460</v>
      </c>
      <c r="D25" s="1128"/>
      <c r="E25" s="1150">
        <v>1.1000000000000001</v>
      </c>
      <c r="F25" s="1129"/>
      <c r="G25" s="1130"/>
      <c r="H25" s="1101"/>
      <c r="I25" s="1101"/>
    </row>
    <row r="26" spans="1:9" s="1585" customFormat="1" ht="19.5" customHeight="1">
      <c r="A26" s="3457"/>
      <c r="B26" s="3457"/>
      <c r="C26" s="1127" t="s">
        <v>1461</v>
      </c>
      <c r="D26" s="1128"/>
      <c r="E26" s="1150">
        <v>1.1000000000000001</v>
      </c>
      <c r="F26" s="1129"/>
      <c r="G26" s="1130"/>
      <c r="H26" s="1101"/>
      <c r="I26" s="1101"/>
    </row>
    <row r="27" spans="1:9" s="1585" customFormat="1" ht="19.5" customHeight="1">
      <c r="A27" s="3457"/>
      <c r="B27" s="3457"/>
      <c r="C27" s="1127" t="s">
        <v>1462</v>
      </c>
      <c r="D27" s="1128"/>
      <c r="E27" s="1150">
        <v>0.9</v>
      </c>
      <c r="F27" s="1129" t="s">
        <v>1463</v>
      </c>
      <c r="G27" s="1130"/>
      <c r="H27" s="1101"/>
      <c r="I27" s="1101"/>
    </row>
    <row r="28" spans="1:9" s="1585" customFormat="1" ht="19.5" customHeight="1">
      <c r="A28" s="3457"/>
      <c r="B28" s="3457"/>
      <c r="C28" s="1127" t="s">
        <v>1464</v>
      </c>
      <c r="D28" s="1128"/>
      <c r="E28" s="1150">
        <v>0.9</v>
      </c>
      <c r="F28" s="1129" t="s">
        <v>1465</v>
      </c>
      <c r="G28" s="1130"/>
      <c r="H28" s="1101"/>
      <c r="I28" s="1101"/>
    </row>
    <row r="29" spans="1:9" s="1585" customFormat="1" ht="19.5" customHeight="1">
      <c r="A29" s="3457"/>
      <c r="B29" s="3457"/>
      <c r="C29" s="1127" t="s">
        <v>1466</v>
      </c>
      <c r="D29" s="1128"/>
      <c r="E29" s="1150">
        <v>0.9</v>
      </c>
      <c r="F29" s="1129" t="s">
        <v>1467</v>
      </c>
      <c r="G29" s="1130"/>
      <c r="H29" s="1101"/>
      <c r="I29" s="1101"/>
    </row>
    <row r="30" spans="1:9" s="1585" customFormat="1" ht="19.5" customHeight="1">
      <c r="A30" s="3457"/>
      <c r="B30" s="3457"/>
      <c r="C30" s="1127" t="s">
        <v>1468</v>
      </c>
      <c r="D30" s="1128"/>
      <c r="E30" s="1150">
        <v>0.9</v>
      </c>
      <c r="F30" s="1129" t="s">
        <v>1469</v>
      </c>
      <c r="G30" s="1130"/>
      <c r="H30" s="1101"/>
      <c r="I30" s="1101"/>
    </row>
    <row r="31" spans="1:9" s="1585" customFormat="1" ht="19.5" customHeight="1">
      <c r="A31" s="3457"/>
      <c r="B31" s="3457"/>
      <c r="C31" s="1127" t="s">
        <v>1470</v>
      </c>
      <c r="D31" s="1128"/>
      <c r="E31" s="1150">
        <v>0.8</v>
      </c>
      <c r="F31" s="1129" t="s">
        <v>1471</v>
      </c>
      <c r="G31" s="1130"/>
      <c r="H31" s="1101"/>
      <c r="I31" s="1101"/>
    </row>
    <row r="32" spans="1:9" s="1585" customFormat="1" ht="19.5" customHeight="1">
      <c r="A32" s="3457"/>
      <c r="B32" s="3457"/>
      <c r="C32" s="1127" t="s">
        <v>1472</v>
      </c>
      <c r="D32" s="1128"/>
      <c r="E32" s="1150">
        <v>0.8</v>
      </c>
      <c r="F32" s="1129" t="s">
        <v>1473</v>
      </c>
      <c r="G32" s="1130"/>
      <c r="H32" s="1101"/>
      <c r="I32" s="1101"/>
    </row>
    <row r="33" spans="1:9" s="1585" customFormat="1" ht="19.5" customHeight="1">
      <c r="A33" s="3457" t="s">
        <v>1474</v>
      </c>
      <c r="B33" s="1150" t="s">
        <v>1446</v>
      </c>
      <c r="C33" s="1127" t="s">
        <v>1475</v>
      </c>
      <c r="D33" s="1128"/>
      <c r="E33" s="1150">
        <v>1</v>
      </c>
      <c r="F33" s="1129" t="s">
        <v>1476</v>
      </c>
      <c r="G33" s="1130"/>
      <c r="H33" s="1101"/>
      <c r="I33" s="1101"/>
    </row>
    <row r="34" spans="1:9" s="1585" customFormat="1" ht="19.5" customHeight="1">
      <c r="A34" s="3457"/>
      <c r="B34" s="1150" t="s">
        <v>1449</v>
      </c>
      <c r="C34" s="1127" t="s">
        <v>1477</v>
      </c>
      <c r="D34" s="1128"/>
      <c r="E34" s="1150">
        <v>1.5</v>
      </c>
      <c r="F34" s="1129" t="s">
        <v>1478</v>
      </c>
      <c r="G34" s="1130"/>
      <c r="H34" s="1101"/>
      <c r="I34" s="1101"/>
    </row>
    <row r="35" spans="1:9" s="1585" customFormat="1" ht="19.5" customHeight="1">
      <c r="A35" s="3457" t="s">
        <v>1432</v>
      </c>
      <c r="B35" s="1150" t="s">
        <v>1446</v>
      </c>
      <c r="C35" s="1127" t="s">
        <v>1479</v>
      </c>
      <c r="D35" s="1128"/>
      <c r="E35" s="1150">
        <v>1</v>
      </c>
      <c r="F35" s="1129" t="s">
        <v>1480</v>
      </c>
      <c r="G35" s="1130"/>
      <c r="H35" s="1101"/>
      <c r="I35" s="1101"/>
    </row>
    <row r="36" spans="1:9" s="1585" customFormat="1" ht="19.5" customHeight="1">
      <c r="A36" s="3457"/>
      <c r="B36" s="3457" t="s">
        <v>1449</v>
      </c>
      <c r="C36" s="1127" t="s">
        <v>1481</v>
      </c>
      <c r="D36" s="1128"/>
      <c r="E36" s="1150">
        <v>1</v>
      </c>
      <c r="F36" s="1129" t="s">
        <v>1482</v>
      </c>
      <c r="G36" s="1130"/>
      <c r="H36" s="1101"/>
      <c r="I36" s="1101"/>
    </row>
    <row r="37" spans="1:9" s="1585" customFormat="1" ht="19.5" customHeight="1">
      <c r="A37" s="3457"/>
      <c r="B37" s="3457"/>
      <c r="C37" s="1127" t="s">
        <v>1483</v>
      </c>
      <c r="D37" s="1128"/>
      <c r="E37" s="1150">
        <v>1.5</v>
      </c>
      <c r="F37" s="1129" t="s">
        <v>1484</v>
      </c>
      <c r="G37" s="1130"/>
      <c r="H37" s="1101"/>
      <c r="I37" s="1101"/>
    </row>
    <row r="38" spans="1:9" s="1585" customFormat="1" ht="19.5" customHeight="1">
      <c r="A38" s="3457"/>
      <c r="B38" s="3457"/>
      <c r="C38" s="1127" t="s">
        <v>1485</v>
      </c>
      <c r="D38" s="1128"/>
      <c r="E38" s="1150">
        <v>1</v>
      </c>
      <c r="F38" s="1129" t="s">
        <v>1486</v>
      </c>
      <c r="G38" s="1130"/>
      <c r="H38" s="1101"/>
      <c r="I38" s="1101"/>
    </row>
    <row r="39" spans="1:9" s="1585" customFormat="1" ht="19.5" customHeight="1">
      <c r="A39" s="3457"/>
      <c r="B39" s="345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7" t="s">
        <v>1501</v>
      </c>
      <c r="C61" s="1064" t="s">
        <v>1502</v>
      </c>
      <c r="D61" s="1064" t="s">
        <v>1503</v>
      </c>
      <c r="E61" s="1135">
        <v>0.5</v>
      </c>
      <c r="F61" s="1150">
        <v>80</v>
      </c>
      <c r="H61" s="1101">
        <f>SUMIF(C59:C119,基准地价!C8,E59:E119)</f>
        <v>0</v>
      </c>
    </row>
    <row r="62" spans="1:8" s="1101" customFormat="1" ht="24">
      <c r="A62" s="1150">
        <v>2</v>
      </c>
      <c r="B62" s="3457"/>
      <c r="C62" s="1064" t="s">
        <v>1504</v>
      </c>
      <c r="D62" s="1064" t="s">
        <v>1505</v>
      </c>
      <c r="E62" s="1135">
        <v>0.5</v>
      </c>
      <c r="F62" s="1150">
        <v>80</v>
      </c>
    </row>
    <row r="63" spans="1:8" s="1101" customFormat="1" ht="36">
      <c r="A63" s="1150">
        <v>3</v>
      </c>
      <c r="B63" s="3457"/>
      <c r="C63" s="1064" t="s">
        <v>1506</v>
      </c>
      <c r="D63" s="1064" t="s">
        <v>1507</v>
      </c>
      <c r="E63" s="1135">
        <v>0.5</v>
      </c>
      <c r="F63" s="1150">
        <v>80</v>
      </c>
    </row>
    <row r="64" spans="1:8" s="1101" customFormat="1" ht="36">
      <c r="A64" s="1150">
        <v>4</v>
      </c>
      <c r="B64" s="3457"/>
      <c r="C64" s="1064" t="s">
        <v>1508</v>
      </c>
      <c r="D64" s="1064" t="s">
        <v>1509</v>
      </c>
      <c r="E64" s="1135">
        <v>0.4</v>
      </c>
      <c r="F64" s="1150">
        <v>60</v>
      </c>
    </row>
    <row r="65" spans="1:6" s="1101" customFormat="1" ht="36">
      <c r="A65" s="1150">
        <v>5</v>
      </c>
      <c r="B65" s="3457"/>
      <c r="C65" s="1064" t="s">
        <v>1510</v>
      </c>
      <c r="D65" s="1064" t="s">
        <v>1511</v>
      </c>
      <c r="E65" s="1135">
        <v>0.2</v>
      </c>
      <c r="F65" s="1150">
        <v>30</v>
      </c>
    </row>
    <row r="66" spans="1:6" s="1101" customFormat="1" ht="36">
      <c r="A66" s="1150">
        <v>6</v>
      </c>
      <c r="B66" s="3457"/>
      <c r="C66" s="1064" t="s">
        <v>1512</v>
      </c>
      <c r="D66" s="1064" t="s">
        <v>1513</v>
      </c>
      <c r="E66" s="1135">
        <v>0.3</v>
      </c>
      <c r="F66" s="1150">
        <v>50</v>
      </c>
    </row>
    <row r="67" spans="1:6" s="1101" customFormat="1" ht="36">
      <c r="A67" s="1150">
        <v>7</v>
      </c>
      <c r="B67" s="3457"/>
      <c r="C67" s="1064" t="s">
        <v>1514</v>
      </c>
      <c r="D67" s="1064" t="s">
        <v>1515</v>
      </c>
      <c r="E67" s="1135">
        <v>0.2</v>
      </c>
      <c r="F67" s="1150">
        <v>30</v>
      </c>
    </row>
    <row r="68" spans="1:6" s="1101" customFormat="1" ht="36">
      <c r="A68" s="1150">
        <v>8</v>
      </c>
      <c r="B68" s="3457"/>
      <c r="C68" s="1064" t="s">
        <v>1516</v>
      </c>
      <c r="D68" s="1064" t="s">
        <v>1517</v>
      </c>
      <c r="E68" s="1135">
        <v>0.2</v>
      </c>
      <c r="F68" s="1150">
        <v>30</v>
      </c>
    </row>
    <row r="69" spans="1:6" s="1101" customFormat="1" ht="36">
      <c r="A69" s="1150">
        <v>9</v>
      </c>
      <c r="B69" s="3457"/>
      <c r="C69" s="1064" t="s">
        <v>1518</v>
      </c>
      <c r="D69" s="1064" t="s">
        <v>1519</v>
      </c>
      <c r="E69" s="1135">
        <v>0.2</v>
      </c>
      <c r="F69" s="1150">
        <v>30</v>
      </c>
    </row>
    <row r="70" spans="1:6" s="1101" customFormat="1" ht="48">
      <c r="A70" s="1150">
        <v>10</v>
      </c>
      <c r="B70" s="3457"/>
      <c r="C70" s="1064" t="s">
        <v>1520</v>
      </c>
      <c r="D70" s="1064" t="s">
        <v>1521</v>
      </c>
      <c r="E70" s="1135">
        <v>0.2</v>
      </c>
      <c r="F70" s="1150">
        <v>30</v>
      </c>
    </row>
    <row r="71" spans="1:6" s="1101" customFormat="1" ht="48">
      <c r="A71" s="1150">
        <v>11</v>
      </c>
      <c r="B71" s="3457"/>
      <c r="C71" s="1064" t="s">
        <v>1522</v>
      </c>
      <c r="D71" s="1064" t="s">
        <v>1523</v>
      </c>
      <c r="E71" s="1135">
        <v>0.2</v>
      </c>
      <c r="F71" s="1150">
        <v>30</v>
      </c>
    </row>
    <row r="72" spans="1:6" s="1101" customFormat="1" ht="36">
      <c r="A72" s="1150">
        <v>12</v>
      </c>
      <c r="B72" s="3457"/>
      <c r="C72" s="1064" t="s">
        <v>1524</v>
      </c>
      <c r="D72" s="1064" t="s">
        <v>1525</v>
      </c>
      <c r="E72" s="1135">
        <v>0.5</v>
      </c>
      <c r="F72" s="1150">
        <v>80</v>
      </c>
    </row>
    <row r="73" spans="1:6" s="1101" customFormat="1" ht="24">
      <c r="A73" s="1150">
        <v>13</v>
      </c>
      <c r="B73" s="3457"/>
      <c r="C73" s="1064" t="s">
        <v>1526</v>
      </c>
      <c r="D73" s="1064" t="s">
        <v>1527</v>
      </c>
      <c r="E73" s="1135">
        <v>0.4</v>
      </c>
      <c r="F73" s="1150">
        <v>60</v>
      </c>
    </row>
    <row r="74" spans="1:6" s="1101" customFormat="1" ht="24">
      <c r="A74" s="1150">
        <v>14</v>
      </c>
      <c r="B74" s="3457"/>
      <c r="C74" s="1064" t="s">
        <v>1528</v>
      </c>
      <c r="D74" s="1064" t="s">
        <v>1529</v>
      </c>
      <c r="E74" s="1135">
        <v>0.2</v>
      </c>
      <c r="F74" s="1150">
        <v>30</v>
      </c>
    </row>
    <row r="75" spans="1:6" s="1101" customFormat="1" ht="24">
      <c r="A75" s="1150">
        <v>15</v>
      </c>
      <c r="B75" s="3457"/>
      <c r="C75" s="1064" t="s">
        <v>1530</v>
      </c>
      <c r="D75" s="1064" t="s">
        <v>1531</v>
      </c>
      <c r="E75" s="1135">
        <v>0.2</v>
      </c>
      <c r="F75" s="1150">
        <v>30</v>
      </c>
    </row>
    <row r="76" spans="1:6" s="1101" customFormat="1" ht="24">
      <c r="A76" s="1150">
        <v>16</v>
      </c>
      <c r="B76" s="3457" t="s">
        <v>1532</v>
      </c>
      <c r="C76" s="1064" t="s">
        <v>1533</v>
      </c>
      <c r="D76" s="1064" t="s">
        <v>1534</v>
      </c>
      <c r="E76" s="1135">
        <v>0.5</v>
      </c>
      <c r="F76" s="1150">
        <v>80</v>
      </c>
    </row>
    <row r="77" spans="1:6" s="1101" customFormat="1" ht="24">
      <c r="A77" s="1150">
        <v>17</v>
      </c>
      <c r="B77" s="3457"/>
      <c r="C77" s="1064" t="s">
        <v>1535</v>
      </c>
      <c r="D77" s="1064" t="s">
        <v>1536</v>
      </c>
      <c r="E77" s="1135">
        <v>0.5</v>
      </c>
      <c r="F77" s="1150">
        <v>80</v>
      </c>
    </row>
    <row r="78" spans="1:6" s="1101" customFormat="1" ht="24">
      <c r="A78" s="1150">
        <v>18</v>
      </c>
      <c r="B78" s="3457"/>
      <c r="C78" s="1064" t="s">
        <v>1537</v>
      </c>
      <c r="D78" s="1064" t="s">
        <v>1538</v>
      </c>
      <c r="E78" s="1135">
        <v>0.2</v>
      </c>
      <c r="F78" s="1150">
        <v>30</v>
      </c>
    </row>
    <row r="79" spans="1:6" s="1101" customFormat="1" ht="24">
      <c r="A79" s="1150">
        <v>19</v>
      </c>
      <c r="B79" s="3457"/>
      <c r="C79" s="1064" t="s">
        <v>1539</v>
      </c>
      <c r="D79" s="1064" t="s">
        <v>1540</v>
      </c>
      <c r="E79" s="1135">
        <v>0.5</v>
      </c>
      <c r="F79" s="1150">
        <v>80</v>
      </c>
    </row>
    <row r="80" spans="1:6" s="1101" customFormat="1" ht="36">
      <c r="A80" s="1150">
        <v>20</v>
      </c>
      <c r="B80" s="3457"/>
      <c r="C80" s="1064" t="s">
        <v>1541</v>
      </c>
      <c r="D80" s="1064" t="s">
        <v>1542</v>
      </c>
      <c r="E80" s="1135">
        <v>0.2</v>
      </c>
      <c r="F80" s="1150">
        <v>30</v>
      </c>
    </row>
    <row r="81" spans="1:6" s="1101" customFormat="1" ht="36">
      <c r="A81" s="1150">
        <v>21</v>
      </c>
      <c r="B81" s="3457"/>
      <c r="C81" s="1064" t="s">
        <v>1543</v>
      </c>
      <c r="D81" s="1064" t="s">
        <v>1544</v>
      </c>
      <c r="E81" s="1135">
        <v>0.2</v>
      </c>
      <c r="F81" s="1150">
        <v>30</v>
      </c>
    </row>
    <row r="82" spans="1:6" s="1101" customFormat="1" ht="48">
      <c r="A82" s="1150">
        <v>22</v>
      </c>
      <c r="B82" s="3457"/>
      <c r="C82" s="1064" t="s">
        <v>1545</v>
      </c>
      <c r="D82" s="1064" t="s">
        <v>1546</v>
      </c>
      <c r="E82" s="1135">
        <v>0.2</v>
      </c>
      <c r="F82" s="1150">
        <v>30</v>
      </c>
    </row>
    <row r="83" spans="1:6" s="1101" customFormat="1" ht="48">
      <c r="A83" s="1150">
        <v>23</v>
      </c>
      <c r="B83" s="3457"/>
      <c r="C83" s="1064" t="s">
        <v>1547</v>
      </c>
      <c r="D83" s="1064" t="s">
        <v>1548</v>
      </c>
      <c r="E83" s="1135">
        <v>0.2</v>
      </c>
      <c r="F83" s="1150">
        <v>30</v>
      </c>
    </row>
    <row r="84" spans="1:6" s="1101" customFormat="1" ht="36">
      <c r="A84" s="1150">
        <v>24</v>
      </c>
      <c r="B84" s="3457"/>
      <c r="C84" s="1064" t="s">
        <v>1549</v>
      </c>
      <c r="D84" s="1064" t="s">
        <v>1550</v>
      </c>
      <c r="E84" s="1135">
        <v>0.2</v>
      </c>
      <c r="F84" s="1150">
        <v>30</v>
      </c>
    </row>
    <row r="85" spans="1:6" s="1101" customFormat="1" ht="36">
      <c r="A85" s="1150">
        <v>25</v>
      </c>
      <c r="B85" s="3457"/>
      <c r="C85" s="1064" t="s">
        <v>1551</v>
      </c>
      <c r="D85" s="1064" t="s">
        <v>1552</v>
      </c>
      <c r="E85" s="1135">
        <v>0.5</v>
      </c>
      <c r="F85" s="1150">
        <v>80</v>
      </c>
    </row>
    <row r="86" spans="1:6" s="1101" customFormat="1" ht="36">
      <c r="A86" s="1150">
        <v>26</v>
      </c>
      <c r="B86" s="3457"/>
      <c r="C86" s="1064" t="s">
        <v>1553</v>
      </c>
      <c r="D86" s="1064" t="s">
        <v>1554</v>
      </c>
      <c r="E86" s="1135">
        <v>0.2</v>
      </c>
      <c r="F86" s="1150">
        <v>30</v>
      </c>
    </row>
    <row r="87" spans="1:6" s="1101" customFormat="1" ht="36">
      <c r="A87" s="1150">
        <v>27</v>
      </c>
      <c r="B87" s="3457"/>
      <c r="C87" s="1064" t="s">
        <v>1555</v>
      </c>
      <c r="D87" s="1064" t="s">
        <v>1556</v>
      </c>
      <c r="E87" s="1135">
        <v>0.2</v>
      </c>
      <c r="F87" s="1150">
        <v>30</v>
      </c>
    </row>
    <row r="88" spans="1:6" s="1101" customFormat="1" ht="36">
      <c r="A88" s="1150">
        <v>28</v>
      </c>
      <c r="B88" s="3457"/>
      <c r="C88" s="1064" t="s">
        <v>1557</v>
      </c>
      <c r="D88" s="1064" t="s">
        <v>1558</v>
      </c>
      <c r="E88" s="1135">
        <v>0.2</v>
      </c>
      <c r="F88" s="1150">
        <v>30</v>
      </c>
    </row>
    <row r="89" spans="1:6" s="1101" customFormat="1" ht="24">
      <c r="A89" s="1150">
        <v>29</v>
      </c>
      <c r="B89" s="3457"/>
      <c r="C89" s="1064" t="s">
        <v>1559</v>
      </c>
      <c r="D89" s="1064" t="s">
        <v>1560</v>
      </c>
      <c r="E89" s="1135">
        <v>0.2</v>
      </c>
      <c r="F89" s="1150">
        <v>30</v>
      </c>
    </row>
    <row r="90" spans="1:6" s="1101" customFormat="1" ht="24">
      <c r="A90" s="1150">
        <v>30</v>
      </c>
      <c r="B90" s="3457"/>
      <c r="C90" s="1064" t="s">
        <v>1561</v>
      </c>
      <c r="D90" s="1064" t="s">
        <v>1562</v>
      </c>
      <c r="E90" s="1135">
        <v>0.2</v>
      </c>
      <c r="F90" s="1150">
        <v>30</v>
      </c>
    </row>
    <row r="91" spans="1:6" s="1101" customFormat="1" ht="36">
      <c r="A91" s="1150">
        <v>31</v>
      </c>
      <c r="B91" s="3457"/>
      <c r="C91" s="1064" t="s">
        <v>1563</v>
      </c>
      <c r="D91" s="1064" t="s">
        <v>1564</v>
      </c>
      <c r="E91" s="1135">
        <v>0.2</v>
      </c>
      <c r="F91" s="1150">
        <v>30</v>
      </c>
    </row>
    <row r="92" spans="1:6" s="1101" customFormat="1" ht="24">
      <c r="A92" s="1150">
        <v>32</v>
      </c>
      <c r="B92" s="3457" t="s">
        <v>1565</v>
      </c>
      <c r="C92" s="1150" t="s">
        <v>1566</v>
      </c>
      <c r="D92" s="1064" t="s">
        <v>1567</v>
      </c>
      <c r="E92" s="1135">
        <v>0.2</v>
      </c>
      <c r="F92" s="1150">
        <v>30</v>
      </c>
    </row>
    <row r="93" spans="1:6" s="1101" customFormat="1" ht="36">
      <c r="A93" s="1150">
        <v>33</v>
      </c>
      <c r="B93" s="3457"/>
      <c r="C93" s="1150" t="s">
        <v>1568</v>
      </c>
      <c r="D93" s="1064" t="s">
        <v>1569</v>
      </c>
      <c r="E93" s="1135">
        <v>0.2</v>
      </c>
      <c r="F93" s="1150">
        <v>30</v>
      </c>
    </row>
    <row r="94" spans="1:6" s="1101" customFormat="1" ht="48">
      <c r="A94" s="1150">
        <v>34</v>
      </c>
      <c r="B94" s="3457"/>
      <c r="C94" s="1150" t="s">
        <v>1570</v>
      </c>
      <c r="D94" s="1064" t="s">
        <v>1571</v>
      </c>
      <c r="E94" s="1135">
        <v>0.2</v>
      </c>
      <c r="F94" s="1150">
        <v>30</v>
      </c>
    </row>
    <row r="95" spans="1:6" s="1101" customFormat="1" ht="36">
      <c r="A95" s="1150">
        <v>35</v>
      </c>
      <c r="B95" s="3457"/>
      <c r="C95" s="1150" t="s">
        <v>1572</v>
      </c>
      <c r="D95" s="1064" t="s">
        <v>1573</v>
      </c>
      <c r="E95" s="1135">
        <v>0.2</v>
      </c>
      <c r="F95" s="1150">
        <v>30</v>
      </c>
    </row>
    <row r="96" spans="1:6" s="1101" customFormat="1" ht="48">
      <c r="A96" s="1150">
        <v>36</v>
      </c>
      <c r="B96" s="3457"/>
      <c r="C96" s="1064" t="s">
        <v>1574</v>
      </c>
      <c r="D96" s="1064" t="s">
        <v>1575</v>
      </c>
      <c r="E96" s="1135">
        <v>0.2</v>
      </c>
      <c r="F96" s="1150">
        <v>30</v>
      </c>
    </row>
    <row r="97" spans="1:6" s="1101" customFormat="1" ht="36">
      <c r="A97" s="1150">
        <v>37</v>
      </c>
      <c r="B97" s="3457"/>
      <c r="C97" s="1150" t="s">
        <v>1576</v>
      </c>
      <c r="D97" s="1064" t="s">
        <v>1577</v>
      </c>
      <c r="E97" s="1135">
        <v>0.2</v>
      </c>
      <c r="F97" s="1150">
        <v>30</v>
      </c>
    </row>
    <row r="98" spans="1:6" s="1101" customFormat="1" ht="36">
      <c r="A98" s="1150">
        <v>38</v>
      </c>
      <c r="B98" s="3457"/>
      <c r="C98" s="1150" t="s">
        <v>1578</v>
      </c>
      <c r="D98" s="1064" t="s">
        <v>1579</v>
      </c>
      <c r="E98" s="1135">
        <v>0.2</v>
      </c>
      <c r="F98" s="1150">
        <v>30</v>
      </c>
    </row>
    <row r="99" spans="1:6" s="1101" customFormat="1" ht="36">
      <c r="A99" s="1150">
        <v>39</v>
      </c>
      <c r="B99" s="3457" t="s">
        <v>1580</v>
      </c>
      <c r="C99" s="1150" t="s">
        <v>1581</v>
      </c>
      <c r="D99" s="1064" t="s">
        <v>1582</v>
      </c>
      <c r="E99" s="1135">
        <v>0.3</v>
      </c>
      <c r="F99" s="1150">
        <v>50</v>
      </c>
    </row>
    <row r="100" spans="1:6" s="1101" customFormat="1" ht="24">
      <c r="A100" s="1150">
        <v>40</v>
      </c>
      <c r="B100" s="3457"/>
      <c r="C100" s="1150" t="s">
        <v>1583</v>
      </c>
      <c r="D100" s="1064" t="s">
        <v>1584</v>
      </c>
      <c r="E100" s="1135">
        <v>0.2</v>
      </c>
      <c r="F100" s="1150">
        <v>30</v>
      </c>
    </row>
    <row r="101" spans="1:6" s="1101" customFormat="1" ht="36">
      <c r="A101" s="1150">
        <v>41</v>
      </c>
      <c r="B101" s="345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7" t="s">
        <v>1595</v>
      </c>
      <c r="C105" s="1150" t="s">
        <v>1596</v>
      </c>
      <c r="D105" s="1064" t="s">
        <v>1597</v>
      </c>
      <c r="E105" s="1135">
        <v>0.2</v>
      </c>
      <c r="F105" s="1150">
        <v>30</v>
      </c>
    </row>
    <row r="106" spans="1:6" s="1101" customFormat="1" ht="36">
      <c r="A106" s="1150">
        <v>46</v>
      </c>
      <c r="B106" s="3457"/>
      <c r="C106" s="1150" t="s">
        <v>1598</v>
      </c>
      <c r="D106" s="1064" t="s">
        <v>1599</v>
      </c>
      <c r="E106" s="1135">
        <v>0.2</v>
      </c>
      <c r="F106" s="1150">
        <v>30</v>
      </c>
    </row>
    <row r="107" spans="1:6" s="1101" customFormat="1" ht="36">
      <c r="A107" s="1150">
        <v>47</v>
      </c>
      <c r="B107" s="3457" t="s">
        <v>1600</v>
      </c>
      <c r="C107" s="1150" t="s">
        <v>1601</v>
      </c>
      <c r="D107" s="1064" t="s">
        <v>1602</v>
      </c>
      <c r="E107" s="1135">
        <v>0.3</v>
      </c>
      <c r="F107" s="1150">
        <v>50</v>
      </c>
    </row>
    <row r="108" spans="1:6" s="1101" customFormat="1" ht="36">
      <c r="A108" s="1150">
        <v>48</v>
      </c>
      <c r="B108" s="345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7" t="s">
        <v>1611</v>
      </c>
      <c r="C111" s="1150" t="s">
        <v>1612</v>
      </c>
      <c r="D111" s="1064" t="s">
        <v>1613</v>
      </c>
      <c r="E111" s="1135">
        <v>0.2</v>
      </c>
      <c r="F111" s="1150">
        <v>30</v>
      </c>
    </row>
    <row r="112" spans="1:6" s="1101" customFormat="1" ht="24">
      <c r="A112" s="1150">
        <v>52</v>
      </c>
      <c r="B112" s="3457"/>
      <c r="C112" s="1150" t="s">
        <v>1614</v>
      </c>
      <c r="D112" s="1064" t="s">
        <v>1615</v>
      </c>
      <c r="E112" s="1135">
        <v>0.2</v>
      </c>
      <c r="F112" s="1150">
        <v>30</v>
      </c>
    </row>
    <row r="113" spans="1:14" s="1101" customFormat="1" ht="24">
      <c r="A113" s="1150">
        <v>53</v>
      </c>
      <c r="B113" s="345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7" t="s">
        <v>1624</v>
      </c>
      <c r="C116" s="1150" t="s">
        <v>1625</v>
      </c>
      <c r="D116" s="1064" t="s">
        <v>1626</v>
      </c>
      <c r="E116" s="1135">
        <v>0.2</v>
      </c>
      <c r="F116" s="1150">
        <v>30</v>
      </c>
    </row>
    <row r="117" spans="1:14" ht="36">
      <c r="A117" s="1150">
        <v>57</v>
      </c>
      <c r="B117" s="345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56" t="s">
        <v>1633</v>
      </c>
      <c r="B121" s="3456"/>
      <c r="C121" s="3456"/>
      <c r="D121" s="3456"/>
      <c r="E121" s="3456"/>
      <c r="F121" s="3456"/>
      <c r="G121" s="3456"/>
      <c r="H121" s="3456"/>
      <c r="I121" s="3456"/>
      <c r="J121" s="345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1" t="s">
        <v>1039</v>
      </c>
      <c r="B1" s="3471"/>
      <c r="C1" s="3471"/>
      <c r="D1" s="3471"/>
      <c r="E1" s="3471"/>
      <c r="F1" s="347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2" t="s">
        <v>1052</v>
      </c>
      <c r="B2" s="3472"/>
      <c r="C2" s="3472"/>
      <c r="D2" s="3472"/>
      <c r="E2" s="3472"/>
      <c r="F2" s="347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5" t="s">
        <v>2079</v>
      </c>
      <c r="B1" s="3475"/>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O36" sqref="O3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78" t="s">
        <v>2576</v>
      </c>
      <c r="C1" s="3478"/>
      <c r="D1" s="3478"/>
      <c r="E1" s="3478"/>
      <c r="F1" s="3478"/>
      <c r="G1" s="3477" t="s">
        <v>2577</v>
      </c>
      <c r="H1" s="3477"/>
      <c r="I1" s="3477"/>
      <c r="J1" s="3477"/>
      <c r="K1" s="3477"/>
      <c r="L1" s="3477"/>
      <c r="N1" s="3477" t="s">
        <v>2578</v>
      </c>
      <c r="O1" s="3477"/>
      <c r="P1" s="3477"/>
      <c r="Q1" s="3477"/>
      <c r="R1" s="2619"/>
      <c r="S1" s="3477" t="s">
        <v>2579</v>
      </c>
      <c r="T1" s="3477"/>
      <c r="U1" s="3477"/>
      <c r="V1" s="3477"/>
      <c r="X1" s="3476" t="s">
        <v>2639</v>
      </c>
      <c r="Y1" s="3477"/>
      <c r="Z1" s="3477"/>
      <c r="AA1" s="3477"/>
      <c r="AB1" s="3477"/>
      <c r="AD1" s="3476" t="s">
        <v>2643</v>
      </c>
      <c r="AE1" s="3477"/>
      <c r="AF1" s="3477"/>
      <c r="AG1" s="3477"/>
      <c r="AH1" s="3477"/>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2">
        <v>1.53</v>
      </c>
      <c r="J6" s="3182">
        <v>1.01</v>
      </c>
      <c r="K6" s="3182">
        <v>1.62</v>
      </c>
      <c r="L6" s="3183">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80">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80"/>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80"/>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86"/>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7">
        <v>439</v>
      </c>
      <c r="C12" s="3097">
        <v>327</v>
      </c>
      <c r="D12" s="3097">
        <f t="shared" si="65"/>
        <v>327</v>
      </c>
      <c r="E12" s="3097">
        <v>627</v>
      </c>
      <c r="F12" s="3098">
        <v>283</v>
      </c>
      <c r="G12" s="3485">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80"/>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80"/>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86"/>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85">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80"/>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80"/>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81"/>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79">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80"/>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80"/>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81"/>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79">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80"/>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80"/>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81"/>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82">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83"/>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83"/>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84"/>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79">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80"/>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80"/>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81"/>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79">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80">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80">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81">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79">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80">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80">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81">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79">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80">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80">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81">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79">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80">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80">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81">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79">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80">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80">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81">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79">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80">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80">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81">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79">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80">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80">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81">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79">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80">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80">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81">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79">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80">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80">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81">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79">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80">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80">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81">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88" t="s">
        <v>2463</v>
      </c>
      <c r="C8" s="1811">
        <f ca="1">ROUND(F8*F10*F9*(1-F11)/10000,0)</f>
        <v>0</v>
      </c>
      <c r="D8" s="1808" t="s">
        <v>2534</v>
      </c>
      <c r="E8" s="61" t="s">
        <v>637</v>
      </c>
      <c r="F8" s="785">
        <f ca="1">INDIRECT("'数据-取费表'!u"&amp;$G$1)</f>
        <v>0</v>
      </c>
      <c r="G8" s="1579"/>
      <c r="H8" s="2469" t="s">
        <v>1824</v>
      </c>
      <c r="I8" s="3488" t="s">
        <v>2463</v>
      </c>
      <c r="J8" s="783">
        <f ca="1">ROUND(M8*M10*M9*(1-M11)/10000,0)</f>
        <v>0</v>
      </c>
      <c r="K8" s="341" t="s">
        <v>2534</v>
      </c>
      <c r="L8" s="784" t="s">
        <v>1738</v>
      </c>
      <c r="M8" s="785">
        <f ca="1">INDIRECT("'数据-取费表'!z"&amp;$G$1)</f>
        <v>0</v>
      </c>
    </row>
    <row r="9" spans="1:25" ht="18" customHeight="1">
      <c r="A9" s="2465"/>
      <c r="B9" s="3489"/>
      <c r="C9" s="1812"/>
      <c r="D9" s="1809"/>
      <c r="E9" s="61" t="s">
        <v>638</v>
      </c>
      <c r="F9" s="785">
        <f ca="1">IF(INDIRECT("'数据-取费表'!ah"&amp;$G$1)="",INDIRECT("'数据-取费表'!k"&amp;$G$1),INDIRECT("'数据-取费表'!ah"&amp;$G$1))</f>
        <v>0</v>
      </c>
      <c r="G9" s="1579"/>
      <c r="H9" s="2454"/>
      <c r="I9" s="3489"/>
      <c r="J9" s="788"/>
      <c r="K9" s="789"/>
      <c r="L9" s="784" t="s">
        <v>1739</v>
      </c>
      <c r="M9" s="785">
        <f ca="1">F9</f>
        <v>0</v>
      </c>
    </row>
    <row r="10" spans="1:25" ht="18" customHeight="1">
      <c r="A10" s="2458"/>
      <c r="B10" s="3490"/>
      <c r="C10" s="1812"/>
      <c r="D10" s="1809"/>
      <c r="E10" s="61" t="s">
        <v>639</v>
      </c>
      <c r="F10" s="785">
        <f ca="1">INDIRECT("'数据-取费表'!ai"&amp;$G$1)</f>
        <v>0</v>
      </c>
      <c r="G10" s="1579"/>
      <c r="H10" s="2454"/>
      <c r="I10" s="3490"/>
      <c r="J10" s="788"/>
      <c r="K10" s="789"/>
      <c r="L10" s="784" t="s">
        <v>1740</v>
      </c>
      <c r="M10" s="785">
        <f ca="1">INDIRECT("'数据-取费表'!ai"&amp;$G$1)</f>
        <v>0</v>
      </c>
    </row>
    <row r="11" spans="1:25" ht="18" customHeight="1">
      <c r="A11" s="786"/>
      <c r="B11" s="3491"/>
      <c r="C11" s="1812"/>
      <c r="D11" s="1809"/>
      <c r="E11" s="61" t="s">
        <v>640</v>
      </c>
      <c r="F11" s="794">
        <f ca="1">INDIRECT("'数据-取费表'!w"&amp;$G$1)</f>
        <v>0</v>
      </c>
      <c r="G11" s="1579"/>
      <c r="H11" s="2470"/>
      <c r="I11" s="3490"/>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t="e">
        <f ca="1">ROUND(C31*F15,0)</f>
        <v>#VALUE!</v>
      </c>
      <c r="D15" s="1820" t="s">
        <v>642</v>
      </c>
      <c r="E15" s="795" t="s">
        <v>643</v>
      </c>
      <c r="F15" s="800">
        <f ca="1">INDIRECT("'数据-取费表'!y"&amp;$G$1)</f>
        <v>0</v>
      </c>
      <c r="G15" s="1579"/>
      <c r="H15" s="1815" t="s">
        <v>1826</v>
      </c>
      <c r="I15" s="1813" t="s">
        <v>644</v>
      </c>
      <c r="J15" s="1805" t="e">
        <f ca="1">ROUND(J16*J17,0)</f>
        <v>#VALUE!</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t="e">
        <f ca="1">C31</f>
        <v>#VALUE!</v>
      </c>
      <c r="K16" s="26"/>
      <c r="L16" s="801"/>
      <c r="M16" s="802"/>
    </row>
    <row r="17" spans="1:25" s="2050" customFormat="1" ht="18" customHeight="1">
      <c r="A17" s="803" t="s">
        <v>1849</v>
      </c>
      <c r="B17" s="784" t="s">
        <v>647</v>
      </c>
      <c r="C17" s="53">
        <f ca="1">ROUND(C16*F17,0)</f>
        <v>0</v>
      </c>
      <c r="D17" s="806" t="s">
        <v>648</v>
      </c>
      <c r="E17" s="806" t="s">
        <v>649</v>
      </c>
      <c r="F17" s="807">
        <f>'数据-取费表'!B33</f>
        <v>0</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t="e">
        <f ca="1">ROUND(J19+J24+J25+J26,0)</f>
        <v>#VALUE!</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0</v>
      </c>
      <c r="G19" s="1580"/>
      <c r="H19" s="803" t="s">
        <v>2069</v>
      </c>
      <c r="I19" s="784" t="s">
        <v>656</v>
      </c>
      <c r="J19" s="53" t="e">
        <f ca="1">ROUND(IF(项目基本情况!B11="自然人",J8*M19/(1+'数据-取费表'!C42),J20+J21+J22),0)</f>
        <v>#VALUE!</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0</v>
      </c>
      <c r="G20" s="1580"/>
      <c r="H20" s="803" t="s">
        <v>1831</v>
      </c>
      <c r="I20" s="784" t="s">
        <v>660</v>
      </c>
      <c r="J20" s="53">
        <f ca="1">ROUND(J8*M20/(1+'数据-取费表'!C42),1)</f>
        <v>0</v>
      </c>
      <c r="K20" s="1963" t="s">
        <v>661</v>
      </c>
      <c r="L20" s="784" t="s">
        <v>649</v>
      </c>
      <c r="M20" s="809">
        <f>'数据-取费表'!B41</f>
        <v>0</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t="e">
        <f ca="1">IF(K21="按租金收入计税",ROUND(J8*M21/(1+'数据-取费表'!C42),1),ROUND(C31*F35*0.7,1))</f>
        <v>#VALUE!</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t="e">
        <f ca="1">ROUND(J16*M24,0)</f>
        <v>#VALUE!</v>
      </c>
      <c r="K24" s="1963" t="s">
        <v>677</v>
      </c>
      <c r="L24" s="784" t="s">
        <v>649</v>
      </c>
      <c r="M24" s="817">
        <f ca="1">INDIRECT("'数据-取费表'!Ak"&amp;$G$1)</f>
        <v>0</v>
      </c>
    </row>
    <row r="25" spans="1:25" s="2050" customFormat="1" ht="18" customHeight="1">
      <c r="A25" s="803" t="s">
        <v>1875</v>
      </c>
      <c r="B25" s="784" t="s">
        <v>2437</v>
      </c>
      <c r="C25" s="53" t="e">
        <f ca="1">ROUND(IF('数据-取费表'!B22&lt;=1,(C21+C22)*F26*F25/2,(C21+C22)*(POWER((1+F26),F25/2)-1)),0)</f>
        <v>#VALUE!</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t="e">
        <f ca="1">ROUND(J15*M25,0)</f>
        <v>#VALUE!</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t="e">
        <f ca="1">ROUND(IF('数据-取费表'!B22&lt;=1,F23*F26*F25/2,F23*(POWER((1+F26),F25/2)-1)),4)</f>
        <v>#VALUE!</v>
      </c>
      <c r="D26" s="2536" t="str">
        <f>IF(F25&lt;=1,"销售费用×利率×(建设周期÷2)","销售费用×((1+利率)^(建设周期÷2)-1)")</f>
        <v>销售费用×利率×(建设周期÷2)</v>
      </c>
      <c r="E26" s="784" t="s">
        <v>682</v>
      </c>
      <c r="F26" s="819" t="e">
        <f ca="1">'数据-取费表'!B40</f>
        <v>#VALUE!</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t="e">
        <f ca="1">J7-J18</f>
        <v>#VALUE!</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0</v>
      </c>
      <c r="D30" s="812" t="s">
        <v>709</v>
      </c>
      <c r="E30" s="784" t="s">
        <v>649</v>
      </c>
      <c r="F30" s="809">
        <f>'数据-取费表'!B41</f>
        <v>0</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t="e">
        <f ca="1">ROUND((C21+C22+C25+C28)/(1-F23-C26-C29-C30),0)</f>
        <v>#VALUE!</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t="e">
        <f ca="1">ROUND(C33+C38+C39+C40,0)</f>
        <v>#VALUE!</v>
      </c>
      <c r="D32" s="1807" t="s">
        <v>652</v>
      </c>
      <c r="E32" s="2452"/>
      <c r="F32" s="2456"/>
      <c r="G32" s="2048"/>
      <c r="H32" s="2051"/>
      <c r="I32" s="2052"/>
      <c r="J32" s="2053"/>
      <c r="K32" s="2054"/>
      <c r="L32" s="2055"/>
      <c r="M32" s="2056"/>
    </row>
    <row r="33" spans="1:18" ht="18" customHeight="1">
      <c r="A33" s="803" t="s">
        <v>1876</v>
      </c>
      <c r="B33" s="784" t="s">
        <v>656</v>
      </c>
      <c r="C33" s="53" t="e">
        <f ca="1">ROUND(IF(项目基本情况!B11="自然人",C8*F33/(1+'数据-取费表'!C42),C34+C35+C36),1)</f>
        <v>#VALUE!</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0</v>
      </c>
      <c r="G34" s="2048"/>
      <c r="H34" s="2057"/>
      <c r="I34" s="2058"/>
      <c r="J34" s="2059"/>
      <c r="K34" s="2060"/>
      <c r="L34" s="2061"/>
      <c r="M34" s="2062"/>
    </row>
    <row r="35" spans="1:18" ht="18" customHeight="1">
      <c r="A35" s="803" t="s">
        <v>1849</v>
      </c>
      <c r="B35" s="784" t="s">
        <v>664</v>
      </c>
      <c r="C35" s="53" t="e">
        <f ca="1">IF(D35="按租金收入计税",ROUND(C8*F35/(1+'数据-取费表'!C42),1),IF(D35="按房产原值计税",ROUND(C31*F35*0.7,1),INDIRECT("'数据-取费表'!Aj"&amp;$G$1)))</f>
        <v>#VALUE!</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87"/>
      <c r="J36" s="2065"/>
      <c r="K36" s="2066"/>
      <c r="L36" s="2065"/>
      <c r="M36" s="2065"/>
    </row>
    <row r="37" spans="1:18" ht="18" customHeight="1">
      <c r="A37" s="815"/>
      <c r="B37" s="793"/>
      <c r="C37" s="69"/>
      <c r="D37" s="816"/>
      <c r="E37" s="784" t="s">
        <v>674</v>
      </c>
      <c r="F37" s="785">
        <f ca="1">INDIRECT("'数据-取费表'!r"&amp;$G$1)</f>
        <v>0</v>
      </c>
      <c r="G37" s="2048"/>
      <c r="H37" s="2051"/>
      <c r="I37" s="3487"/>
      <c r="J37" s="2063"/>
      <c r="K37" s="2064"/>
      <c r="L37" s="2063"/>
      <c r="M37" s="2063"/>
    </row>
    <row r="38" spans="1:18" ht="18" customHeight="1">
      <c r="A38" s="803" t="s">
        <v>1877</v>
      </c>
      <c r="B38" s="784" t="s">
        <v>676</v>
      </c>
      <c r="C38" s="53" t="e">
        <f ca="1">ROUND(C31*F38,1)</f>
        <v>#VALUE!</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t="e">
        <f ca="1">ROUND(C15*F39,1)</f>
        <v>#VALUE!</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t="e">
        <f ca="1">C7-C32</f>
        <v>#VALUE!</v>
      </c>
      <c r="D42" s="1965" t="s">
        <v>694</v>
      </c>
      <c r="E42" s="1967"/>
      <c r="F42" s="820"/>
      <c r="G42" s="2048"/>
      <c r="H42" s="2048"/>
      <c r="I42" s="2048"/>
      <c r="J42" s="2048"/>
      <c r="K42" s="2069"/>
      <c r="L42" s="2048"/>
      <c r="M42" s="2048"/>
    </row>
    <row r="43" spans="1:18" ht="18" customHeight="1">
      <c r="A43" s="803" t="s">
        <v>1877</v>
      </c>
      <c r="B43" s="835" t="s">
        <v>711</v>
      </c>
      <c r="C43" s="836" t="e">
        <f ca="1">ROUND(C15*F43,0)</f>
        <v>#VALUE!</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t="e">
        <f ca="1">C42-C43</f>
        <v>#VALUE!</v>
      </c>
      <c r="D44" s="463" t="s">
        <v>714</v>
      </c>
      <c r="E44" s="464"/>
      <c r="F44" s="465"/>
      <c r="G44" s="2048"/>
      <c r="H44" s="2048"/>
      <c r="I44" s="2048"/>
      <c r="J44" s="2048"/>
      <c r="K44" s="2069"/>
      <c r="L44" s="2048"/>
      <c r="M44" s="2048"/>
    </row>
    <row r="45" spans="1:18" ht="18" customHeight="1">
      <c r="A45" s="803" t="s">
        <v>1879</v>
      </c>
      <c r="B45" s="1352" t="s">
        <v>715</v>
      </c>
      <c r="C45" s="2990" t="e">
        <f ca="1">ROUND(-PV(F45,F46,C44,0),0)</f>
        <v>#VALUE!</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t="e">
        <f ca="1">C31</f>
        <v>#VALUE!</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0</v>
      </c>
      <c r="K54" s="3492"/>
      <c r="L54" s="3493"/>
      <c r="O54" s="2366" t="s">
        <v>2388</v>
      </c>
      <c r="P54" s="2364" t="s">
        <v>2389</v>
      </c>
      <c r="Q54" s="2365">
        <f ca="1">J54</f>
        <v>0</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t="e">
        <f ca="1">ROUND(Q71-Q72*Q73,0)</f>
        <v>#VALUE!</v>
      </c>
      <c r="R70" s="2368"/>
    </row>
    <row r="71" spans="1:18" s="2045" customFormat="1" ht="15.75" thickBot="1">
      <c r="A71" s="2082"/>
      <c r="B71" s="2083"/>
      <c r="C71" s="2083"/>
      <c r="K71" s="2072"/>
      <c r="O71" s="2366" t="s">
        <v>2399</v>
      </c>
      <c r="P71" s="2372" t="s">
        <v>2400</v>
      </c>
      <c r="Q71" s="2365" t="e">
        <f ca="1">C42</f>
        <v>#VALUE!</v>
      </c>
      <c r="R71" s="2364" t="s">
        <v>2380</v>
      </c>
    </row>
    <row r="72" spans="1:18" s="2045" customFormat="1" ht="15.75" thickBot="1">
      <c r="A72" s="2082"/>
      <c r="B72" s="2083"/>
      <c r="C72" s="2083"/>
      <c r="K72" s="2072"/>
      <c r="O72" s="2366" t="s">
        <v>2401</v>
      </c>
      <c r="P72" s="2372" t="s">
        <v>2402</v>
      </c>
      <c r="Q72" s="2365" t="e">
        <f ca="1">C15</f>
        <v>#VALUE!</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7"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#VALUE!</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88" t="s">
        <v>2463</v>
      </c>
      <c r="C6" s="783">
        <f ca="1">ROUND(F6*F8*F7*(1-F9)/10000,0)</f>
        <v>0</v>
      </c>
      <c r="D6" s="2462" t="s">
        <v>2462</v>
      </c>
      <c r="E6" s="784" t="s">
        <v>1738</v>
      </c>
      <c r="F6" s="785">
        <f ca="1">INDIRECT("'数据-取费表'!u"&amp;$G$1)</f>
        <v>0</v>
      </c>
      <c r="G6" s="1579"/>
      <c r="H6" s="2469" t="s">
        <v>2468</v>
      </c>
      <c r="I6" s="3488" t="s">
        <v>2463</v>
      </c>
      <c r="J6" s="783">
        <f ca="1">ROUND(M6*M8*M7*(1-M9)/10000,0)</f>
        <v>0</v>
      </c>
      <c r="K6" s="341" t="s">
        <v>1737</v>
      </c>
      <c r="L6" s="784" t="s">
        <v>1738</v>
      </c>
      <c r="M6" s="785">
        <f ca="1">INDIRECT("'数据-取费表'!z"&amp;$G$1)</f>
        <v>0</v>
      </c>
    </row>
    <row r="7" spans="1:33" ht="18" customHeight="1">
      <c r="A7" s="2465"/>
      <c r="B7" s="3489"/>
      <c r="C7" s="788"/>
      <c r="D7" s="789"/>
      <c r="E7" s="784" t="s">
        <v>1739</v>
      </c>
      <c r="F7" s="785">
        <f ca="1">IF(INDIRECT("'数据-取费表'!ah"&amp;$G$1)="",INDIRECT("'数据-取费表'!k"&amp;$G$1),INDIRECT("'数据-取费表'!ah"&amp;$G$1))</f>
        <v>0</v>
      </c>
      <c r="G7" s="1579"/>
      <c r="H7" s="2454"/>
      <c r="I7" s="3489"/>
      <c r="J7" s="788"/>
      <c r="K7" s="789"/>
      <c r="L7" s="784" t="s">
        <v>1739</v>
      </c>
      <c r="M7" s="785">
        <f ca="1">F7</f>
        <v>0</v>
      </c>
    </row>
    <row r="8" spans="1:33" ht="18" customHeight="1">
      <c r="A8" s="2458"/>
      <c r="B8" s="3490"/>
      <c r="C8" s="788"/>
      <c r="D8" s="789"/>
      <c r="E8" s="784" t="s">
        <v>1740</v>
      </c>
      <c r="F8" s="785">
        <f ca="1">INDIRECT("'数据-取费表'!ai"&amp;$G$1)</f>
        <v>0</v>
      </c>
      <c r="G8" s="1579"/>
      <c r="H8" s="2454"/>
      <c r="I8" s="3490"/>
      <c r="J8" s="788"/>
      <c r="K8" s="789"/>
      <c r="L8" s="784" t="s">
        <v>1740</v>
      </c>
      <c r="M8" s="785">
        <f ca="1">INDIRECT("'数据-取费表'!ai"&amp;$G$1)</f>
        <v>0</v>
      </c>
    </row>
    <row r="9" spans="1:33" ht="18" customHeight="1">
      <c r="A9" s="786"/>
      <c r="B9" s="3491"/>
      <c r="C9" s="788"/>
      <c r="D9" s="789"/>
      <c r="E9" s="784" t="s">
        <v>1741</v>
      </c>
      <c r="F9" s="794">
        <f ca="1">INDIRECT("'数据-取费表'!w"&amp;$G$1)</f>
        <v>0</v>
      </c>
      <c r="G9" s="1579"/>
      <c r="H9" s="2470"/>
      <c r="I9" s="3490"/>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t="e">
        <f ca="1">ROUND(C29*F13,0)</f>
        <v>#VALUE!</v>
      </c>
      <c r="D13" s="1820" t="s">
        <v>2297</v>
      </c>
      <c r="E13" s="1820" t="s">
        <v>1744</v>
      </c>
      <c r="F13" s="2501">
        <f ca="1">INDIRECT("'数据-取费表'!y"&amp;$G$1)</f>
        <v>0</v>
      </c>
      <c r="G13" s="1579"/>
      <c r="H13" s="1815">
        <v>2</v>
      </c>
      <c r="I13" s="1813" t="s">
        <v>1742</v>
      </c>
      <c r="J13" s="1805" t="e">
        <f ca="1">ROUND(J14*J15,0)</f>
        <v>#VALUE!</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t="e">
        <f ca="1">C29</f>
        <v>#VALUE!</v>
      </c>
      <c r="K14" s="26"/>
      <c r="L14" s="801"/>
      <c r="M14" s="802"/>
    </row>
    <row r="15" spans="1:33" s="2050" customFormat="1" ht="18" customHeight="1" thickBot="1">
      <c r="A15" s="1634" t="s">
        <v>1885</v>
      </c>
      <c r="B15" s="784" t="s">
        <v>647</v>
      </c>
      <c r="C15" s="53">
        <f ca="1">ROUND(C14*F15,0)</f>
        <v>0</v>
      </c>
      <c r="D15" s="806" t="s">
        <v>1746</v>
      </c>
      <c r="E15" s="806" t="s">
        <v>1747</v>
      </c>
      <c r="F15" s="807">
        <f>'数据-取费表'!B33</f>
        <v>0</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t="e">
        <f ca="1">ROUND(J17+J22+J23+J24,0)</f>
        <v>#VALUE!</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0</v>
      </c>
      <c r="G17" s="1580"/>
      <c r="H17" s="1635" t="s">
        <v>1830</v>
      </c>
      <c r="I17" s="784" t="s">
        <v>656</v>
      </c>
      <c r="J17" s="53" t="e">
        <f ca="1">ROUND(IF(项目基本情况!B11="自然人",J6*M17/(1+'数据-取费表'!C42),J18+J19+J20),0)</f>
        <v>#VALUE!</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0</v>
      </c>
      <c r="G18" s="1580"/>
      <c r="H18" s="1634" t="s">
        <v>1884</v>
      </c>
      <c r="I18" s="784" t="s">
        <v>1755</v>
      </c>
      <c r="J18" s="53">
        <f ca="1">ROUND(J6*M18/(1+'数据-取费表'!C42),1)</f>
        <v>0</v>
      </c>
      <c r="K18" s="2449" t="s">
        <v>1756</v>
      </c>
      <c r="L18" s="784" t="s">
        <v>1747</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t="e">
        <f ca="1">IF(K19="按租金收入计税",ROUND(J6*M19/(1+'数据-取费表'!C42),1),ROUND(C29*F33*0.7,1))</f>
        <v>#VALUE!</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t="e">
        <f ca="1">ROUND(J14*M22,0)</f>
        <v>#VALUE!</v>
      </c>
      <c r="K22" s="2449" t="s">
        <v>1769</v>
      </c>
      <c r="L22" s="784" t="s">
        <v>1747</v>
      </c>
      <c r="M22" s="817">
        <f ca="1">INDIRECT("'数据-取费表'!Ak"&amp;$G$1)</f>
        <v>0</v>
      </c>
    </row>
    <row r="23" spans="1:33" s="2050" customFormat="1" ht="18" customHeight="1">
      <c r="A23" s="1634" t="s">
        <v>1831</v>
      </c>
      <c r="B23" s="784" t="s">
        <v>2535</v>
      </c>
      <c r="C23" s="53" t="e">
        <f ca="1">ROUND(IF('数据-取费表'!B22&lt;=1,(C19+C20)*F24*F23/2,(C19+C20)*(POWER((1+F24),F23/2)-1)),0)</f>
        <v>#VALUE!</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t="e">
        <f ca="1">ROUND(J13*M23,0)</f>
        <v>#VALUE!</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t="e">
        <f ca="1">ROUND(IF('数据-取费表'!B22&lt;=1,F21*F24*F23/2,F21*(POWER((1+F24),F23/2)-1)),4)</f>
        <v>#VALUE!</v>
      </c>
      <c r="D24" s="2536" t="str">
        <f>IF(F23&lt;=1,"销售费用×利率×(建设周期÷2)","销售费用×((1+利率)^(建设周期÷2)-1)")</f>
        <v>销售费用×利率×(建设周期÷2)</v>
      </c>
      <c r="E24" s="784" t="s">
        <v>1773</v>
      </c>
      <c r="F24" s="819" t="e">
        <f ca="1">'数据-取费表'!B40</f>
        <v>#VALUE!</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t="e">
        <f ca="1">J5-J16</f>
        <v>#VALUE!</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0</v>
      </c>
      <c r="D28" s="812" t="s">
        <v>2299</v>
      </c>
      <c r="E28" s="784" t="s">
        <v>1785</v>
      </c>
      <c r="F28" s="809">
        <f>'数据-取费表'!B41</f>
        <v>0</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t="e">
        <f ca="1">ROUND((C19+C20+C23+C26)/(1-F21-C24-C27-C28),0)</f>
        <v>#VALUE!</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t="e">
        <f ca="1">ROUND(C31+C36+C37+C38,0)</f>
        <v>#VALUE!</v>
      </c>
      <c r="D30" s="1807" t="s">
        <v>1791</v>
      </c>
      <c r="E30" s="2451"/>
      <c r="F30" s="2456"/>
      <c r="G30" s="2048"/>
      <c r="H30" s="2051"/>
      <c r="I30" s="2052"/>
      <c r="J30" s="2053"/>
      <c r="K30" s="2054"/>
      <c r="L30" s="2055"/>
      <c r="M30" s="2056"/>
    </row>
    <row r="31" spans="1:33" ht="18" customHeight="1">
      <c r="A31" s="1635" t="s">
        <v>1830</v>
      </c>
      <c r="B31" s="784" t="s">
        <v>656</v>
      </c>
      <c r="C31" s="53" t="e">
        <f ca="1">ROUND(IF(项目基本情况!B11="自然人",C6*F31/(1+'数据-取费表'!C42),C32+C33+C34),1)</f>
        <v>#VALUE!</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0</v>
      </c>
      <c r="G32" s="2048"/>
      <c r="H32" s="2057"/>
      <c r="I32" s="2058"/>
      <c r="J32" s="2059"/>
      <c r="K32" s="2060"/>
      <c r="L32" s="2061"/>
      <c r="M32" s="2062"/>
    </row>
    <row r="33" spans="1:18" ht="18" customHeight="1">
      <c r="A33" s="1634" t="s">
        <v>1832</v>
      </c>
      <c r="B33" s="784" t="s">
        <v>1797</v>
      </c>
      <c r="C33" s="53" t="e">
        <f ca="1">IF(D33="按租金收入计税",ROUND(C6*F33/(1+'数据-取费表'!C42),1),IF(D33="按房产原值计税",ROUND(C29*F33*0.7,1),INDIRECT("'数据-取费表'!Aj"&amp;$G$1)))</f>
        <v>#VALUE!</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t="e">
        <f ca="1">ROUND(C13*J36,0)</f>
        <v>#VALUE!</v>
      </c>
      <c r="K35" s="2064"/>
      <c r="L35" s="2063"/>
      <c r="M35" s="2063"/>
    </row>
    <row r="36" spans="1:18" ht="18" customHeight="1">
      <c r="A36" s="1635" t="s">
        <v>1889</v>
      </c>
      <c r="B36" s="784" t="s">
        <v>1802</v>
      </c>
      <c r="C36" s="53" t="e">
        <f ca="1">ROUND(C29*F36,1)</f>
        <v>#VALUE!</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t="e">
        <f ca="1">ROUND(C13*F37,1)</f>
        <v>#VALUE!</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t="e">
        <f ca="1">C5-C30</f>
        <v>#VALUE!</v>
      </c>
      <c r="D39" s="2513" t="s">
        <v>1806</v>
      </c>
      <c r="E39" s="2514"/>
      <c r="F39" s="2515"/>
      <c r="G39" s="2048"/>
      <c r="H39" s="2063"/>
      <c r="I39" s="837" t="s">
        <v>1818</v>
      </c>
      <c r="J39" s="845" t="e">
        <f ca="1">ROUND(J35/C39,3)</f>
        <v>#VALUE!</v>
      </c>
      <c r="K39" s="2069"/>
      <c r="L39" s="2063"/>
      <c r="M39" s="2063"/>
    </row>
    <row r="40" spans="1:18" ht="18" customHeight="1">
      <c r="A40" s="781" t="s">
        <v>1895</v>
      </c>
      <c r="B40" s="2218" t="s">
        <v>2301</v>
      </c>
      <c r="C40" s="783" t="e">
        <f ca="1">ROUND(C39*(1-((1+F42)/(1+F40))^F41)/(F40-F42),0)</f>
        <v>#VALUE!</v>
      </c>
      <c r="D40" s="814" t="s">
        <v>1807</v>
      </c>
      <c r="E40" s="784" t="s">
        <v>2419</v>
      </c>
      <c r="F40" s="794">
        <f ca="1">INDIRECT("'数据-取费表'!I"&amp;$G$1)</f>
        <v>0</v>
      </c>
      <c r="G40" s="2048"/>
      <c r="H40" s="2048"/>
      <c r="I40" s="837" t="s">
        <v>1819</v>
      </c>
      <c r="J40" s="845" t="e">
        <f ca="1">1-J39</f>
        <v>#VALUE!</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#VALUE!</v>
      </c>
      <c r="K42" s="2068"/>
      <c r="L42" s="1974"/>
      <c r="M42" s="1974"/>
    </row>
    <row r="43" spans="1:18" ht="18" customHeight="1" thickBot="1">
      <c r="A43" s="823" t="s">
        <v>1787</v>
      </c>
      <c r="B43" s="824" t="s">
        <v>1810</v>
      </c>
      <c r="C43" s="825" t="e">
        <f ca="1">ROUND(C40*10000/F43,0)</f>
        <v>#VALUE!</v>
      </c>
      <c r="D43" s="826" t="s">
        <v>1811</v>
      </c>
      <c r="E43" s="827" t="s">
        <v>1812</v>
      </c>
      <c r="F43" s="828">
        <f ca="1">INDIRECT("'数据-取费表'!k"&amp;$G$1)</f>
        <v>0</v>
      </c>
      <c r="G43" s="2048"/>
      <c r="H43" s="1974"/>
      <c r="I43" s="847" t="s">
        <v>1822</v>
      </c>
      <c r="J43" s="848" t="e">
        <f ca="1">1-J42</f>
        <v>#VALUE!</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#VALUE!</v>
      </c>
      <c r="D46" s="2071"/>
      <c r="E46" s="2071"/>
      <c r="F46" s="2071"/>
      <c r="I46" s="2343" t="s">
        <v>2343</v>
      </c>
      <c r="J46" s="2344"/>
      <c r="K46" s="2345"/>
      <c r="L46" s="3108" t="e">
        <f ca="1">IF(OR(M47="住宅",D1="土地（套用方法）"),0,IF(L48&gt;J51,L60,J60))</f>
        <v>#VALUE!</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c r="K47" s="3105" t="s">
        <v>2349</v>
      </c>
      <c r="L47" s="3109">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c r="K48" s="3106" t="s">
        <v>2351</v>
      </c>
      <c r="L48" s="1894">
        <f ca="1">INDIRECT("'数据-取费表'!f"&amp;$G$1)</f>
        <v>0</v>
      </c>
      <c r="O48" s="2363" t="s">
        <v>2379</v>
      </c>
      <c r="P48" s="2364" t="s">
        <v>2405</v>
      </c>
      <c r="Q48" s="2365" t="e">
        <f ca="1">C40+J29</f>
        <v>#VALUE!</v>
      </c>
      <c r="R48" s="2364" t="s">
        <v>2380</v>
      </c>
    </row>
    <row r="49" spans="1:18" s="2045" customFormat="1" ht="18" customHeight="1" thickBot="1">
      <c r="A49" s="786"/>
      <c r="B49" s="787"/>
      <c r="C49" s="788"/>
      <c r="D49" s="789"/>
      <c r="E49" s="784" t="s">
        <v>1739</v>
      </c>
      <c r="F49" s="785">
        <f ca="1">F7</f>
        <v>0</v>
      </c>
      <c r="G49" s="2076"/>
      <c r="H49" s="2079"/>
      <c r="I49" s="3078" t="s">
        <v>2346</v>
      </c>
      <c r="J49" s="2348"/>
      <c r="K49" s="3107" t="s">
        <v>2352</v>
      </c>
      <c r="L49" s="2349"/>
      <c r="O49" s="2363" t="s">
        <v>2381</v>
      </c>
      <c r="P49" s="2364" t="s">
        <v>2406</v>
      </c>
      <c r="Q49" s="2365" t="e">
        <f ca="1">J60</f>
        <v>#VALUE!</v>
      </c>
      <c r="R49" s="2364" t="s">
        <v>2382</v>
      </c>
    </row>
    <row r="50" spans="1:18" s="2045" customFormat="1" ht="18" customHeight="1" thickBot="1">
      <c r="A50" s="786"/>
      <c r="B50" s="787"/>
      <c r="C50" s="788"/>
      <c r="D50" s="789"/>
      <c r="E50" s="784" t="s">
        <v>1740</v>
      </c>
      <c r="F50" s="785">
        <f ca="1">F8</f>
        <v>0</v>
      </c>
      <c r="G50" s="2081"/>
      <c r="H50" s="2079"/>
      <c r="I50" s="3078" t="s">
        <v>2347</v>
      </c>
      <c r="J50" s="3103">
        <f>SUMPRODUCT((I63:I65=J47)*(J62:L62=J48)*(J63:L65))</f>
        <v>0</v>
      </c>
      <c r="K50" s="3107" t="s">
        <v>2353</v>
      </c>
      <c r="L50" s="2349"/>
      <c r="O50" s="2366" t="s">
        <v>2383</v>
      </c>
      <c r="P50" s="2364" t="s">
        <v>2407</v>
      </c>
      <c r="Q50" s="2365" t="e">
        <f ca="1">C29</f>
        <v>#VALUE!</v>
      </c>
      <c r="R50" s="2364" t="s">
        <v>2380</v>
      </c>
    </row>
    <row r="51" spans="1:18" s="2045" customFormat="1" ht="18" customHeight="1" thickBot="1">
      <c r="A51" s="786"/>
      <c r="B51" s="787"/>
      <c r="C51" s="788"/>
      <c r="D51" s="789"/>
      <c r="E51" s="784" t="s">
        <v>640</v>
      </c>
      <c r="F51" s="2336"/>
      <c r="H51" s="2079"/>
      <c r="I51" s="3100" t="s">
        <v>2348</v>
      </c>
      <c r="J51" s="3104">
        <f>IF(J49="",J50,J49+J50-YEAR('数据-取费表'!B2))</f>
        <v>0</v>
      </c>
      <c r="K51" s="3078" t="s">
        <v>2354</v>
      </c>
      <c r="L51" s="3110" t="e">
        <f ca="1">ROUND(-PV(INDIRECT("'数据-取费表'!h"&amp;$G$1),L48,(C39-C13*J36),0),0)</f>
        <v>#VALUE!</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c r="K52" s="3101"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0</v>
      </c>
      <c r="K53" s="3494" t="s">
        <v>2967</v>
      </c>
      <c r="L53" s="3495"/>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#VALUE!</v>
      </c>
      <c r="R54" s="2368" t="s">
        <v>2392</v>
      </c>
    </row>
    <row r="55" spans="1:18" s="2045" customFormat="1" ht="18" customHeight="1" thickTop="1" thickBot="1">
      <c r="A55" s="797">
        <v>2</v>
      </c>
      <c r="B55" s="798" t="s">
        <v>644</v>
      </c>
      <c r="C55" s="799" t="e">
        <f ca="1">C13</f>
        <v>#VALUE!</v>
      </c>
      <c r="D55" s="795"/>
      <c r="E55" s="795"/>
      <c r="F55" s="800"/>
      <c r="I55" s="3113" t="s">
        <v>2355</v>
      </c>
      <c r="J55" s="3053" t="e">
        <f ca="1">ROUND(IF(J47="钢混",J57/J50,1-(1-2%)*(J50-J57)/J50),3)</f>
        <v>#DIV/0!</v>
      </c>
      <c r="K55" s="3114" t="s">
        <v>2356</v>
      </c>
      <c r="L55" s="2351"/>
      <c r="O55" s="2369" t="s">
        <v>2411</v>
      </c>
      <c r="P55" s="1579"/>
      <c r="Q55" s="1590"/>
      <c r="R55" s="1579"/>
    </row>
    <row r="56" spans="1:18" s="2045" customFormat="1" ht="42.75" customHeight="1" thickBot="1">
      <c r="A56" s="1636"/>
      <c r="B56" s="2217" t="s">
        <v>2302</v>
      </c>
      <c r="C56" s="53" t="e">
        <f ca="1">C29</f>
        <v>#VALUE!</v>
      </c>
      <c r="D56" s="2604"/>
      <c r="E56" s="784"/>
      <c r="F56" s="809"/>
      <c r="I56" s="3115" t="s">
        <v>2357</v>
      </c>
      <c r="J56" s="3125"/>
      <c r="K56" s="3078"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t="e">
        <f ca="1">ROUND(C58+C63+C64+C65,0)</f>
        <v>#VALUE!</v>
      </c>
      <c r="D57" s="26" t="s">
        <v>1750</v>
      </c>
      <c r="E57" s="2605"/>
      <c r="F57" s="56"/>
      <c r="I57" s="3116" t="s">
        <v>2358</v>
      </c>
      <c r="J57" s="3117">
        <f ca="1">IF(OR(M47="住宅",J51&lt;L48,J56="是"),"——",J51-L48)</f>
        <v>0</v>
      </c>
      <c r="K57" s="3078" t="s">
        <v>2363</v>
      </c>
      <c r="L57" s="1894" t="e">
        <f ca="1">IF(L48&lt;J51,"——",IF(L55="比较法",L49,IF(L55="基准地价",L50,L51)))</f>
        <v>#VALUE!</v>
      </c>
      <c r="O57" s="2363" t="s">
        <v>2379</v>
      </c>
      <c r="P57" s="2364" t="s">
        <v>2409</v>
      </c>
      <c r="Q57" s="2365" t="e">
        <f ca="1">C40+J29</f>
        <v>#VALUE!</v>
      </c>
      <c r="R57" s="2364" t="s">
        <v>2380</v>
      </c>
    </row>
    <row r="58" spans="1:18" s="2045" customFormat="1" ht="28.5" customHeight="1" thickBot="1">
      <c r="A58" s="1635" t="s">
        <v>1824</v>
      </c>
      <c r="B58" s="784" t="s">
        <v>656</v>
      </c>
      <c r="C58" s="53" t="e">
        <f ca="1">ROUND(IF(项目基本情况!B11="自然人",C47*F58,C59+C60+C61),1)</f>
        <v>#VALUE!</v>
      </c>
      <c r="D58" s="2603" t="s">
        <v>657</v>
      </c>
      <c r="E58" s="2604" t="s">
        <v>690</v>
      </c>
      <c r="F58" s="810">
        <f ca="1">IF(项目基本情况!B11="企业","",IF(INDIRECT("'数据-取费表'!c"&amp;$G$1)="住宅",5%,IF(F48*F49*F50/12/(1+'数据-取费表'!C42)&gt;20000,12%,7%)))</f>
        <v>7.0000000000000007E-2</v>
      </c>
      <c r="I58" s="3116" t="s">
        <v>2359</v>
      </c>
      <c r="J58" s="3054" t="e">
        <f ca="1">IF(J55&lt;0.4,0.4,J55)</f>
        <v>#DIV/0!</v>
      </c>
      <c r="K58" s="3078" t="s">
        <v>2364</v>
      </c>
      <c r="L58" s="1894" t="e">
        <f ca="1">ROUND(POWER(1+L52,L47-L48)*(POWER(1+L52,L48)-1)/(POWER(1+L52,L47)-1),4)</f>
        <v>#DIV/0!</v>
      </c>
      <c r="O58" s="2363" t="s">
        <v>2381</v>
      </c>
      <c r="P58" s="2364" t="s">
        <v>2412</v>
      </c>
      <c r="Q58" s="2365" t="e">
        <f ca="1">L60</f>
        <v>#VALUE!</v>
      </c>
      <c r="R58" s="2368" t="s">
        <v>2414</v>
      </c>
    </row>
    <row r="59" spans="1:18" s="2045" customFormat="1" ht="28.5" customHeight="1" thickBot="1">
      <c r="A59" s="1634" t="s">
        <v>1831</v>
      </c>
      <c r="B59" s="784" t="s">
        <v>660</v>
      </c>
      <c r="C59" s="53">
        <f ca="1">ROUND(C47*F59/1.05,1)</f>
        <v>0</v>
      </c>
      <c r="D59" s="2604" t="s">
        <v>1756</v>
      </c>
      <c r="E59" s="784" t="s">
        <v>1747</v>
      </c>
      <c r="F59" s="809">
        <f t="shared" ref="F59:F65" si="0">F32</f>
        <v>0</v>
      </c>
      <c r="I59" s="3116" t="s">
        <v>2360</v>
      </c>
      <c r="J59" s="3117" t="e">
        <f ca="1">IF(OR(M47="住宅",J51&lt;L48,J56="是"),"——",ROUND(C29*J58,0))</f>
        <v>#VALUE!</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t="e">
        <f ca="1">IF(D60="按租金收入计税",ROUND(C47*F60,1),IF(D60="按房产原值计税",ROUND(C56*F60*0.7,1),INDIRECT("'数据-取费表'!Aj"&amp;$G$1)))</f>
        <v>#VALUE!</v>
      </c>
      <c r="D60" s="2604" t="str">
        <f>D33</f>
        <v>按房产原值计税</v>
      </c>
      <c r="E60" s="784" t="s">
        <v>1747</v>
      </c>
      <c r="F60" s="809">
        <f t="shared" si="0"/>
        <v>1.2E-2</v>
      </c>
      <c r="I60" s="3118" t="s">
        <v>2361</v>
      </c>
      <c r="J60" s="3119" t="e">
        <f ca="1">IF(OR(M47="住宅",J51&lt;L48,J56="是"),"0",ROUND(J59/(1+J52)^J53,0))</f>
        <v>#VALUE!</v>
      </c>
      <c r="K60" s="3120" t="s">
        <v>2366</v>
      </c>
      <c r="L60" s="3119" t="e">
        <f ca="1">IF(OR(M47="住宅",L48&lt;J51),0,ROUND(L57*(L58/L59-1),0))</f>
        <v>#VALUE!</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1" t="s">
        <v>2367</v>
      </c>
      <c r="J62" s="3122" t="s">
        <v>2368</v>
      </c>
      <c r="K62" s="3122" t="s">
        <v>2369</v>
      </c>
      <c r="L62" s="3122" t="s">
        <v>2350</v>
      </c>
      <c r="M62" s="3123"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t="e">
        <f ca="1">ROUND(C56*F63,1)</f>
        <v>#VALUE!</v>
      </c>
      <c r="D63" s="2604" t="s">
        <v>1803</v>
      </c>
      <c r="E63" s="784" t="s">
        <v>1747</v>
      </c>
      <c r="F63" s="817">
        <f t="shared" ca="1" si="0"/>
        <v>0</v>
      </c>
      <c r="I63" s="3121" t="s">
        <v>2370</v>
      </c>
      <c r="J63" s="3122">
        <v>70</v>
      </c>
      <c r="K63" s="3122">
        <v>50</v>
      </c>
      <c r="L63" s="3122">
        <v>80</v>
      </c>
      <c r="M63" s="3124">
        <v>0.02</v>
      </c>
      <c r="O63" s="2363" t="s">
        <v>2391</v>
      </c>
      <c r="P63" s="2364" t="s">
        <v>2408</v>
      </c>
      <c r="Q63" s="2365" t="e">
        <f ca="1">Q57+Q58</f>
        <v>#VALUE!</v>
      </c>
      <c r="R63" s="2368" t="s">
        <v>2392</v>
      </c>
    </row>
    <row r="64" spans="1:18" s="2045" customFormat="1" ht="16.5" thickBot="1">
      <c r="A64" s="1635" t="s">
        <v>1890</v>
      </c>
      <c r="B64" s="784" t="s">
        <v>679</v>
      </c>
      <c r="C64" s="53" t="e">
        <f ca="1">ROUND(C55*F64,1)</f>
        <v>#VALUE!</v>
      </c>
      <c r="D64" s="2604" t="s">
        <v>680</v>
      </c>
      <c r="E64" s="784" t="s">
        <v>1747</v>
      </c>
      <c r="F64" s="818">
        <f t="shared" ca="1" si="0"/>
        <v>0</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t="e">
        <f ca="1">C47-C57</f>
        <v>#VALUE!</v>
      </c>
      <c r="D66" s="2603" t="s">
        <v>700</v>
      </c>
      <c r="E66" s="2602"/>
      <c r="F66" s="820"/>
      <c r="K66" s="2072"/>
      <c r="O66" s="2363" t="s">
        <v>2379</v>
      </c>
      <c r="P66" s="2364" t="s">
        <v>2409</v>
      </c>
      <c r="Q66" s="2365" t="e">
        <f ca="1">C40+J29</f>
        <v>#VALUE!</v>
      </c>
      <c r="R66" s="2364" t="s">
        <v>2380</v>
      </c>
    </row>
    <row r="67" spans="1:18" s="2045" customFormat="1" ht="20.25" thickBot="1">
      <c r="A67" s="781" t="s">
        <v>1780</v>
      </c>
      <c r="B67" s="2218" t="s">
        <v>2301</v>
      </c>
      <c r="C67" s="783" t="e">
        <f ca="1">ROUND(C66*(1-((1+F69)/(1+F67))^F68)/(F67-F69),0)</f>
        <v>#VALUE!</v>
      </c>
      <c r="D67" s="814" t="s">
        <v>704</v>
      </c>
      <c r="E67" s="784" t="s">
        <v>705</v>
      </c>
      <c r="F67" s="794">
        <f ca="1">F40</f>
        <v>0</v>
      </c>
      <c r="K67" s="2072"/>
      <c r="O67" s="2363" t="s">
        <v>2381</v>
      </c>
      <c r="P67" s="2364" t="s">
        <v>2412</v>
      </c>
      <c r="Q67" s="2365" t="e">
        <f ca="1">L60</f>
        <v>#VALUE!</v>
      </c>
      <c r="R67" s="2368" t="s">
        <v>2414</v>
      </c>
    </row>
    <row r="68" spans="1:18" ht="21.75" thickBot="1">
      <c r="A68" s="786"/>
      <c r="B68" s="787"/>
      <c r="C68" s="788"/>
      <c r="D68" s="821" t="s">
        <v>1808</v>
      </c>
      <c r="E68" s="784" t="s">
        <v>1784</v>
      </c>
      <c r="F68" s="822">
        <f ca="1">F41</f>
        <v>0</v>
      </c>
      <c r="O68" s="2366" t="s">
        <v>2383</v>
      </c>
      <c r="P68" s="2364" t="s">
        <v>2413</v>
      </c>
      <c r="Q68" s="2370" t="e">
        <f ca="1">L51</f>
        <v>#VALUE!</v>
      </c>
      <c r="R68" s="2371" t="s">
        <v>2416</v>
      </c>
    </row>
    <row r="69" spans="1:18" ht="20.25" thickBot="1">
      <c r="A69" s="790"/>
      <c r="B69" s="791"/>
      <c r="C69" s="792"/>
      <c r="D69" s="816"/>
      <c r="E69" s="784" t="s">
        <v>710</v>
      </c>
      <c r="F69" s="2336"/>
      <c r="O69" s="2366" t="s">
        <v>2384</v>
      </c>
      <c r="P69" s="2372" t="s">
        <v>2398</v>
      </c>
      <c r="Q69" s="2365" t="e">
        <f ca="1">ROUND(Q70-Q71*Q72,0)</f>
        <v>#VALUE!</v>
      </c>
      <c r="R69" s="2368"/>
    </row>
    <row r="70" spans="1:18" ht="15.75" thickBot="1">
      <c r="A70" s="823" t="s">
        <v>1787</v>
      </c>
      <c r="B70" s="824" t="s">
        <v>1810</v>
      </c>
      <c r="C70" s="825" t="e">
        <f ca="1">ROUND(C67*10000/F70,0)</f>
        <v>#VALUE!</v>
      </c>
      <c r="D70" s="826" t="s">
        <v>1811</v>
      </c>
      <c r="E70" s="827" t="s">
        <v>1812</v>
      </c>
      <c r="F70" s="828">
        <f ca="1">F43</f>
        <v>0</v>
      </c>
      <c r="O70" s="2366" t="s">
        <v>2399</v>
      </c>
      <c r="P70" s="2372" t="s">
        <v>2400</v>
      </c>
      <c r="Q70" s="2365" t="e">
        <f ca="1">C39</f>
        <v>#VALUE!</v>
      </c>
      <c r="R70" s="2364" t="s">
        <v>2380</v>
      </c>
    </row>
    <row r="71" spans="1:18" ht="15.75" thickBot="1">
      <c r="O71" s="2366" t="s">
        <v>2401</v>
      </c>
      <c r="P71" s="2372" t="s">
        <v>2402</v>
      </c>
      <c r="Q71" s="2365" t="e">
        <f ca="1">C13</f>
        <v>#VALUE!</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#VALUE!</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512" t="s">
        <v>2471</v>
      </c>
      <c r="B1" s="3513"/>
      <c r="C1" s="3514"/>
      <c r="D1" s="3515">
        <f>SUM(I10,I15,I20,I21,I23)</f>
        <v>0</v>
      </c>
      <c r="E1" s="3515"/>
      <c r="F1" s="3515"/>
      <c r="G1" s="3515"/>
      <c r="H1" s="3515"/>
      <c r="I1" s="3516"/>
    </row>
    <row r="2" spans="1:9">
      <c r="A2" s="3502" t="s">
        <v>2472</v>
      </c>
      <c r="B2" s="3503" t="s">
        <v>2473</v>
      </c>
      <c r="C2" s="3503"/>
      <c r="D2" s="2472" t="s">
        <v>2474</v>
      </c>
      <c r="E2" s="2472" t="s">
        <v>2475</v>
      </c>
      <c r="F2" s="2472" t="s">
        <v>2476</v>
      </c>
      <c r="G2" s="2472" t="s">
        <v>2477</v>
      </c>
      <c r="H2" s="2472" t="s">
        <v>2478</v>
      </c>
      <c r="I2" s="2473" t="s">
        <v>2479</v>
      </c>
    </row>
    <row r="3" spans="1:9">
      <c r="A3" s="3502"/>
      <c r="B3" s="3503" t="s">
        <v>2480</v>
      </c>
      <c r="C3" s="3503"/>
      <c r="D3" s="2474"/>
      <c r="E3" s="2472"/>
      <c r="F3" s="2475"/>
      <c r="G3" s="2475"/>
      <c r="H3" s="2476"/>
      <c r="I3" s="2477">
        <f>ROUND(D3*E3*F3*G3*H3/10000,0)</f>
        <v>0</v>
      </c>
    </row>
    <row r="4" spans="1:9">
      <c r="A4" s="3502"/>
      <c r="B4" s="3503" t="s">
        <v>2481</v>
      </c>
      <c r="C4" s="3503"/>
      <c r="D4" s="2474"/>
      <c r="E4" s="2472"/>
      <c r="F4" s="2475"/>
      <c r="G4" s="2475"/>
      <c r="H4" s="2476"/>
      <c r="I4" s="2477">
        <f t="shared" ref="I4:I9" si="0">ROUND(D4*E4*F4*G4*H4/10000,0)</f>
        <v>0</v>
      </c>
    </row>
    <row r="5" spans="1:9">
      <c r="A5" s="3502"/>
      <c r="B5" s="3503" t="s">
        <v>2482</v>
      </c>
      <c r="C5" s="3503"/>
      <c r="D5" s="2474"/>
      <c r="E5" s="2472"/>
      <c r="F5" s="2475"/>
      <c r="G5" s="2475"/>
      <c r="H5" s="2476"/>
      <c r="I5" s="2477">
        <f t="shared" si="0"/>
        <v>0</v>
      </c>
    </row>
    <row r="6" spans="1:9">
      <c r="A6" s="3502"/>
      <c r="B6" s="3503" t="s">
        <v>2483</v>
      </c>
      <c r="C6" s="3503"/>
      <c r="D6" s="2474"/>
      <c r="E6" s="2472"/>
      <c r="F6" s="2475"/>
      <c r="G6" s="2475"/>
      <c r="H6" s="2476"/>
      <c r="I6" s="2477">
        <f t="shared" si="0"/>
        <v>0</v>
      </c>
    </row>
    <row r="7" spans="1:9">
      <c r="A7" s="3502"/>
      <c r="B7" s="3503" t="s">
        <v>2484</v>
      </c>
      <c r="C7" s="3503"/>
      <c r="D7" s="2474"/>
      <c r="E7" s="2472"/>
      <c r="F7" s="2475"/>
      <c r="G7" s="2475"/>
      <c r="H7" s="2476"/>
      <c r="I7" s="2477">
        <f t="shared" si="0"/>
        <v>0</v>
      </c>
    </row>
    <row r="8" spans="1:9">
      <c r="A8" s="3502"/>
      <c r="B8" s="3503" t="s">
        <v>2485</v>
      </c>
      <c r="C8" s="3503"/>
      <c r="D8" s="2474"/>
      <c r="E8" s="2472"/>
      <c r="F8" s="2475"/>
      <c r="G8" s="2475"/>
      <c r="H8" s="2476"/>
      <c r="I8" s="2477">
        <f t="shared" si="0"/>
        <v>0</v>
      </c>
    </row>
    <row r="9" spans="1:9">
      <c r="A9" s="3502"/>
      <c r="B9" s="3503" t="s">
        <v>2486</v>
      </c>
      <c r="C9" s="3503"/>
      <c r="D9" s="2474"/>
      <c r="E9" s="2472"/>
      <c r="F9" s="2475"/>
      <c r="G9" s="2475"/>
      <c r="H9" s="2476"/>
      <c r="I9" s="2477">
        <f t="shared" si="0"/>
        <v>0</v>
      </c>
    </row>
    <row r="10" spans="1:9">
      <c r="A10" s="3502"/>
      <c r="B10" s="3504" t="s">
        <v>2487</v>
      </c>
      <c r="C10" s="3504"/>
      <c r="D10" s="2478">
        <v>527</v>
      </c>
      <c r="E10" s="2478" t="e">
        <f>ROUND(D1*10000/D10/H9,0)</f>
        <v>#DIV/0!</v>
      </c>
      <c r="F10" s="2479"/>
      <c r="G10" s="2479"/>
      <c r="H10" s="2480"/>
      <c r="I10" s="2481">
        <f>SUM(I3:I9)</f>
        <v>0</v>
      </c>
    </row>
    <row r="11" spans="1:9" ht="14.25">
      <c r="A11" s="3502" t="s">
        <v>2488</v>
      </c>
      <c r="B11" s="3503" t="s">
        <v>2489</v>
      </c>
      <c r="C11" s="3503"/>
      <c r="D11" s="2474" t="s">
        <v>2490</v>
      </c>
      <c r="E11" s="2474" t="s">
        <v>2491</v>
      </c>
      <c r="F11" s="2475" t="s">
        <v>2492</v>
      </c>
      <c r="G11" s="2475" t="s">
        <v>2493</v>
      </c>
      <c r="H11" s="2482" t="s">
        <v>2494</v>
      </c>
      <c r="I11" s="2473" t="s">
        <v>2495</v>
      </c>
    </row>
    <row r="12" spans="1:9">
      <c r="A12" s="3502"/>
      <c r="B12" s="3503" t="s">
        <v>2496</v>
      </c>
      <c r="C12" s="3503"/>
      <c r="D12" s="2474"/>
      <c r="E12" s="2474"/>
      <c r="F12" s="2475"/>
      <c r="G12" s="2476"/>
      <c r="H12" s="2483"/>
      <c r="I12" s="2473">
        <f>ROUND(D12*E12*F12*G12/10000,0)</f>
        <v>0</v>
      </c>
    </row>
    <row r="13" spans="1:9">
      <c r="A13" s="3502"/>
      <c r="B13" s="3503" t="s">
        <v>2497</v>
      </c>
      <c r="C13" s="3503"/>
      <c r="D13" s="2474"/>
      <c r="E13" s="2474"/>
      <c r="F13" s="2475"/>
      <c r="G13" s="2476"/>
      <c r="H13" s="2483"/>
      <c r="I13" s="2473">
        <f>ROUND(D13*E13*F13*G13/10000,0)</f>
        <v>0</v>
      </c>
    </row>
    <row r="14" spans="1:9">
      <c r="A14" s="3502"/>
      <c r="B14" s="3503" t="s">
        <v>2498</v>
      </c>
      <c r="C14" s="3503"/>
      <c r="D14" s="2474"/>
      <c r="E14" s="2474"/>
      <c r="F14" s="2475"/>
      <c r="G14" s="2476"/>
      <c r="H14" s="2483"/>
      <c r="I14" s="2473">
        <f>ROUND(D14*E14*F14*G14/10000,0)</f>
        <v>0</v>
      </c>
    </row>
    <row r="15" spans="1:9">
      <c r="A15" s="3502"/>
      <c r="B15" s="3504" t="s">
        <v>2487</v>
      </c>
      <c r="C15" s="3504"/>
      <c r="D15" s="2478"/>
      <c r="E15" s="2478">
        <f>SUM(E12:E14)</f>
        <v>0</v>
      </c>
      <c r="F15" s="2479"/>
      <c r="G15" s="2476"/>
      <c r="H15" s="2483"/>
      <c r="I15" s="2484">
        <f>SUM(I12:I14)</f>
        <v>0</v>
      </c>
    </row>
    <row r="16" spans="1:9" ht="24">
      <c r="A16" s="3502" t="s">
        <v>2499</v>
      </c>
      <c r="B16" s="3503" t="s">
        <v>2500</v>
      </c>
      <c r="C16" s="3503"/>
      <c r="D16" s="2474" t="s">
        <v>2501</v>
      </c>
      <c r="E16" s="2485" t="s">
        <v>2502</v>
      </c>
      <c r="F16" s="2475" t="s">
        <v>2503</v>
      </c>
      <c r="G16" s="2476" t="s">
        <v>2493</v>
      </c>
      <c r="H16" s="2482" t="s">
        <v>2494</v>
      </c>
      <c r="I16" s="2473" t="s">
        <v>2495</v>
      </c>
    </row>
    <row r="17" spans="1:9" ht="14.25">
      <c r="A17" s="3502"/>
      <c r="B17" s="3503" t="s">
        <v>2504</v>
      </c>
      <c r="C17" s="3503"/>
      <c r="D17" s="2474"/>
      <c r="E17" s="2474"/>
      <c r="F17" s="2475"/>
      <c r="G17" s="2476"/>
      <c r="H17" s="2486"/>
      <c r="I17" s="2487">
        <f>ROUND(D17*E17*F17*G17/10000,0)</f>
        <v>0</v>
      </c>
    </row>
    <row r="18" spans="1:9" ht="14.25">
      <c r="A18" s="3502"/>
      <c r="B18" s="3503" t="s">
        <v>2505</v>
      </c>
      <c r="C18" s="3503"/>
      <c r="D18" s="2474"/>
      <c r="E18" s="2474"/>
      <c r="F18" s="2475"/>
      <c r="G18" s="2476"/>
      <c r="H18" s="2486"/>
      <c r="I18" s="2487">
        <f>ROUND(D18*E18*F18*G18/10000,0)</f>
        <v>0</v>
      </c>
    </row>
    <row r="19" spans="1:9" ht="14.25">
      <c r="A19" s="3502"/>
      <c r="B19" s="3503" t="s">
        <v>2506</v>
      </c>
      <c r="C19" s="3503"/>
      <c r="D19" s="2474"/>
      <c r="E19" s="2474"/>
      <c r="F19" s="2475"/>
      <c r="G19" s="2476"/>
      <c r="H19" s="2486"/>
      <c r="I19" s="2487">
        <f>ROUND(D19*E19*F19*G19/10000,0)</f>
        <v>0</v>
      </c>
    </row>
    <row r="20" spans="1:9">
      <c r="A20" s="3502"/>
      <c r="B20" s="3504" t="s">
        <v>2487</v>
      </c>
      <c r="C20" s="3504"/>
      <c r="D20" s="2478">
        <f>SUM(D17:D19)</f>
        <v>0</v>
      </c>
      <c r="E20" s="2478"/>
      <c r="F20" s="2479"/>
      <c r="G20" s="2476"/>
      <c r="H20" s="2483"/>
      <c r="I20" s="2484">
        <f>SUM(I17:I19)</f>
        <v>0</v>
      </c>
    </row>
    <row r="21" spans="1:9">
      <c r="A21" s="3502" t="s">
        <v>2507</v>
      </c>
      <c r="B21" s="3505"/>
      <c r="C21" s="3505"/>
      <c r="D21" s="3505"/>
      <c r="E21" s="3505"/>
      <c r="F21" s="3505"/>
      <c r="G21" s="3505"/>
      <c r="H21" s="2488">
        <v>0.1</v>
      </c>
      <c r="I21" s="2481">
        <f>ROUND(I10*H21,0)</f>
        <v>0</v>
      </c>
    </row>
    <row r="22" spans="1:9" ht="14.25">
      <c r="A22" s="3506" t="s">
        <v>2508</v>
      </c>
      <c r="B22" s="3507"/>
      <c r="C22" s="3508"/>
      <c r="D22" s="2489" t="s">
        <v>2509</v>
      </c>
      <c r="E22" s="2489" t="s">
        <v>2510</v>
      </c>
      <c r="F22" s="2490" t="s">
        <v>2511</v>
      </c>
      <c r="G22" s="2490" t="s">
        <v>2512</v>
      </c>
      <c r="H22" s="2482" t="s">
        <v>2513</v>
      </c>
      <c r="I22" s="2473" t="s">
        <v>2514</v>
      </c>
    </row>
    <row r="23" spans="1:9" ht="14.25" thickBot="1">
      <c r="A23" s="3509"/>
      <c r="B23" s="3510"/>
      <c r="C23" s="3511"/>
      <c r="D23" s="2491"/>
      <c r="E23" s="2491"/>
      <c r="F23" s="2491"/>
      <c r="G23" s="2492"/>
      <c r="H23" s="2493"/>
      <c r="I23" s="2494">
        <f>ROUND(E23*D23*F23*(1-G23)/10000,0)</f>
        <v>0</v>
      </c>
    </row>
    <row r="26" spans="1:9">
      <c r="A26" s="2495" t="s">
        <v>2515</v>
      </c>
      <c r="B26" s="2495"/>
      <c r="C26" s="2495"/>
      <c r="D26" s="2495"/>
      <c r="E26" s="3499">
        <f>C27-C30-C31-C32</f>
        <v>0</v>
      </c>
      <c r="F26" s="3499"/>
      <c r="G26" s="3499"/>
      <c r="H26" s="2995" t="s">
        <v>2843</v>
      </c>
    </row>
    <row r="27" spans="1:9">
      <c r="A27" s="2496">
        <v>1</v>
      </c>
      <c r="B27" s="2497" t="s">
        <v>2516</v>
      </c>
      <c r="C27" s="2497"/>
      <c r="D27" s="2497"/>
      <c r="E27" s="3500"/>
      <c r="F27" s="3500"/>
      <c r="G27" s="3500"/>
    </row>
    <row r="28" spans="1:9">
      <c r="A28" s="2498" t="s">
        <v>2517</v>
      </c>
      <c r="B28" s="2497" t="s">
        <v>2518</v>
      </c>
      <c r="C28" s="2497"/>
      <c r="D28" s="2497"/>
      <c r="E28" s="3500"/>
      <c r="F28" s="3500"/>
      <c r="G28" s="3500"/>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01"/>
      <c r="F32" s="3501"/>
      <c r="G32" s="3501"/>
    </row>
    <row r="33" spans="1:7" hidden="1">
      <c r="A33" s="3496" t="s">
        <v>2526</v>
      </c>
      <c r="B33" s="3497"/>
      <c r="C33" s="3497"/>
      <c r="D33" s="3498"/>
      <c r="E33" s="3499"/>
      <c r="F33" s="3499"/>
      <c r="G33" s="3499"/>
    </row>
    <row r="34" spans="1:7" hidden="1">
      <c r="A34" s="2500">
        <v>1</v>
      </c>
      <c r="B34" s="2497" t="s">
        <v>2527</v>
      </c>
      <c r="C34" s="2497"/>
      <c r="D34" s="2497"/>
      <c r="E34" s="3500"/>
      <c r="F34" s="3500"/>
      <c r="G34" s="3500"/>
    </row>
    <row r="35" spans="1:7" hidden="1">
      <c r="A35" s="2500">
        <v>2</v>
      </c>
      <c r="B35" s="2497" t="s">
        <v>2528</v>
      </c>
      <c r="C35" s="2497"/>
      <c r="D35" s="2497"/>
      <c r="E35" s="3500"/>
      <c r="F35" s="3500"/>
      <c r="G35" s="3500"/>
    </row>
    <row r="36" spans="1:7" hidden="1">
      <c r="A36" s="2500">
        <v>3</v>
      </c>
      <c r="B36" s="2497" t="s">
        <v>2529</v>
      </c>
      <c r="C36" s="2497"/>
      <c r="D36" s="2497"/>
      <c r="E36" s="3500"/>
      <c r="F36" s="3500"/>
      <c r="G36" s="3500"/>
    </row>
    <row r="37" spans="1:7" hidden="1">
      <c r="A37" s="2500">
        <v>4</v>
      </c>
      <c r="B37" s="2497" t="s">
        <v>2530</v>
      </c>
      <c r="C37" s="2497"/>
      <c r="D37" s="2497"/>
      <c r="E37" s="3500"/>
      <c r="F37" s="3500"/>
      <c r="G37" s="3500"/>
    </row>
    <row r="38" spans="1:7" hidden="1">
      <c r="A38" s="3496" t="s">
        <v>2531</v>
      </c>
      <c r="B38" s="3497"/>
      <c r="C38" s="3497"/>
      <c r="D38" s="3498"/>
      <c r="E38" s="3499"/>
      <c r="F38" s="3499"/>
      <c r="G38" s="34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17" sqref="G1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t="e">
        <f ca="1">C23</f>
        <v>#DIV/0!</v>
      </c>
      <c r="C2" s="2094"/>
      <c r="D2" s="2094"/>
      <c r="E2" s="2094"/>
      <c r="F2" s="2094"/>
      <c r="G2" s="2094"/>
    </row>
    <row r="3" spans="1:25" s="2045" customFormat="1" ht="18" customHeight="1">
      <c r="A3" s="1376" t="s">
        <v>1685</v>
      </c>
      <c r="B3" s="425" t="e">
        <f ca="1">ROUND(B2*10000/'数据-汇总表'!E3,0)</f>
        <v>#DIV/0!</v>
      </c>
      <c r="C3" s="2094"/>
      <c r="D3" s="2094"/>
      <c r="E3" s="2094"/>
      <c r="F3" s="2094"/>
      <c r="G3" s="2094"/>
    </row>
    <row r="4" spans="1:25" s="2045" customFormat="1" ht="18" customHeight="1">
      <c r="A4" s="426" t="s">
        <v>468</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10288.000000000002</v>
      </c>
      <c r="E10" s="749">
        <f>'数据-取费表'!B31</f>
        <v>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10288.000000000002</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t="e">
        <f>ROUND((C7+C10+C16)*F18,0)</f>
        <v>#DIV/0!</v>
      </c>
      <c r="D18" s="762"/>
      <c r="E18" s="763"/>
      <c r="F18" s="761" t="e">
        <f>'数据-取费表'!Q16</f>
        <v>#DIV/0!</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t="e">
        <f ca="1">C7+C10+C16+C17+C18</f>
        <v>#DIV/0!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t="e">
        <f ca="1">ROUND(C19*F20,0)</f>
        <v>#DIV/0!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t="e">
        <f ca="1">C19+C20</f>
        <v>#DIV/0!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t="e">
        <f ca="1">ROUND(C21*F22,0)</f>
        <v>#DIV/0!</v>
      </c>
      <c r="D22" s="760"/>
      <c r="E22" s="749"/>
      <c r="F22" s="766">
        <f>'数据-取费表'!AP16</f>
        <v>0.753</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20" t="s">
        <v>522</v>
      </c>
      <c r="D4" s="3421"/>
      <c r="E4" s="3444" t="s">
        <v>523</v>
      </c>
      <c r="F4" s="3445"/>
      <c r="G4" s="3420" t="s">
        <v>524</v>
      </c>
      <c r="H4" s="3421"/>
      <c r="I4" s="3420" t="s">
        <v>525</v>
      </c>
      <c r="J4" s="3421"/>
      <c r="K4" s="853" t="s">
        <v>526</v>
      </c>
      <c r="L4" s="2119"/>
      <c r="M4" s="2120"/>
      <c r="N4" s="2120"/>
      <c r="O4" s="2120"/>
      <c r="P4" s="3422" t="s">
        <v>527</v>
      </c>
      <c r="Q4" s="3423"/>
      <c r="R4" s="3408" t="s">
        <v>523</v>
      </c>
      <c r="S4" s="3409"/>
      <c r="T4" s="3408" t="s">
        <v>524</v>
      </c>
      <c r="U4" s="3409"/>
      <c r="V4" s="3428" t="s">
        <v>525</v>
      </c>
      <c r="W4" s="3428"/>
      <c r="X4" s="1554"/>
      <c r="Y4" s="3408" t="s">
        <v>527</v>
      </c>
      <c r="Z4" s="3409"/>
      <c r="AA4" s="3403" t="s">
        <v>523</v>
      </c>
      <c r="AB4" s="3403" t="s">
        <v>524</v>
      </c>
      <c r="AC4" s="3403" t="s">
        <v>525</v>
      </c>
    </row>
    <row r="5" spans="1:29" ht="15">
      <c r="A5" s="515"/>
      <c r="B5" s="516"/>
      <c r="C5" s="3431" t="s">
        <v>2931</v>
      </c>
      <c r="D5" s="3432"/>
      <c r="E5" s="3446" t="s">
        <v>2932</v>
      </c>
      <c r="F5" s="3447"/>
      <c r="G5" s="3431" t="s">
        <v>2933</v>
      </c>
      <c r="H5" s="3432"/>
      <c r="I5" s="3431" t="s">
        <v>2934</v>
      </c>
      <c r="J5" s="3432"/>
      <c r="K5" s="854"/>
      <c r="L5" s="2119"/>
      <c r="M5" s="2120"/>
      <c r="N5" s="2120"/>
      <c r="O5" s="2120"/>
      <c r="P5" s="3424"/>
      <c r="Q5" s="3425"/>
      <c r="R5" s="3410"/>
      <c r="S5" s="3411"/>
      <c r="T5" s="3410"/>
      <c r="U5" s="3411"/>
      <c r="V5" s="3428"/>
      <c r="W5" s="3428"/>
      <c r="X5" s="1554"/>
      <c r="Y5" s="3410"/>
      <c r="Z5" s="3411"/>
      <c r="AA5" s="3404"/>
      <c r="AB5" s="3404"/>
      <c r="AC5" s="3404"/>
    </row>
    <row r="6" spans="1:29" ht="15.75" thickBot="1">
      <c r="A6" s="517"/>
      <c r="B6" s="518"/>
      <c r="C6" s="3429" t="s">
        <v>2935</v>
      </c>
      <c r="D6" s="3430"/>
      <c r="E6" s="3448" t="s">
        <v>2935</v>
      </c>
      <c r="F6" s="3449"/>
      <c r="G6" s="3429" t="s">
        <v>2935</v>
      </c>
      <c r="H6" s="3430"/>
      <c r="I6" s="3429" t="s">
        <v>2935</v>
      </c>
      <c r="J6" s="3430"/>
      <c r="K6" s="854" t="s">
        <v>528</v>
      </c>
      <c r="L6" s="2119"/>
      <c r="M6" s="2120"/>
      <c r="N6" s="2120"/>
      <c r="O6" s="2120"/>
      <c r="P6" s="3426"/>
      <c r="Q6" s="3427"/>
      <c r="R6" s="3410"/>
      <c r="S6" s="3411"/>
      <c r="T6" s="3412"/>
      <c r="U6" s="3413"/>
      <c r="V6" s="3428"/>
      <c r="W6" s="3428"/>
      <c r="X6" s="1554"/>
      <c r="Y6" s="3412"/>
      <c r="Z6" s="3413"/>
      <c r="AA6" s="3405"/>
      <c r="AB6" s="3405"/>
      <c r="AC6" s="3405"/>
    </row>
    <row r="7" spans="1:29" s="1216" customFormat="1" ht="15.75" thickBot="1">
      <c r="A7" s="2868"/>
      <c r="B7" s="2875" t="s">
        <v>529</v>
      </c>
      <c r="C7" s="519">
        <f>'数据-取费表'!B2</f>
        <v>44435</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06" t="s">
        <v>530</v>
      </c>
      <c r="Q7" s="3415"/>
      <c r="R7" s="1555" t="s">
        <v>13</v>
      </c>
      <c r="S7" s="1556">
        <f t="shared" ref="S7:S15" si="0">F7</f>
        <v>0</v>
      </c>
      <c r="T7" s="1555" t="s">
        <v>13</v>
      </c>
      <c r="U7" s="1556">
        <f t="shared" ref="U7:U15" si="1">H7</f>
        <v>0</v>
      </c>
      <c r="V7" s="1555" t="s">
        <v>13</v>
      </c>
      <c r="W7" s="1556">
        <f t="shared" ref="W7:W15"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06" t="s">
        <v>533</v>
      </c>
      <c r="Q8" s="3407"/>
      <c r="R8" s="1555" t="s">
        <v>13</v>
      </c>
      <c r="S8" s="1556">
        <f t="shared" si="0"/>
        <v>0</v>
      </c>
      <c r="T8" s="1555" t="s">
        <v>13</v>
      </c>
      <c r="U8" s="1556">
        <f t="shared" si="1"/>
        <v>0</v>
      </c>
      <c r="V8" s="1555" t="s">
        <v>13</v>
      </c>
      <c r="W8" s="1556">
        <f t="shared" si="2"/>
        <v>0</v>
      </c>
      <c r="X8" s="1557"/>
      <c r="Y8" s="3406" t="s">
        <v>533</v>
      </c>
      <c r="Z8" s="340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14" t="s">
        <v>535</v>
      </c>
      <c r="Q9" s="1147" t="str">
        <f t="shared" ref="Q9:Q15" si="6">B9</f>
        <v>用途</v>
      </c>
      <c r="R9" s="1555" t="s">
        <v>8</v>
      </c>
      <c r="S9" s="1556">
        <f t="shared" si="0"/>
        <v>100</v>
      </c>
      <c r="T9" s="1555" t="s">
        <v>8</v>
      </c>
      <c r="U9" s="1556">
        <f t="shared" si="1"/>
        <v>100</v>
      </c>
      <c r="V9" s="1555" t="s">
        <v>8</v>
      </c>
      <c r="W9" s="1556">
        <f t="shared" si="2"/>
        <v>100</v>
      </c>
      <c r="X9" s="1557"/>
      <c r="Y9" s="337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14"/>
      <c r="Q11" s="1147" t="str">
        <f t="shared" si="6"/>
        <v>容积率</v>
      </c>
      <c r="R11" s="1555" t="s">
        <v>11</v>
      </c>
      <c r="S11" s="1556" t="e">
        <f t="shared" si="0"/>
        <v>#N/A</v>
      </c>
      <c r="T11" s="1555" t="s">
        <v>11</v>
      </c>
      <c r="U11" s="1556" t="e">
        <f t="shared" si="1"/>
        <v>#N/A</v>
      </c>
      <c r="V11" s="1555" t="s">
        <v>11</v>
      </c>
      <c r="W11" s="1556" t="e">
        <f t="shared" si="2"/>
        <v>#N/A</v>
      </c>
      <c r="X11" s="1557"/>
      <c r="Y11" s="337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4"/>
      <c r="Q12" s="1147">
        <f t="shared" si="6"/>
        <v>111</v>
      </c>
      <c r="R12" s="1555" t="s">
        <v>11</v>
      </c>
      <c r="S12" s="1556">
        <f t="shared" si="0"/>
        <v>100</v>
      </c>
      <c r="T12" s="1555" t="s">
        <v>11</v>
      </c>
      <c r="U12" s="1556">
        <f t="shared" si="1"/>
        <v>100</v>
      </c>
      <c r="V12" s="1555" t="s">
        <v>11</v>
      </c>
      <c r="W12" s="1556">
        <f t="shared" si="2"/>
        <v>100</v>
      </c>
      <c r="X12" s="1557"/>
      <c r="Y12" s="337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4"/>
      <c r="Q13" s="1147">
        <f t="shared" si="6"/>
        <v>111</v>
      </c>
      <c r="R13" s="1555" t="s">
        <v>11</v>
      </c>
      <c r="S13" s="1556">
        <f t="shared" si="0"/>
        <v>100</v>
      </c>
      <c r="T13" s="1555" t="s">
        <v>11</v>
      </c>
      <c r="U13" s="1556">
        <f t="shared" si="1"/>
        <v>100</v>
      </c>
      <c r="V13" s="1555" t="s">
        <v>11</v>
      </c>
      <c r="W13" s="1556">
        <f t="shared" si="2"/>
        <v>100</v>
      </c>
      <c r="X13" s="1557"/>
      <c r="Y13" s="337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4"/>
      <c r="Q14" s="1147">
        <f t="shared" si="6"/>
        <v>111</v>
      </c>
      <c r="R14" s="1555" t="s">
        <v>11</v>
      </c>
      <c r="S14" s="1556">
        <f t="shared" si="0"/>
        <v>100</v>
      </c>
      <c r="T14" s="1555" t="s">
        <v>11</v>
      </c>
      <c r="U14" s="1556">
        <f t="shared" si="1"/>
        <v>100</v>
      </c>
      <c r="V14" s="1555" t="s">
        <v>11</v>
      </c>
      <c r="W14" s="1556">
        <f t="shared" si="2"/>
        <v>100</v>
      </c>
      <c r="X14" s="1557"/>
      <c r="Y14" s="3371"/>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16" t="s">
        <v>540</v>
      </c>
      <c r="Q15" s="1559" t="str">
        <f t="shared" si="6"/>
        <v>居住社区成熟度</v>
      </c>
      <c r="R15" s="1560" t="s">
        <v>11</v>
      </c>
      <c r="S15" s="1561">
        <f t="shared" si="0"/>
        <v>100</v>
      </c>
      <c r="T15" s="1560" t="s">
        <v>11</v>
      </c>
      <c r="U15" s="1561">
        <f t="shared" si="1"/>
        <v>100</v>
      </c>
      <c r="V15" s="1560" t="s">
        <v>11</v>
      </c>
      <c r="W15" s="1561">
        <f t="shared" si="2"/>
        <v>100</v>
      </c>
      <c r="X15" s="1554"/>
      <c r="Y15" s="3416"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17"/>
      <c r="Q16" s="1559"/>
      <c r="R16" s="1560"/>
      <c r="S16" s="1561"/>
      <c r="T16" s="1560"/>
      <c r="U16" s="1561"/>
      <c r="V16" s="1560"/>
      <c r="W16" s="1561"/>
      <c r="X16" s="1554"/>
      <c r="Y16" s="341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17"/>
      <c r="Q17" s="1559" t="str">
        <f>B17</f>
        <v>交通便捷度</v>
      </c>
      <c r="R17" s="1560" t="s">
        <v>11</v>
      </c>
      <c r="S17" s="1561">
        <f>F17</f>
        <v>100</v>
      </c>
      <c r="T17" s="1560" t="s">
        <v>11</v>
      </c>
      <c r="U17" s="1561">
        <f>H17</f>
        <v>100</v>
      </c>
      <c r="V17" s="1560" t="s">
        <v>11</v>
      </c>
      <c r="W17" s="1561">
        <f>J17</f>
        <v>100</v>
      </c>
      <c r="X17" s="1554"/>
      <c r="Y17" s="341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17"/>
      <c r="Q18" s="1559"/>
      <c r="R18" s="1560"/>
      <c r="S18" s="1561"/>
      <c r="T18" s="1560"/>
      <c r="U18" s="1561"/>
      <c r="V18" s="1560"/>
      <c r="W18" s="1561"/>
      <c r="X18" s="1554"/>
      <c r="Y18" s="3417"/>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17"/>
      <c r="Q19" s="1559" t="str">
        <f>B19</f>
        <v>公共配套设施</v>
      </c>
      <c r="R19" s="1560" t="s">
        <v>11</v>
      </c>
      <c r="S19" s="1561">
        <f>F19</f>
        <v>100</v>
      </c>
      <c r="T19" s="1560" t="s">
        <v>11</v>
      </c>
      <c r="U19" s="1561">
        <f>H19</f>
        <v>100</v>
      </c>
      <c r="V19" s="1560" t="s">
        <v>11</v>
      </c>
      <c r="W19" s="1561">
        <f>J19</f>
        <v>100</v>
      </c>
      <c r="X19" s="1554"/>
      <c r="Y19" s="341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17"/>
      <c r="Q20" s="1559"/>
      <c r="R20" s="1560"/>
      <c r="S20" s="1561"/>
      <c r="T20" s="1560"/>
      <c r="U20" s="1561"/>
      <c r="V20" s="1560"/>
      <c r="W20" s="1561"/>
      <c r="X20" s="1554"/>
      <c r="Y20" s="3417"/>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17"/>
      <c r="Q21" s="2544" t="str">
        <f>B21</f>
        <v>基础设施水平</v>
      </c>
      <c r="R21" s="1560" t="s">
        <v>11</v>
      </c>
      <c r="S21" s="1561">
        <f>F21</f>
        <v>100</v>
      </c>
      <c r="T21" s="1560" t="s">
        <v>11</v>
      </c>
      <c r="U21" s="1561">
        <f>H21</f>
        <v>100</v>
      </c>
      <c r="V21" s="1560" t="s">
        <v>11</v>
      </c>
      <c r="W21" s="1561">
        <f>J21</f>
        <v>100</v>
      </c>
      <c r="X21" s="2546"/>
      <c r="Y21" s="341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17"/>
      <c r="Q22" s="2544"/>
      <c r="R22" s="1560"/>
      <c r="S22" s="1561"/>
      <c r="T22" s="1560"/>
      <c r="U22" s="1561"/>
      <c r="V22" s="1560"/>
      <c r="W22" s="1561"/>
      <c r="X22" s="2546"/>
      <c r="Y22" s="3417"/>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17"/>
      <c r="Q23" s="1559" t="str">
        <f>B23</f>
        <v>自然及人文环境</v>
      </c>
      <c r="R23" s="1560" t="s">
        <v>11</v>
      </c>
      <c r="S23" s="1561">
        <f>F23</f>
        <v>100</v>
      </c>
      <c r="T23" s="1560" t="s">
        <v>11</v>
      </c>
      <c r="U23" s="1561">
        <f>H23</f>
        <v>100</v>
      </c>
      <c r="V23" s="1560" t="s">
        <v>11</v>
      </c>
      <c r="W23" s="1561">
        <f>J23</f>
        <v>100</v>
      </c>
      <c r="X23" s="1554"/>
      <c r="Y23" s="341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17"/>
      <c r="Q24" s="1559"/>
      <c r="R24" s="1560"/>
      <c r="S24" s="1561"/>
      <c r="T24" s="1560"/>
      <c r="U24" s="1561"/>
      <c r="V24" s="1560"/>
      <c r="W24" s="1561"/>
      <c r="X24" s="1554"/>
      <c r="Y24" s="3417"/>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7"/>
      <c r="Q25" s="1559" t="str">
        <f t="shared" ref="Q25:Q46" si="11">B25</f>
        <v>楼层-1</v>
      </c>
      <c r="R25" s="1560" t="s">
        <v>11</v>
      </c>
      <c r="S25" s="1561">
        <f>F25</f>
        <v>100</v>
      </c>
      <c r="T25" s="1560" t="s">
        <v>11</v>
      </c>
      <c r="U25" s="1561">
        <f>H25</f>
        <v>100</v>
      </c>
      <c r="V25" s="1560" t="s">
        <v>11</v>
      </c>
      <c r="W25" s="1561">
        <f>J25</f>
        <v>100</v>
      </c>
      <c r="X25" s="1554"/>
      <c r="Y25" s="341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7"/>
      <c r="Q26" s="1559" t="str">
        <f t="shared" si="11"/>
        <v>朝向</v>
      </c>
      <c r="R26" s="1560" t="s">
        <v>11</v>
      </c>
      <c r="S26" s="1561">
        <f>F26</f>
        <v>100</v>
      </c>
      <c r="T26" s="1560" t="s">
        <v>11</v>
      </c>
      <c r="U26" s="1561">
        <f>H26</f>
        <v>100</v>
      </c>
      <c r="V26" s="1560" t="s">
        <v>11</v>
      </c>
      <c r="W26" s="1561">
        <f>J26</f>
        <v>100</v>
      </c>
      <c r="X26" s="1554"/>
      <c r="Y26" s="341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7"/>
      <c r="Q27" s="1147" t="str">
        <f t="shared" si="11"/>
        <v>道路级别</v>
      </c>
      <c r="R27" s="1555" t="s">
        <v>11</v>
      </c>
      <c r="S27" s="1556">
        <f>F27</f>
        <v>100</v>
      </c>
      <c r="T27" s="1555" t="s">
        <v>11</v>
      </c>
      <c r="U27" s="1556">
        <f>H27</f>
        <v>100</v>
      </c>
      <c r="V27" s="1555" t="s">
        <v>11</v>
      </c>
      <c r="W27" s="1556">
        <f>J27</f>
        <v>100</v>
      </c>
      <c r="X27" s="1557"/>
      <c r="Y27" s="341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7"/>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7"/>
      <c r="Q29" s="1559">
        <f t="shared" si="11"/>
        <v>111</v>
      </c>
      <c r="R29" s="1560" t="s">
        <v>11</v>
      </c>
      <c r="S29" s="1561">
        <f t="shared" si="12"/>
        <v>100</v>
      </c>
      <c r="T29" s="1560" t="s">
        <v>11</v>
      </c>
      <c r="U29" s="1561">
        <f t="shared" si="13"/>
        <v>100</v>
      </c>
      <c r="V29" s="1560" t="s">
        <v>11</v>
      </c>
      <c r="W29" s="1561">
        <f t="shared" si="14"/>
        <v>100</v>
      </c>
      <c r="X29" s="1554"/>
      <c r="Y29" s="341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7"/>
      <c r="Q30" s="1559">
        <f t="shared" si="11"/>
        <v>111</v>
      </c>
      <c r="R30" s="1560" t="s">
        <v>11</v>
      </c>
      <c r="S30" s="1561">
        <f t="shared" si="12"/>
        <v>100</v>
      </c>
      <c r="T30" s="1560" t="s">
        <v>11</v>
      </c>
      <c r="U30" s="1561">
        <f t="shared" si="13"/>
        <v>100</v>
      </c>
      <c r="V30" s="1560" t="s">
        <v>11</v>
      </c>
      <c r="W30" s="1561">
        <f t="shared" si="14"/>
        <v>100</v>
      </c>
      <c r="X30" s="1554"/>
      <c r="Y30" s="341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7"/>
      <c r="Q31" s="1559">
        <f t="shared" si="11"/>
        <v>111</v>
      </c>
      <c r="R31" s="1560" t="s">
        <v>11</v>
      </c>
      <c r="S31" s="1561">
        <f t="shared" si="12"/>
        <v>100</v>
      </c>
      <c r="T31" s="1560" t="s">
        <v>11</v>
      </c>
      <c r="U31" s="1561">
        <f t="shared" si="13"/>
        <v>100</v>
      </c>
      <c r="V31" s="1560" t="s">
        <v>11</v>
      </c>
      <c r="W31" s="1561">
        <f t="shared" si="14"/>
        <v>100</v>
      </c>
      <c r="X31" s="1554"/>
      <c r="Y31" s="3417"/>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18" t="s">
        <v>550</v>
      </c>
      <c r="Q32" s="1559" t="str">
        <f t="shared" si="11"/>
        <v>建筑类型</v>
      </c>
      <c r="R32" s="1560" t="s">
        <v>11</v>
      </c>
      <c r="S32" s="1561">
        <f t="shared" si="12"/>
        <v>100</v>
      </c>
      <c r="T32" s="1560" t="s">
        <v>11</v>
      </c>
      <c r="U32" s="1561">
        <f t="shared" si="13"/>
        <v>100</v>
      </c>
      <c r="V32" s="1560" t="s">
        <v>11</v>
      </c>
      <c r="W32" s="1561">
        <f t="shared" si="14"/>
        <v>100</v>
      </c>
      <c r="X32" s="1554"/>
      <c r="Y32" s="3419"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19"/>
      <c r="Q33" s="1591" t="str">
        <f t="shared" si="11"/>
        <v>项目建筑规模</v>
      </c>
      <c r="R33" s="1564" t="s">
        <v>11</v>
      </c>
      <c r="S33" s="1565" t="e">
        <f t="shared" si="12"/>
        <v>#N/A</v>
      </c>
      <c r="T33" s="1564" t="s">
        <v>11</v>
      </c>
      <c r="U33" s="1565" t="e">
        <f t="shared" si="13"/>
        <v>#N/A</v>
      </c>
      <c r="V33" s="1564" t="s">
        <v>11</v>
      </c>
      <c r="W33" s="1565" t="e">
        <f t="shared" si="14"/>
        <v>#N/A</v>
      </c>
      <c r="X33" s="1566"/>
      <c r="Y33" s="341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19"/>
      <c r="Q34" s="1559" t="str">
        <f t="shared" si="11"/>
        <v>建筑结构</v>
      </c>
      <c r="R34" s="1560" t="s">
        <v>11</v>
      </c>
      <c r="S34" s="1561">
        <f t="shared" si="12"/>
        <v>100</v>
      </c>
      <c r="T34" s="1560" t="s">
        <v>11</v>
      </c>
      <c r="U34" s="1561">
        <f t="shared" si="13"/>
        <v>100</v>
      </c>
      <c r="V34" s="1560" t="s">
        <v>11</v>
      </c>
      <c r="W34" s="1561">
        <f t="shared" si="14"/>
        <v>100</v>
      </c>
      <c r="X34" s="1554"/>
      <c r="Y34" s="3419"/>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19"/>
      <c r="Q35" s="1559" t="str">
        <f t="shared" si="11"/>
        <v>建筑品质</v>
      </c>
      <c r="R35" s="1560" t="s">
        <v>11</v>
      </c>
      <c r="S35" s="1561">
        <f t="shared" si="12"/>
        <v>100</v>
      </c>
      <c r="T35" s="1560" t="s">
        <v>11</v>
      </c>
      <c r="U35" s="1561">
        <f t="shared" si="13"/>
        <v>100</v>
      </c>
      <c r="V35" s="1560" t="s">
        <v>11</v>
      </c>
      <c r="W35" s="1561">
        <f t="shared" si="14"/>
        <v>100</v>
      </c>
      <c r="X35" s="1554"/>
      <c r="Y35" s="3419"/>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19"/>
      <c r="Q36" s="1559" t="str">
        <f t="shared" si="11"/>
        <v>公共部分装修</v>
      </c>
      <c r="R36" s="1560" t="s">
        <v>11</v>
      </c>
      <c r="S36" s="1561">
        <f t="shared" si="12"/>
        <v>100</v>
      </c>
      <c r="T36" s="1560" t="s">
        <v>11</v>
      </c>
      <c r="U36" s="1561">
        <f t="shared" si="13"/>
        <v>100</v>
      </c>
      <c r="V36" s="1560" t="s">
        <v>11</v>
      </c>
      <c r="W36" s="1561">
        <f t="shared" si="14"/>
        <v>100</v>
      </c>
      <c r="X36" s="1554"/>
      <c r="Y36" s="3419"/>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19"/>
      <c r="Q37" s="1147" t="str">
        <f t="shared" si="11"/>
        <v>成新度</v>
      </c>
      <c r="R37" s="1555" t="s">
        <v>11</v>
      </c>
      <c r="S37" s="1556" t="e">
        <f t="shared" si="12"/>
        <v>#N/A</v>
      </c>
      <c r="T37" s="1555" t="s">
        <v>11</v>
      </c>
      <c r="U37" s="1556" t="e">
        <f t="shared" si="13"/>
        <v>#N/A</v>
      </c>
      <c r="V37" s="1555" t="s">
        <v>11</v>
      </c>
      <c r="W37" s="1556" t="e">
        <f t="shared" si="14"/>
        <v>#N/A</v>
      </c>
      <c r="X37" s="1557"/>
      <c r="Y37" s="3419"/>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19" t="s">
        <v>550</v>
      </c>
      <c r="Q38" s="1559" t="str">
        <f t="shared" si="11"/>
        <v>物业管理</v>
      </c>
      <c r="R38" s="1560" t="s">
        <v>11</v>
      </c>
      <c r="S38" s="1561">
        <f t="shared" si="12"/>
        <v>100</v>
      </c>
      <c r="T38" s="1560" t="s">
        <v>11</v>
      </c>
      <c r="U38" s="1561">
        <f t="shared" si="13"/>
        <v>100</v>
      </c>
      <c r="V38" s="1560" t="s">
        <v>11</v>
      </c>
      <c r="W38" s="1561">
        <f t="shared" si="14"/>
        <v>100</v>
      </c>
      <c r="X38" s="1554"/>
      <c r="Y38" s="3419"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19"/>
      <c r="Q39" s="1559" t="str">
        <f t="shared" si="11"/>
        <v>市政基础设施</v>
      </c>
      <c r="R39" s="1560" t="s">
        <v>11</v>
      </c>
      <c r="S39" s="1561">
        <f t="shared" si="12"/>
        <v>100</v>
      </c>
      <c r="T39" s="1560" t="s">
        <v>11</v>
      </c>
      <c r="U39" s="1561">
        <f t="shared" si="13"/>
        <v>100</v>
      </c>
      <c r="V39" s="1560" t="s">
        <v>11</v>
      </c>
      <c r="W39" s="1561">
        <f t="shared" si="14"/>
        <v>100</v>
      </c>
      <c r="X39" s="1554"/>
      <c r="Y39" s="341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9"/>
      <c r="Q40" s="1559" t="str">
        <f t="shared" si="11"/>
        <v>房型</v>
      </c>
      <c r="R40" s="1560" t="s">
        <v>11</v>
      </c>
      <c r="S40" s="1561">
        <f t="shared" si="12"/>
        <v>100</v>
      </c>
      <c r="T40" s="1560" t="s">
        <v>11</v>
      </c>
      <c r="U40" s="1561">
        <f t="shared" si="13"/>
        <v>100</v>
      </c>
      <c r="V40" s="1560" t="s">
        <v>11</v>
      </c>
      <c r="W40" s="1561">
        <f t="shared" si="14"/>
        <v>100</v>
      </c>
      <c r="X40" s="1554"/>
      <c r="Y40" s="341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9"/>
      <c r="Q41" s="1591" t="str">
        <f t="shared" si="11"/>
        <v>单套/主力户型建筑面积</v>
      </c>
      <c r="R41" s="1564" t="s">
        <v>11</v>
      </c>
      <c r="S41" s="1565">
        <f t="shared" si="12"/>
        <v>100</v>
      </c>
      <c r="T41" s="1564" t="s">
        <v>11</v>
      </c>
      <c r="U41" s="1565">
        <f t="shared" si="13"/>
        <v>100</v>
      </c>
      <c r="V41" s="1564" t="s">
        <v>11</v>
      </c>
      <c r="W41" s="1565">
        <f t="shared" si="14"/>
        <v>100</v>
      </c>
      <c r="X41" s="1566"/>
      <c r="Y41" s="3419"/>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19"/>
      <c r="Q42" s="1559" t="str">
        <f t="shared" si="11"/>
        <v>内部装修</v>
      </c>
      <c r="R42" s="1560" t="s">
        <v>11</v>
      </c>
      <c r="S42" s="1561">
        <f t="shared" si="12"/>
        <v>100</v>
      </c>
      <c r="T42" s="1560" t="s">
        <v>11</v>
      </c>
      <c r="U42" s="1561">
        <f t="shared" si="13"/>
        <v>100</v>
      </c>
      <c r="V42" s="1560" t="s">
        <v>11</v>
      </c>
      <c r="W42" s="1561">
        <f t="shared" si="14"/>
        <v>100</v>
      </c>
      <c r="X42" s="1554"/>
      <c r="Y42" s="3419"/>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9"/>
      <c r="Q43" s="1559" t="str">
        <f t="shared" si="11"/>
        <v>内部装修维护情况</v>
      </c>
      <c r="R43" s="1560" t="s">
        <v>11</v>
      </c>
      <c r="S43" s="1561">
        <f t="shared" si="12"/>
        <v>100</v>
      </c>
      <c r="T43" s="1560" t="s">
        <v>11</v>
      </c>
      <c r="U43" s="1561">
        <f t="shared" si="13"/>
        <v>100</v>
      </c>
      <c r="V43" s="1560" t="s">
        <v>11</v>
      </c>
      <c r="W43" s="1561">
        <f t="shared" si="14"/>
        <v>100</v>
      </c>
      <c r="X43" s="1554"/>
      <c r="Y43" s="341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9"/>
      <c r="Q44" s="1147">
        <f t="shared" si="11"/>
        <v>111</v>
      </c>
      <c r="R44" s="1555" t="s">
        <v>11</v>
      </c>
      <c r="S44" s="1556">
        <f t="shared" si="12"/>
        <v>100</v>
      </c>
      <c r="T44" s="1555" t="s">
        <v>11</v>
      </c>
      <c r="U44" s="1556">
        <f t="shared" si="13"/>
        <v>100</v>
      </c>
      <c r="V44" s="1555" t="s">
        <v>11</v>
      </c>
      <c r="W44" s="1556">
        <f t="shared" si="14"/>
        <v>100</v>
      </c>
      <c r="X44" s="1557"/>
      <c r="Y44" s="341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9"/>
      <c r="Q45" s="1559">
        <f t="shared" si="11"/>
        <v>111</v>
      </c>
      <c r="R45" s="1560" t="s">
        <v>11</v>
      </c>
      <c r="S45" s="1561">
        <f t="shared" si="12"/>
        <v>100</v>
      </c>
      <c r="T45" s="1560" t="s">
        <v>11</v>
      </c>
      <c r="U45" s="1561">
        <f t="shared" si="13"/>
        <v>100</v>
      </c>
      <c r="V45" s="1560" t="s">
        <v>11</v>
      </c>
      <c r="W45" s="1561">
        <f t="shared" si="14"/>
        <v>100</v>
      </c>
      <c r="X45" s="1554"/>
      <c r="Y45" s="341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9"/>
      <c r="Q46" s="1559">
        <f t="shared" si="11"/>
        <v>111</v>
      </c>
      <c r="R46" s="1560" t="s">
        <v>10</v>
      </c>
      <c r="S46" s="1561">
        <f t="shared" si="12"/>
        <v>100</v>
      </c>
      <c r="T46" s="1560" t="s">
        <v>10</v>
      </c>
      <c r="U46" s="1561">
        <f t="shared" si="13"/>
        <v>100</v>
      </c>
      <c r="V46" s="1560" t="s">
        <v>10</v>
      </c>
      <c r="W46" s="1561">
        <f t="shared" si="14"/>
        <v>100</v>
      </c>
      <c r="X46" s="1554"/>
      <c r="Y46" s="3519"/>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14" t="str">
        <f>A47</f>
        <v>成交单价（元/平方米）</v>
      </c>
      <c r="Q47" s="3414"/>
      <c r="R47" s="3518">
        <f>E47</f>
        <v>0</v>
      </c>
      <c r="S47" s="3518"/>
      <c r="T47" s="3518">
        <f>G47</f>
        <v>0</v>
      </c>
      <c r="U47" s="3518"/>
      <c r="V47" s="3518">
        <f>I47</f>
        <v>0</v>
      </c>
      <c r="W47" s="351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14" t="str">
        <f>A48</f>
        <v>比较价格（元/平方米）</v>
      </c>
      <c r="Q48" s="3414"/>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435" t="str">
        <f>A49</f>
        <v>估价对象XX用房的比较价格（楼面单价，元/平方米）</v>
      </c>
      <c r="Q49" s="3436"/>
      <c r="R49" s="3517" t="e">
        <f>IF(F1="售价",ROUND(AVERAGE(R48:V48),0),ROUND(AVERAGE(R48:V48),1))</f>
        <v>#DIV/0!</v>
      </c>
      <c r="S49" s="3517"/>
      <c r="T49" s="3517"/>
      <c r="U49" s="3517"/>
      <c r="V49" s="3517"/>
      <c r="W49" s="351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20" t="s">
        <v>522</v>
      </c>
      <c r="D4" s="3421"/>
      <c r="E4" s="3444" t="s">
        <v>523</v>
      </c>
      <c r="F4" s="3445"/>
      <c r="G4" s="3420" t="s">
        <v>524</v>
      </c>
      <c r="H4" s="3421"/>
      <c r="I4" s="3420" t="s">
        <v>525</v>
      </c>
      <c r="J4" s="3421"/>
      <c r="K4" s="514" t="s">
        <v>526</v>
      </c>
      <c r="L4" s="2119"/>
      <c r="M4" s="2120"/>
      <c r="N4" s="2120"/>
      <c r="O4" s="2120"/>
      <c r="P4" s="3422" t="s">
        <v>527</v>
      </c>
      <c r="Q4" s="3423"/>
      <c r="R4" s="3408" t="s">
        <v>523</v>
      </c>
      <c r="S4" s="3409"/>
      <c r="T4" s="3408" t="s">
        <v>524</v>
      </c>
      <c r="U4" s="3409"/>
      <c r="V4" s="3428" t="s">
        <v>525</v>
      </c>
      <c r="W4" s="3428"/>
      <c r="X4" s="1554"/>
      <c r="Y4" s="3408" t="s">
        <v>527</v>
      </c>
      <c r="Z4" s="3409"/>
      <c r="AA4" s="3403" t="s">
        <v>523</v>
      </c>
      <c r="AB4" s="3428" t="s">
        <v>524</v>
      </c>
      <c r="AC4" s="3403" t="s">
        <v>525</v>
      </c>
    </row>
    <row r="5" spans="1:29" ht="15">
      <c r="A5" s="515"/>
      <c r="B5" s="516"/>
      <c r="C5" s="3431" t="s">
        <v>2931</v>
      </c>
      <c r="D5" s="3432"/>
      <c r="E5" s="3446" t="s">
        <v>2932</v>
      </c>
      <c r="F5" s="3447"/>
      <c r="G5" s="3431" t="s">
        <v>2933</v>
      </c>
      <c r="H5" s="3432"/>
      <c r="I5" s="3431" t="s">
        <v>2934</v>
      </c>
      <c r="J5" s="3432"/>
      <c r="K5" s="514"/>
      <c r="L5" s="2119"/>
      <c r="M5" s="2120"/>
      <c r="N5" s="2120"/>
      <c r="O5" s="2120"/>
      <c r="P5" s="3424"/>
      <c r="Q5" s="3425"/>
      <c r="R5" s="3410"/>
      <c r="S5" s="3411"/>
      <c r="T5" s="3410"/>
      <c r="U5" s="3411"/>
      <c r="V5" s="3428"/>
      <c r="W5" s="3428"/>
      <c r="X5" s="1554"/>
      <c r="Y5" s="3410"/>
      <c r="Z5" s="3411"/>
      <c r="AA5" s="3404"/>
      <c r="AB5" s="3428"/>
      <c r="AC5" s="3404"/>
    </row>
    <row r="6" spans="1:29" ht="15.75" thickBot="1">
      <c r="A6" s="517"/>
      <c r="B6" s="518"/>
      <c r="C6" s="3429" t="s">
        <v>2935</v>
      </c>
      <c r="D6" s="3430"/>
      <c r="E6" s="3448" t="s">
        <v>2935</v>
      </c>
      <c r="F6" s="3449"/>
      <c r="G6" s="3429" t="s">
        <v>2935</v>
      </c>
      <c r="H6" s="3430"/>
      <c r="I6" s="3429" t="s">
        <v>2935</v>
      </c>
      <c r="J6" s="3430"/>
      <c r="K6" s="514" t="s">
        <v>528</v>
      </c>
      <c r="L6" s="2119"/>
      <c r="M6" s="2120"/>
      <c r="N6" s="2120"/>
      <c r="O6" s="2120"/>
      <c r="P6" s="3426"/>
      <c r="Q6" s="3427"/>
      <c r="R6" s="3410"/>
      <c r="S6" s="3411"/>
      <c r="T6" s="3412"/>
      <c r="U6" s="3413"/>
      <c r="V6" s="3428"/>
      <c r="W6" s="3428"/>
      <c r="X6" s="1554"/>
      <c r="Y6" s="3412"/>
      <c r="Z6" s="3413"/>
      <c r="AA6" s="3405"/>
      <c r="AB6" s="3428"/>
      <c r="AC6" s="3405"/>
    </row>
    <row r="7" spans="1:29" s="1216" customFormat="1" ht="15.75" thickBot="1">
      <c r="A7" s="2868"/>
      <c r="B7" s="2875" t="s">
        <v>529</v>
      </c>
      <c r="C7" s="519">
        <f>'数据-取费表'!B2</f>
        <v>44435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6" t="s">
        <v>530</v>
      </c>
      <c r="Q7" s="3415"/>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6" t="s">
        <v>533</v>
      </c>
      <c r="Q8" s="3407"/>
      <c r="R8" s="1555" t="s">
        <v>8</v>
      </c>
      <c r="S8" s="1556">
        <f t="shared" si="0"/>
        <v>0</v>
      </c>
      <c r="T8" s="1555" t="s">
        <v>8</v>
      </c>
      <c r="U8" s="1556">
        <f t="shared" si="1"/>
        <v>0</v>
      </c>
      <c r="V8" s="1555" t="s">
        <v>8</v>
      </c>
      <c r="W8" s="1556">
        <f t="shared" si="2"/>
        <v>0</v>
      </c>
      <c r="X8" s="1557"/>
      <c r="Y8" s="3406" t="s">
        <v>533</v>
      </c>
      <c r="Z8" s="340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14" t="s">
        <v>535</v>
      </c>
      <c r="Q9" s="1147" t="str">
        <f t="shared" ref="Q9:Q15" si="6">B9</f>
        <v>用途</v>
      </c>
      <c r="R9" s="1555" t="s">
        <v>8</v>
      </c>
      <c r="S9" s="1556">
        <f t="shared" si="0"/>
        <v>100</v>
      </c>
      <c r="T9" s="1555" t="s">
        <v>8</v>
      </c>
      <c r="U9" s="1556">
        <f t="shared" si="1"/>
        <v>100</v>
      </c>
      <c r="V9" s="1555" t="s">
        <v>8</v>
      </c>
      <c r="W9" s="1556">
        <f t="shared" si="2"/>
        <v>100</v>
      </c>
      <c r="X9" s="1557"/>
      <c r="Y9" s="337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14"/>
      <c r="Q11" s="1147" t="str">
        <f t="shared" si="6"/>
        <v>容积率</v>
      </c>
      <c r="R11" s="1555" t="s">
        <v>8</v>
      </c>
      <c r="S11" s="1556" t="e">
        <f t="shared" si="0"/>
        <v>#N/A</v>
      </c>
      <c r="T11" s="1555" t="s">
        <v>8</v>
      </c>
      <c r="U11" s="1556" t="e">
        <f t="shared" si="1"/>
        <v>#N/A</v>
      </c>
      <c r="V11" s="1555" t="s">
        <v>8</v>
      </c>
      <c r="W11" s="1556" t="e">
        <f t="shared" si="2"/>
        <v>#N/A</v>
      </c>
      <c r="X11" s="1557"/>
      <c r="Y11" s="337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14"/>
      <c r="Q12" s="1147">
        <f t="shared" si="6"/>
        <v>111</v>
      </c>
      <c r="R12" s="1555" t="s">
        <v>8</v>
      </c>
      <c r="S12" s="1556">
        <f t="shared" si="0"/>
        <v>100</v>
      </c>
      <c r="T12" s="1555" t="s">
        <v>8</v>
      </c>
      <c r="U12" s="1556">
        <f t="shared" si="1"/>
        <v>100</v>
      </c>
      <c r="V12" s="1555" t="s">
        <v>8</v>
      </c>
      <c r="W12" s="1556">
        <f t="shared" si="2"/>
        <v>100</v>
      </c>
      <c r="X12" s="1557"/>
      <c r="Y12" s="337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14"/>
      <c r="Q13" s="1147">
        <f t="shared" si="6"/>
        <v>111</v>
      </c>
      <c r="R13" s="1555" t="s">
        <v>8</v>
      </c>
      <c r="S13" s="1556">
        <f t="shared" si="0"/>
        <v>100</v>
      </c>
      <c r="T13" s="1555" t="s">
        <v>8</v>
      </c>
      <c r="U13" s="1556">
        <f t="shared" si="1"/>
        <v>100</v>
      </c>
      <c r="V13" s="1555" t="s">
        <v>8</v>
      </c>
      <c r="W13" s="1556">
        <f t="shared" si="2"/>
        <v>100</v>
      </c>
      <c r="X13" s="1557"/>
      <c r="Y13" s="337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14"/>
      <c r="Q14" s="1147">
        <f t="shared" si="6"/>
        <v>111</v>
      </c>
      <c r="R14" s="1555" t="s">
        <v>8</v>
      </c>
      <c r="S14" s="1556">
        <f t="shared" si="0"/>
        <v>100</v>
      </c>
      <c r="T14" s="1555" t="s">
        <v>8</v>
      </c>
      <c r="U14" s="1556">
        <f t="shared" si="1"/>
        <v>100</v>
      </c>
      <c r="V14" s="1555" t="s">
        <v>8</v>
      </c>
      <c r="W14" s="1556">
        <f t="shared" si="2"/>
        <v>100</v>
      </c>
      <c r="X14" s="1557"/>
      <c r="Y14" s="3371"/>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6" t="s">
        <v>540</v>
      </c>
      <c r="Q15" s="1559" t="str">
        <f t="shared" si="6"/>
        <v>商业繁华度</v>
      </c>
      <c r="R15" s="1560" t="s">
        <v>8</v>
      </c>
      <c r="S15" s="1561">
        <f t="shared" si="0"/>
        <v>100</v>
      </c>
      <c r="T15" s="1560" t="s">
        <v>8</v>
      </c>
      <c r="U15" s="1561">
        <f t="shared" si="1"/>
        <v>100</v>
      </c>
      <c r="V15" s="1560" t="s">
        <v>8</v>
      </c>
      <c r="W15" s="1561">
        <f t="shared" si="2"/>
        <v>100</v>
      </c>
      <c r="X15" s="1554"/>
      <c r="Y15" s="341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7"/>
      <c r="Q16" s="1559"/>
      <c r="R16" s="1560"/>
      <c r="S16" s="1561"/>
      <c r="T16" s="1560"/>
      <c r="U16" s="1561"/>
      <c r="V16" s="1560"/>
      <c r="W16" s="1561"/>
      <c r="X16" s="1554"/>
      <c r="Y16" s="341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7"/>
      <c r="Q17" s="1559" t="str">
        <f>B17</f>
        <v>交通便捷度</v>
      </c>
      <c r="R17" s="1560" t="s">
        <v>8</v>
      </c>
      <c r="S17" s="1561">
        <f>F17</f>
        <v>100</v>
      </c>
      <c r="T17" s="1560" t="s">
        <v>8</v>
      </c>
      <c r="U17" s="1561">
        <f>H17</f>
        <v>100</v>
      </c>
      <c r="V17" s="1560" t="s">
        <v>8</v>
      </c>
      <c r="W17" s="1561">
        <f>J17</f>
        <v>100</v>
      </c>
      <c r="X17" s="1554"/>
      <c r="Y17" s="341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7"/>
      <c r="Q18" s="1559"/>
      <c r="R18" s="1560"/>
      <c r="S18" s="1561"/>
      <c r="T18" s="1560"/>
      <c r="U18" s="1561"/>
      <c r="V18" s="1560"/>
      <c r="W18" s="1561"/>
      <c r="X18" s="1554"/>
      <c r="Y18" s="3417"/>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7"/>
      <c r="Q19" s="1559" t="str">
        <f>B19</f>
        <v>公共配套设施</v>
      </c>
      <c r="R19" s="1560" t="s">
        <v>8</v>
      </c>
      <c r="S19" s="1561">
        <f>F19</f>
        <v>100</v>
      </c>
      <c r="T19" s="1560" t="s">
        <v>8</v>
      </c>
      <c r="U19" s="1561">
        <f>H19</f>
        <v>100</v>
      </c>
      <c r="V19" s="1560" t="s">
        <v>8</v>
      </c>
      <c r="W19" s="1561">
        <f>J19</f>
        <v>100</v>
      </c>
      <c r="X19" s="1554"/>
      <c r="Y19" s="341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7"/>
      <c r="Q20" s="1559"/>
      <c r="R20" s="1560"/>
      <c r="S20" s="1561"/>
      <c r="T20" s="1560"/>
      <c r="U20" s="1561"/>
      <c r="V20" s="1560"/>
      <c r="W20" s="1561"/>
      <c r="X20" s="1554"/>
      <c r="Y20" s="3417"/>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7"/>
      <c r="Q21" s="2544" t="str">
        <f>B21</f>
        <v>基础设施水平</v>
      </c>
      <c r="R21" s="1560" t="s">
        <v>8</v>
      </c>
      <c r="S21" s="1561">
        <f>F21</f>
        <v>100</v>
      </c>
      <c r="T21" s="1560" t="s">
        <v>8</v>
      </c>
      <c r="U21" s="1561">
        <f>H21</f>
        <v>100</v>
      </c>
      <c r="V21" s="1560" t="s">
        <v>8</v>
      </c>
      <c r="W21" s="1561">
        <f>J21</f>
        <v>100</v>
      </c>
      <c r="X21" s="2546"/>
      <c r="Y21" s="341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7"/>
      <c r="Q22" s="2544"/>
      <c r="R22" s="1560"/>
      <c r="S22" s="1561"/>
      <c r="T22" s="1560"/>
      <c r="U22" s="1561"/>
      <c r="V22" s="1560"/>
      <c r="W22" s="1561"/>
      <c r="X22" s="2546"/>
      <c r="Y22" s="3417"/>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7"/>
      <c r="Q23" s="1559" t="str">
        <f>B23</f>
        <v>自然及人文环境</v>
      </c>
      <c r="R23" s="1560" t="s">
        <v>8</v>
      </c>
      <c r="S23" s="1561">
        <f>F23</f>
        <v>100</v>
      </c>
      <c r="T23" s="1560" t="s">
        <v>8</v>
      </c>
      <c r="U23" s="1561">
        <f>H23</f>
        <v>100</v>
      </c>
      <c r="V23" s="1560" t="s">
        <v>8</v>
      </c>
      <c r="W23" s="1561">
        <f>J23</f>
        <v>100</v>
      </c>
      <c r="X23" s="1554"/>
      <c r="Y23" s="341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7"/>
      <c r="Q24" s="1559"/>
      <c r="R24" s="1560"/>
      <c r="S24" s="1561"/>
      <c r="T24" s="1560"/>
      <c r="U24" s="1561"/>
      <c r="V24" s="1560"/>
      <c r="W24" s="1561"/>
      <c r="X24" s="1554"/>
      <c r="Y24" s="341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7"/>
      <c r="Q25" s="1559" t="str">
        <f t="shared" ref="Q25:Q46" si="11">B25</f>
        <v>临街状况</v>
      </c>
      <c r="R25" s="1560" t="s">
        <v>8</v>
      </c>
      <c r="S25" s="1561">
        <f>F25</f>
        <v>100</v>
      </c>
      <c r="T25" s="1560" t="s">
        <v>8</v>
      </c>
      <c r="U25" s="1561">
        <f>H25</f>
        <v>100</v>
      </c>
      <c r="V25" s="1560" t="s">
        <v>8</v>
      </c>
      <c r="W25" s="1561">
        <f>J25</f>
        <v>100</v>
      </c>
      <c r="X25" s="1554"/>
      <c r="Y25" s="341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7"/>
      <c r="Q26" s="1559" t="str">
        <f t="shared" si="11"/>
        <v>平面位置/可视性</v>
      </c>
      <c r="R26" s="1560" t="s">
        <v>8</v>
      </c>
      <c r="S26" s="1561">
        <f>F26</f>
        <v>100</v>
      </c>
      <c r="T26" s="1560" t="s">
        <v>8</v>
      </c>
      <c r="U26" s="1561">
        <f>H26</f>
        <v>100</v>
      </c>
      <c r="V26" s="1560" t="s">
        <v>8</v>
      </c>
      <c r="W26" s="1561">
        <f>J26</f>
        <v>100</v>
      </c>
      <c r="X26" s="1554"/>
      <c r="Y26" s="341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7"/>
      <c r="Q27" s="1147" t="str">
        <f t="shared" si="11"/>
        <v>人流量</v>
      </c>
      <c r="R27" s="1555" t="s">
        <v>8</v>
      </c>
      <c r="S27" s="1556">
        <f>F27</f>
        <v>100</v>
      </c>
      <c r="T27" s="1555" t="s">
        <v>8</v>
      </c>
      <c r="U27" s="1556">
        <f>H27</f>
        <v>100</v>
      </c>
      <c r="V27" s="1555" t="s">
        <v>8</v>
      </c>
      <c r="W27" s="1556">
        <f>J27</f>
        <v>100</v>
      </c>
      <c r="X27" s="1557"/>
      <c r="Y27" s="341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7"/>
      <c r="Q29" s="1559">
        <f t="shared" si="11"/>
        <v>111</v>
      </c>
      <c r="R29" s="1560" t="s">
        <v>8</v>
      </c>
      <c r="S29" s="1561">
        <f t="shared" si="12"/>
        <v>100</v>
      </c>
      <c r="T29" s="1560" t="s">
        <v>8</v>
      </c>
      <c r="U29" s="1561">
        <f t="shared" si="13"/>
        <v>100</v>
      </c>
      <c r="V29" s="1560" t="s">
        <v>8</v>
      </c>
      <c r="W29" s="1561">
        <f t="shared" si="14"/>
        <v>100</v>
      </c>
      <c r="X29" s="1554"/>
      <c r="Y29" s="341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7"/>
      <c r="Q30" s="1559">
        <f t="shared" si="11"/>
        <v>111</v>
      </c>
      <c r="R30" s="1560" t="s">
        <v>8</v>
      </c>
      <c r="S30" s="1561">
        <f t="shared" si="12"/>
        <v>100</v>
      </c>
      <c r="T30" s="1560" t="s">
        <v>8</v>
      </c>
      <c r="U30" s="1561">
        <f t="shared" si="13"/>
        <v>100</v>
      </c>
      <c r="V30" s="1560" t="s">
        <v>8</v>
      </c>
      <c r="W30" s="1561">
        <f t="shared" si="14"/>
        <v>100</v>
      </c>
      <c r="X30" s="1554"/>
      <c r="Y30" s="341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7"/>
      <c r="Q31" s="1559">
        <f t="shared" si="11"/>
        <v>111</v>
      </c>
      <c r="R31" s="1560" t="s">
        <v>8</v>
      </c>
      <c r="S31" s="1561">
        <f t="shared" si="12"/>
        <v>100</v>
      </c>
      <c r="T31" s="1560" t="s">
        <v>8</v>
      </c>
      <c r="U31" s="1561">
        <f t="shared" si="13"/>
        <v>100</v>
      </c>
      <c r="V31" s="1560" t="s">
        <v>8</v>
      </c>
      <c r="W31" s="1561">
        <f t="shared" si="14"/>
        <v>100</v>
      </c>
      <c r="X31" s="1554"/>
      <c r="Y31" s="3417"/>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8" t="s">
        <v>550</v>
      </c>
      <c r="Q32" s="1559" t="str">
        <f t="shared" si="11"/>
        <v>商业类型</v>
      </c>
      <c r="R32" s="1560" t="s">
        <v>8</v>
      </c>
      <c r="S32" s="1561">
        <f t="shared" si="12"/>
        <v>100</v>
      </c>
      <c r="T32" s="1560" t="s">
        <v>8</v>
      </c>
      <c r="U32" s="1561">
        <f t="shared" si="13"/>
        <v>100</v>
      </c>
      <c r="V32" s="1560" t="s">
        <v>8</v>
      </c>
      <c r="W32" s="1561">
        <f t="shared" si="14"/>
        <v>100</v>
      </c>
      <c r="X32" s="1554"/>
      <c r="Y32" s="341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9"/>
      <c r="Q33" s="1591" t="str">
        <f t="shared" si="11"/>
        <v>项目建筑规模</v>
      </c>
      <c r="R33" s="1564" t="s">
        <v>8</v>
      </c>
      <c r="S33" s="1565" t="e">
        <f t="shared" si="12"/>
        <v>#N/A</v>
      </c>
      <c r="T33" s="1564" t="s">
        <v>8</v>
      </c>
      <c r="U33" s="1565" t="e">
        <f t="shared" si="13"/>
        <v>#N/A</v>
      </c>
      <c r="V33" s="1564" t="s">
        <v>8</v>
      </c>
      <c r="W33" s="1565" t="e">
        <f t="shared" si="14"/>
        <v>#N/A</v>
      </c>
      <c r="X33" s="1566"/>
      <c r="Y33" s="341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9"/>
      <c r="Q34" s="1559" t="str">
        <f t="shared" si="11"/>
        <v>建筑结构</v>
      </c>
      <c r="R34" s="1560" t="s">
        <v>8</v>
      </c>
      <c r="S34" s="1561">
        <f t="shared" si="12"/>
        <v>100</v>
      </c>
      <c r="T34" s="1560" t="s">
        <v>8</v>
      </c>
      <c r="U34" s="1561">
        <f t="shared" si="13"/>
        <v>100</v>
      </c>
      <c r="V34" s="1560" t="s">
        <v>8</v>
      </c>
      <c r="W34" s="1561">
        <f t="shared" si="14"/>
        <v>100</v>
      </c>
      <c r="X34" s="1554"/>
      <c r="Y34" s="341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9"/>
      <c r="Q35" s="1559" t="str">
        <f t="shared" si="11"/>
        <v>公共部分装修</v>
      </c>
      <c r="R35" s="1560" t="s">
        <v>8</v>
      </c>
      <c r="S35" s="1561">
        <f t="shared" si="12"/>
        <v>100</v>
      </c>
      <c r="T35" s="1560" t="s">
        <v>8</v>
      </c>
      <c r="U35" s="1561">
        <f t="shared" si="13"/>
        <v>100</v>
      </c>
      <c r="V35" s="1560" t="s">
        <v>8</v>
      </c>
      <c r="W35" s="1561">
        <f t="shared" si="14"/>
        <v>100</v>
      </c>
      <c r="X35" s="1554"/>
      <c r="Y35" s="341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9"/>
      <c r="Q36" s="1559" t="str">
        <f t="shared" si="11"/>
        <v>成新度</v>
      </c>
      <c r="R36" s="1560" t="s">
        <v>8</v>
      </c>
      <c r="S36" s="1561" t="e">
        <f t="shared" si="12"/>
        <v>#N/A</v>
      </c>
      <c r="T36" s="1560" t="s">
        <v>8</v>
      </c>
      <c r="U36" s="1561" t="e">
        <f t="shared" si="13"/>
        <v>#N/A</v>
      </c>
      <c r="V36" s="1560" t="s">
        <v>8</v>
      </c>
      <c r="W36" s="1561" t="e">
        <f t="shared" si="14"/>
        <v>#N/A</v>
      </c>
      <c r="X36" s="1554"/>
      <c r="Y36" s="3419"/>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9"/>
      <c r="Q37" s="1147" t="str">
        <f t="shared" si="11"/>
        <v>市政基础设施</v>
      </c>
      <c r="R37" s="1555" t="s">
        <v>8</v>
      </c>
      <c r="S37" s="1556">
        <f t="shared" si="12"/>
        <v>100</v>
      </c>
      <c r="T37" s="1555" t="s">
        <v>8</v>
      </c>
      <c r="U37" s="1556">
        <f t="shared" si="13"/>
        <v>100</v>
      </c>
      <c r="V37" s="1555" t="s">
        <v>8</v>
      </c>
      <c r="W37" s="1556">
        <f t="shared" si="14"/>
        <v>100</v>
      </c>
      <c r="X37" s="1557"/>
      <c r="Y37" s="341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9" t="s">
        <v>766</v>
      </c>
      <c r="Q38" s="1559" t="str">
        <f t="shared" si="11"/>
        <v>业态</v>
      </c>
      <c r="R38" s="1560" t="s">
        <v>8</v>
      </c>
      <c r="S38" s="1561">
        <f t="shared" si="12"/>
        <v>100</v>
      </c>
      <c r="T38" s="1560" t="s">
        <v>8</v>
      </c>
      <c r="U38" s="1561">
        <f t="shared" si="13"/>
        <v>100</v>
      </c>
      <c r="V38" s="1560" t="s">
        <v>8</v>
      </c>
      <c r="W38" s="1561">
        <f t="shared" si="14"/>
        <v>100</v>
      </c>
      <c r="X38" s="1554"/>
      <c r="Y38" s="341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9"/>
      <c r="Q39" s="1559" t="str">
        <f t="shared" si="11"/>
        <v>层高</v>
      </c>
      <c r="R39" s="1560" t="s">
        <v>8</v>
      </c>
      <c r="S39" s="1561">
        <f t="shared" si="12"/>
        <v>100</v>
      </c>
      <c r="T39" s="1560" t="s">
        <v>8</v>
      </c>
      <c r="U39" s="1561">
        <f t="shared" si="13"/>
        <v>100</v>
      </c>
      <c r="V39" s="1560" t="s">
        <v>8</v>
      </c>
      <c r="W39" s="1561">
        <f t="shared" si="14"/>
        <v>100</v>
      </c>
      <c r="X39" s="1554"/>
      <c r="Y39" s="341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9"/>
      <c r="Q40" s="1559" t="str">
        <f t="shared" si="11"/>
        <v>单套建筑面积</v>
      </c>
      <c r="R40" s="1560" t="s">
        <v>8</v>
      </c>
      <c r="S40" s="1561">
        <f t="shared" si="12"/>
        <v>100</v>
      </c>
      <c r="T40" s="1560" t="s">
        <v>8</v>
      </c>
      <c r="U40" s="1561">
        <f t="shared" si="13"/>
        <v>100</v>
      </c>
      <c r="V40" s="1560" t="s">
        <v>8</v>
      </c>
      <c r="W40" s="1561">
        <f t="shared" si="14"/>
        <v>100</v>
      </c>
      <c r="X40" s="1554"/>
      <c r="Y40" s="341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9"/>
      <c r="Q41" s="1591" t="str">
        <f t="shared" si="11"/>
        <v>进深比</v>
      </c>
      <c r="R41" s="1564" t="s">
        <v>8</v>
      </c>
      <c r="S41" s="1565">
        <f t="shared" si="12"/>
        <v>100</v>
      </c>
      <c r="T41" s="1564" t="s">
        <v>8</v>
      </c>
      <c r="U41" s="1565">
        <f t="shared" si="13"/>
        <v>100</v>
      </c>
      <c r="V41" s="1564" t="s">
        <v>8</v>
      </c>
      <c r="W41" s="1565">
        <f t="shared" si="14"/>
        <v>100</v>
      </c>
      <c r="X41" s="1566"/>
      <c r="Y41" s="341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9"/>
      <c r="Q42" s="1559" t="str">
        <f t="shared" si="11"/>
        <v>内部装修</v>
      </c>
      <c r="R42" s="1560" t="s">
        <v>8</v>
      </c>
      <c r="S42" s="1561">
        <f t="shared" si="12"/>
        <v>100</v>
      </c>
      <c r="T42" s="1560" t="s">
        <v>8</v>
      </c>
      <c r="U42" s="1561">
        <f t="shared" si="13"/>
        <v>100</v>
      </c>
      <c r="V42" s="1560" t="s">
        <v>8</v>
      </c>
      <c r="W42" s="1561">
        <f t="shared" si="14"/>
        <v>100</v>
      </c>
      <c r="X42" s="1554"/>
      <c r="Y42" s="341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9"/>
      <c r="Q43" s="1559" t="str">
        <f t="shared" si="11"/>
        <v>内部装修维护情况</v>
      </c>
      <c r="R43" s="1560" t="s">
        <v>8</v>
      </c>
      <c r="S43" s="1561">
        <f t="shared" si="12"/>
        <v>100</v>
      </c>
      <c r="T43" s="1560" t="s">
        <v>8</v>
      </c>
      <c r="U43" s="1561">
        <f t="shared" si="13"/>
        <v>100</v>
      </c>
      <c r="V43" s="1560" t="s">
        <v>8</v>
      </c>
      <c r="W43" s="1561">
        <f t="shared" si="14"/>
        <v>100</v>
      </c>
      <c r="X43" s="1554"/>
      <c r="Y43" s="341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9"/>
      <c r="Q44" s="1147">
        <f t="shared" si="11"/>
        <v>111</v>
      </c>
      <c r="R44" s="1555" t="s">
        <v>8</v>
      </c>
      <c r="S44" s="1556">
        <f t="shared" si="12"/>
        <v>100</v>
      </c>
      <c r="T44" s="1555" t="s">
        <v>8</v>
      </c>
      <c r="U44" s="1556">
        <f t="shared" si="13"/>
        <v>100</v>
      </c>
      <c r="V44" s="1555" t="s">
        <v>8</v>
      </c>
      <c r="W44" s="1556">
        <f t="shared" si="14"/>
        <v>100</v>
      </c>
      <c r="X44" s="1557"/>
      <c r="Y44" s="341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9"/>
      <c r="Q45" s="1559">
        <f t="shared" si="11"/>
        <v>111</v>
      </c>
      <c r="R45" s="1560" t="s">
        <v>8</v>
      </c>
      <c r="S45" s="1561">
        <f t="shared" si="12"/>
        <v>100</v>
      </c>
      <c r="T45" s="1560" t="s">
        <v>8</v>
      </c>
      <c r="U45" s="1561">
        <f t="shared" si="13"/>
        <v>100</v>
      </c>
      <c r="V45" s="1560" t="s">
        <v>8</v>
      </c>
      <c r="W45" s="1561">
        <f t="shared" si="14"/>
        <v>100</v>
      </c>
      <c r="X45" s="1554"/>
      <c r="Y45" s="341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9"/>
      <c r="Q46" s="1559">
        <f t="shared" si="11"/>
        <v>111</v>
      </c>
      <c r="R46" s="1560" t="s">
        <v>8</v>
      </c>
      <c r="S46" s="1561">
        <f t="shared" si="12"/>
        <v>100</v>
      </c>
      <c r="T46" s="1560" t="s">
        <v>8</v>
      </c>
      <c r="U46" s="1561">
        <f t="shared" si="13"/>
        <v>100</v>
      </c>
      <c r="V46" s="1560" t="s">
        <v>8</v>
      </c>
      <c r="W46" s="1561">
        <f t="shared" si="14"/>
        <v>100</v>
      </c>
      <c r="X46" s="1554"/>
      <c r="Y46" s="351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14" t="str">
        <f>A47</f>
        <v>成交单价（元/平方米）</v>
      </c>
      <c r="Q47" s="3414"/>
      <c r="R47" s="3518">
        <f>E47</f>
        <v>0</v>
      </c>
      <c r="S47" s="3518"/>
      <c r="T47" s="3518">
        <f>G47</f>
        <v>0</v>
      </c>
      <c r="U47" s="3518"/>
      <c r="V47" s="3518">
        <f>I47</f>
        <v>0</v>
      </c>
      <c r="W47" s="351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14" t="str">
        <f>A48</f>
        <v>比较价格（元/平方米）</v>
      </c>
      <c r="Q48" s="3414"/>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435" t="str">
        <f>A49</f>
        <v>估价对象XX用房的比较价格（楼面单价，元/平方米）</v>
      </c>
      <c r="Q49" s="3436"/>
      <c r="R49" s="3517" t="e">
        <f>IF(F1="售价",ROUND(AVERAGE(R48:V48),0),ROUND(AVERAGE(R48:V48),1))</f>
        <v>#DIV/0!</v>
      </c>
      <c r="S49" s="3517"/>
      <c r="T49" s="3517"/>
      <c r="U49" s="3517"/>
      <c r="V49" s="3517"/>
      <c r="W49" s="351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20" t="s">
        <v>522</v>
      </c>
      <c r="D4" s="3421"/>
      <c r="E4" s="3444" t="s">
        <v>523</v>
      </c>
      <c r="F4" s="3445"/>
      <c r="G4" s="3420" t="s">
        <v>524</v>
      </c>
      <c r="H4" s="3421"/>
      <c r="I4" s="3420" t="s">
        <v>525</v>
      </c>
      <c r="J4" s="3421"/>
      <c r="K4" s="514" t="s">
        <v>526</v>
      </c>
      <c r="L4" s="2119"/>
      <c r="M4" s="2120"/>
      <c r="N4" s="2120"/>
      <c r="O4" s="2120"/>
      <c r="P4" s="3520" t="s">
        <v>527</v>
      </c>
      <c r="Q4" s="3423"/>
      <c r="R4" s="3408" t="s">
        <v>523</v>
      </c>
      <c r="S4" s="3409"/>
      <c r="T4" s="3408" t="s">
        <v>524</v>
      </c>
      <c r="U4" s="3409"/>
      <c r="V4" s="3428" t="s">
        <v>525</v>
      </c>
      <c r="W4" s="3428"/>
      <c r="X4" s="1554"/>
      <c r="Y4" s="3408" t="s">
        <v>527</v>
      </c>
      <c r="Z4" s="3409"/>
      <c r="AA4" s="3403" t="s">
        <v>523</v>
      </c>
      <c r="AB4" s="3403" t="s">
        <v>524</v>
      </c>
      <c r="AC4" s="3403" t="s">
        <v>525</v>
      </c>
    </row>
    <row r="5" spans="1:29" ht="15">
      <c r="A5" s="515"/>
      <c r="B5" s="516"/>
      <c r="C5" s="3431" t="s">
        <v>2931</v>
      </c>
      <c r="D5" s="3432"/>
      <c r="E5" s="3446" t="s">
        <v>2932</v>
      </c>
      <c r="F5" s="3447"/>
      <c r="G5" s="3431" t="s">
        <v>2933</v>
      </c>
      <c r="H5" s="3432"/>
      <c r="I5" s="3431" t="s">
        <v>2934</v>
      </c>
      <c r="J5" s="3432"/>
      <c r="K5" s="514"/>
      <c r="L5" s="2119"/>
      <c r="M5" s="2120"/>
      <c r="N5" s="2120"/>
      <c r="O5" s="2120"/>
      <c r="P5" s="3521"/>
      <c r="Q5" s="3425"/>
      <c r="R5" s="3410"/>
      <c r="S5" s="3411"/>
      <c r="T5" s="3410"/>
      <c r="U5" s="3411"/>
      <c r="V5" s="3428"/>
      <c r="W5" s="3428"/>
      <c r="X5" s="1554"/>
      <c r="Y5" s="3410"/>
      <c r="Z5" s="3411"/>
      <c r="AA5" s="3404"/>
      <c r="AB5" s="3404"/>
      <c r="AC5" s="3404"/>
    </row>
    <row r="6" spans="1:29" ht="15.75" thickBot="1">
      <c r="A6" s="517"/>
      <c r="B6" s="518"/>
      <c r="C6" s="3429" t="s">
        <v>2935</v>
      </c>
      <c r="D6" s="3430"/>
      <c r="E6" s="3448" t="s">
        <v>2935</v>
      </c>
      <c r="F6" s="3449"/>
      <c r="G6" s="3429" t="s">
        <v>2935</v>
      </c>
      <c r="H6" s="3430"/>
      <c r="I6" s="3429" t="s">
        <v>2935</v>
      </c>
      <c r="J6" s="3430"/>
      <c r="K6" s="514" t="s">
        <v>528</v>
      </c>
      <c r="L6" s="2119"/>
      <c r="M6" s="2120"/>
      <c r="N6" s="2120"/>
      <c r="O6" s="2120"/>
      <c r="P6" s="3522"/>
      <c r="Q6" s="3427"/>
      <c r="R6" s="3410"/>
      <c r="S6" s="3411"/>
      <c r="T6" s="3412"/>
      <c r="U6" s="3413"/>
      <c r="V6" s="3428"/>
      <c r="W6" s="3428"/>
      <c r="X6" s="1554"/>
      <c r="Y6" s="3412"/>
      <c r="Z6" s="3413"/>
      <c r="AA6" s="3405"/>
      <c r="AB6" s="3405"/>
      <c r="AC6" s="3405"/>
    </row>
    <row r="7" spans="1:29" s="1216" customFormat="1" ht="15.75" thickBot="1">
      <c r="A7" s="2868"/>
      <c r="B7" s="2875" t="s">
        <v>529</v>
      </c>
      <c r="C7" s="519">
        <f>'数据-取费表'!B2</f>
        <v>44435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5" t="s">
        <v>530</v>
      </c>
      <c r="Q7" s="3415"/>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5" t="s">
        <v>533</v>
      </c>
      <c r="Q8" s="3407"/>
      <c r="R8" s="1555" t="s">
        <v>8</v>
      </c>
      <c r="S8" s="1556">
        <f t="shared" si="0"/>
        <v>0</v>
      </c>
      <c r="T8" s="1555" t="s">
        <v>8</v>
      </c>
      <c r="U8" s="1556">
        <f t="shared" si="1"/>
        <v>0</v>
      </c>
      <c r="V8" s="1555" t="s">
        <v>8</v>
      </c>
      <c r="W8" s="1556">
        <f t="shared" si="2"/>
        <v>0</v>
      </c>
      <c r="X8" s="1557"/>
      <c r="Y8" s="3406" t="s">
        <v>533</v>
      </c>
      <c r="Z8" s="3407"/>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14" t="s">
        <v>535</v>
      </c>
      <c r="Q9" s="1147" t="str">
        <f t="shared" ref="Q9:Q15" si="6">B9</f>
        <v>用途</v>
      </c>
      <c r="R9" s="1555" t="s">
        <v>8</v>
      </c>
      <c r="S9" s="1556">
        <f t="shared" si="0"/>
        <v>100</v>
      </c>
      <c r="T9" s="1555" t="s">
        <v>8</v>
      </c>
      <c r="U9" s="1556">
        <f t="shared" si="1"/>
        <v>100</v>
      </c>
      <c r="V9" s="1555" t="s">
        <v>8</v>
      </c>
      <c r="W9" s="1556">
        <f t="shared" si="2"/>
        <v>100</v>
      </c>
      <c r="X9" s="1557"/>
      <c r="Y9" s="337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14"/>
      <c r="Q11" s="1147" t="str">
        <f t="shared" si="6"/>
        <v>容积率</v>
      </c>
      <c r="R11" s="1555" t="s">
        <v>8</v>
      </c>
      <c r="S11" s="1556" t="e">
        <f t="shared" si="0"/>
        <v>#N/A</v>
      </c>
      <c r="T11" s="1555" t="s">
        <v>8</v>
      </c>
      <c r="U11" s="1556" t="e">
        <f t="shared" si="1"/>
        <v>#N/A</v>
      </c>
      <c r="V11" s="1555" t="s">
        <v>8</v>
      </c>
      <c r="W11" s="1556" t="e">
        <f t="shared" si="2"/>
        <v>#N/A</v>
      </c>
      <c r="X11" s="1557"/>
      <c r="Y11" s="337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14"/>
      <c r="Q12" s="1147">
        <f t="shared" si="6"/>
        <v>111</v>
      </c>
      <c r="R12" s="1555" t="s">
        <v>8</v>
      </c>
      <c r="S12" s="1556">
        <f t="shared" si="0"/>
        <v>100</v>
      </c>
      <c r="T12" s="1555" t="s">
        <v>8</v>
      </c>
      <c r="U12" s="1556">
        <f t="shared" si="1"/>
        <v>100</v>
      </c>
      <c r="V12" s="1555" t="s">
        <v>8</v>
      </c>
      <c r="W12" s="1556">
        <f t="shared" si="2"/>
        <v>100</v>
      </c>
      <c r="X12" s="1557"/>
      <c r="Y12" s="337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14"/>
      <c r="Q13" s="1147">
        <f t="shared" si="6"/>
        <v>111</v>
      </c>
      <c r="R13" s="1555" t="s">
        <v>8</v>
      </c>
      <c r="S13" s="1556">
        <f t="shared" si="0"/>
        <v>100</v>
      </c>
      <c r="T13" s="1555" t="s">
        <v>8</v>
      </c>
      <c r="U13" s="1556">
        <f t="shared" si="1"/>
        <v>100</v>
      </c>
      <c r="V13" s="1555" t="s">
        <v>8</v>
      </c>
      <c r="W13" s="1556">
        <f t="shared" si="2"/>
        <v>100</v>
      </c>
      <c r="X13" s="1557"/>
      <c r="Y13" s="337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14"/>
      <c r="Q14" s="1147">
        <f t="shared" si="6"/>
        <v>111</v>
      </c>
      <c r="R14" s="1555" t="s">
        <v>8</v>
      </c>
      <c r="S14" s="1556">
        <f t="shared" si="0"/>
        <v>100</v>
      </c>
      <c r="T14" s="1555" t="s">
        <v>8</v>
      </c>
      <c r="U14" s="1556">
        <f t="shared" si="1"/>
        <v>100</v>
      </c>
      <c r="V14" s="1555" t="s">
        <v>8</v>
      </c>
      <c r="W14" s="1556">
        <f t="shared" si="2"/>
        <v>100</v>
      </c>
      <c r="X14" s="1557"/>
      <c r="Y14" s="3371"/>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6" t="s">
        <v>540</v>
      </c>
      <c r="Q15" s="1559" t="str">
        <f t="shared" si="6"/>
        <v>办公集聚程度</v>
      </c>
      <c r="R15" s="1560" t="s">
        <v>8</v>
      </c>
      <c r="S15" s="1561">
        <f t="shared" si="0"/>
        <v>100</v>
      </c>
      <c r="T15" s="1560" t="s">
        <v>8</v>
      </c>
      <c r="U15" s="1561">
        <f t="shared" si="1"/>
        <v>100</v>
      </c>
      <c r="V15" s="1560" t="s">
        <v>8</v>
      </c>
      <c r="W15" s="1561">
        <f t="shared" si="2"/>
        <v>100</v>
      </c>
      <c r="X15" s="1554"/>
      <c r="Y15" s="341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7"/>
      <c r="Q16" s="1559"/>
      <c r="R16" s="1560"/>
      <c r="S16" s="1561"/>
      <c r="T16" s="1560"/>
      <c r="U16" s="1561"/>
      <c r="V16" s="1560"/>
      <c r="W16" s="1561"/>
      <c r="X16" s="1554"/>
      <c r="Y16" s="341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7"/>
      <c r="Q17" s="1559" t="str">
        <f>B17</f>
        <v>交通便捷度</v>
      </c>
      <c r="R17" s="1560" t="s">
        <v>8</v>
      </c>
      <c r="S17" s="1561">
        <f>F17</f>
        <v>100</v>
      </c>
      <c r="T17" s="1560" t="s">
        <v>8</v>
      </c>
      <c r="U17" s="1561">
        <f>H17</f>
        <v>100</v>
      </c>
      <c r="V17" s="1560" t="s">
        <v>8</v>
      </c>
      <c r="W17" s="1561">
        <f>J17</f>
        <v>100</v>
      </c>
      <c r="X17" s="1554"/>
      <c r="Y17" s="341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7"/>
      <c r="Q18" s="1559"/>
      <c r="R18" s="1560"/>
      <c r="S18" s="1561"/>
      <c r="T18" s="1560"/>
      <c r="U18" s="1561"/>
      <c r="V18" s="1560"/>
      <c r="W18" s="1561"/>
      <c r="X18" s="1554"/>
      <c r="Y18" s="3417"/>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7"/>
      <c r="Q19" s="1559" t="str">
        <f>B19</f>
        <v>公共配套设施</v>
      </c>
      <c r="R19" s="1560" t="s">
        <v>8</v>
      </c>
      <c r="S19" s="1561">
        <f>F19</f>
        <v>100</v>
      </c>
      <c r="T19" s="1560" t="s">
        <v>8</v>
      </c>
      <c r="U19" s="1561">
        <f>H19</f>
        <v>100</v>
      </c>
      <c r="V19" s="1560" t="s">
        <v>8</v>
      </c>
      <c r="W19" s="1561">
        <f>J19</f>
        <v>100</v>
      </c>
      <c r="X19" s="1554"/>
      <c r="Y19" s="341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7"/>
      <c r="Q20" s="1559"/>
      <c r="R20" s="1560"/>
      <c r="S20" s="1561"/>
      <c r="T20" s="1560"/>
      <c r="U20" s="1561"/>
      <c r="V20" s="1560"/>
      <c r="W20" s="1561"/>
      <c r="X20" s="1554"/>
      <c r="Y20" s="3417"/>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7"/>
      <c r="Q21" s="2544" t="str">
        <f>B21</f>
        <v>基础设施水平</v>
      </c>
      <c r="R21" s="1560" t="s">
        <v>8</v>
      </c>
      <c r="S21" s="1561">
        <f>F21</f>
        <v>100</v>
      </c>
      <c r="T21" s="1560" t="s">
        <v>8</v>
      </c>
      <c r="U21" s="1561">
        <f>H21</f>
        <v>100</v>
      </c>
      <c r="V21" s="1560" t="s">
        <v>8</v>
      </c>
      <c r="W21" s="1561">
        <f>J21</f>
        <v>100</v>
      </c>
      <c r="X21" s="2546"/>
      <c r="Y21" s="3417"/>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7"/>
      <c r="Q22" s="2544"/>
      <c r="R22" s="1560"/>
      <c r="S22" s="1561"/>
      <c r="T22" s="1560"/>
      <c r="U22" s="1561"/>
      <c r="V22" s="1560"/>
      <c r="W22" s="1561"/>
      <c r="X22" s="2546"/>
      <c r="Y22" s="3417"/>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7"/>
      <c r="Q23" s="1559" t="str">
        <f>B23</f>
        <v>环境质量</v>
      </c>
      <c r="R23" s="1560" t="s">
        <v>8</v>
      </c>
      <c r="S23" s="1561">
        <f>F23</f>
        <v>100</v>
      </c>
      <c r="T23" s="1560" t="s">
        <v>8</v>
      </c>
      <c r="U23" s="1561">
        <f>H23</f>
        <v>100</v>
      </c>
      <c r="V23" s="1560" t="s">
        <v>8</v>
      </c>
      <c r="W23" s="1561">
        <f>J23</f>
        <v>100</v>
      </c>
      <c r="X23" s="1554"/>
      <c r="Y23" s="341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7"/>
      <c r="Q24" s="1559"/>
      <c r="R24" s="1560"/>
      <c r="S24" s="1561"/>
      <c r="T24" s="1560"/>
      <c r="U24" s="1561"/>
      <c r="V24" s="1560"/>
      <c r="W24" s="1561"/>
      <c r="X24" s="1554"/>
      <c r="Y24" s="341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7"/>
      <c r="Q25" s="1559" t="str">
        <f>B25</f>
        <v>毗邻道路的类型与等级</v>
      </c>
      <c r="R25" s="1560" t="s">
        <v>8</v>
      </c>
      <c r="S25" s="1561">
        <f>F25</f>
        <v>100</v>
      </c>
      <c r="T25" s="1560" t="s">
        <v>8</v>
      </c>
      <c r="U25" s="1561">
        <f>H25</f>
        <v>100</v>
      </c>
      <c r="V25" s="1560" t="s">
        <v>8</v>
      </c>
      <c r="W25" s="1561">
        <f>J25</f>
        <v>100</v>
      </c>
      <c r="X25" s="1554"/>
      <c r="Y25" s="341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7"/>
      <c r="Q26" s="1559"/>
      <c r="R26" s="1560"/>
      <c r="S26" s="1561"/>
      <c r="T26" s="1560"/>
      <c r="U26" s="1561"/>
      <c r="V26" s="1560"/>
      <c r="W26" s="1561"/>
      <c r="X26" s="1554"/>
      <c r="Y26" s="341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7"/>
      <c r="Q27" s="1559" t="str">
        <f t="shared" ref="Q27:Q47" si="11">B27</f>
        <v>楼层</v>
      </c>
      <c r="R27" s="1560" t="s">
        <v>8</v>
      </c>
      <c r="S27" s="1561">
        <f>F27</f>
        <v>100</v>
      </c>
      <c r="T27" s="1560" t="s">
        <v>8</v>
      </c>
      <c r="U27" s="1561">
        <f>H27</f>
        <v>100</v>
      </c>
      <c r="V27" s="1560" t="s">
        <v>8</v>
      </c>
      <c r="W27" s="1561">
        <f>J27</f>
        <v>100</v>
      </c>
      <c r="X27" s="1554"/>
      <c r="Y27" s="341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7"/>
      <c r="Q28" s="1147" t="str">
        <f t="shared" si="11"/>
        <v>朝向</v>
      </c>
      <c r="R28" s="1555" t="s">
        <v>8</v>
      </c>
      <c r="S28" s="1556">
        <f>F28</f>
        <v>100</v>
      </c>
      <c r="T28" s="1555" t="s">
        <v>8</v>
      </c>
      <c r="U28" s="1556">
        <f>H28</f>
        <v>100</v>
      </c>
      <c r="V28" s="1555" t="s">
        <v>8</v>
      </c>
      <c r="W28" s="1556">
        <f>J28</f>
        <v>100</v>
      </c>
      <c r="X28" s="1557"/>
      <c r="Y28" s="341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7"/>
      <c r="Q29" s="1559">
        <f t="shared" si="11"/>
        <v>111</v>
      </c>
      <c r="R29" s="1560" t="s">
        <v>8</v>
      </c>
      <c r="S29" s="1561">
        <f t="shared" ref="S29:S47" si="12">F29</f>
        <v>100</v>
      </c>
      <c r="T29" s="1560" t="s">
        <v>8</v>
      </c>
      <c r="U29" s="1561">
        <f t="shared" ref="U29:U47" si="13">H29</f>
        <v>100</v>
      </c>
      <c r="V29" s="1560" t="s">
        <v>8</v>
      </c>
      <c r="W29" s="1561">
        <f t="shared" ref="W29:W47" si="14">J29</f>
        <v>100</v>
      </c>
      <c r="X29" s="1554"/>
      <c r="Y29" s="341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7"/>
      <c r="Q30" s="1559">
        <f t="shared" si="11"/>
        <v>111</v>
      </c>
      <c r="R30" s="1560" t="s">
        <v>8</v>
      </c>
      <c r="S30" s="1561">
        <f t="shared" si="12"/>
        <v>100</v>
      </c>
      <c r="T30" s="1560" t="s">
        <v>8</v>
      </c>
      <c r="U30" s="1561">
        <f t="shared" si="13"/>
        <v>100</v>
      </c>
      <c r="V30" s="1560" t="s">
        <v>8</v>
      </c>
      <c r="W30" s="1561">
        <f t="shared" si="14"/>
        <v>100</v>
      </c>
      <c r="X30" s="1554"/>
      <c r="Y30" s="341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7"/>
      <c r="Q31" s="1559">
        <f t="shared" si="11"/>
        <v>111</v>
      </c>
      <c r="R31" s="1560" t="s">
        <v>8</v>
      </c>
      <c r="S31" s="1561">
        <f t="shared" si="12"/>
        <v>100</v>
      </c>
      <c r="T31" s="1560" t="s">
        <v>8</v>
      </c>
      <c r="U31" s="1561">
        <f t="shared" si="13"/>
        <v>100</v>
      </c>
      <c r="V31" s="1560" t="s">
        <v>8</v>
      </c>
      <c r="W31" s="1561">
        <f t="shared" si="14"/>
        <v>100</v>
      </c>
      <c r="X31" s="1554"/>
      <c r="Y31" s="341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7"/>
      <c r="Q32" s="1559">
        <f t="shared" si="11"/>
        <v>111</v>
      </c>
      <c r="R32" s="1560" t="s">
        <v>8</v>
      </c>
      <c r="S32" s="1561">
        <f t="shared" si="12"/>
        <v>100</v>
      </c>
      <c r="T32" s="1560" t="s">
        <v>8</v>
      </c>
      <c r="U32" s="1561">
        <f t="shared" si="13"/>
        <v>100</v>
      </c>
      <c r="V32" s="1560" t="s">
        <v>8</v>
      </c>
      <c r="W32" s="1561">
        <f t="shared" si="14"/>
        <v>100</v>
      </c>
      <c r="X32" s="1554"/>
      <c r="Y32" s="3417"/>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8" t="s">
        <v>550</v>
      </c>
      <c r="Q33" s="1559" t="str">
        <f t="shared" si="11"/>
        <v>建筑类型</v>
      </c>
      <c r="R33" s="1560" t="s">
        <v>8</v>
      </c>
      <c r="S33" s="1561">
        <f t="shared" si="12"/>
        <v>100</v>
      </c>
      <c r="T33" s="1560" t="s">
        <v>8</v>
      </c>
      <c r="U33" s="1561">
        <f t="shared" si="13"/>
        <v>100</v>
      </c>
      <c r="V33" s="1560" t="s">
        <v>8</v>
      </c>
      <c r="W33" s="1561">
        <f t="shared" si="14"/>
        <v>100</v>
      </c>
      <c r="X33" s="1554"/>
      <c r="Y33" s="341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9"/>
      <c r="Q34" s="1591" t="str">
        <f t="shared" si="11"/>
        <v>项目建筑规模</v>
      </c>
      <c r="R34" s="1564" t="s">
        <v>8</v>
      </c>
      <c r="S34" s="1565" t="e">
        <f t="shared" si="12"/>
        <v>#N/A</v>
      </c>
      <c r="T34" s="1564" t="s">
        <v>8</v>
      </c>
      <c r="U34" s="1565" t="e">
        <f t="shared" si="13"/>
        <v>#N/A</v>
      </c>
      <c r="V34" s="1564" t="s">
        <v>8</v>
      </c>
      <c r="W34" s="1565" t="e">
        <f t="shared" si="14"/>
        <v>#N/A</v>
      </c>
      <c r="X34" s="1566"/>
      <c r="Y34" s="341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9"/>
      <c r="Q35" s="1559" t="str">
        <f t="shared" si="11"/>
        <v>建筑结构</v>
      </c>
      <c r="R35" s="1560" t="s">
        <v>8</v>
      </c>
      <c r="S35" s="1561">
        <f t="shared" si="12"/>
        <v>100</v>
      </c>
      <c r="T35" s="1560" t="s">
        <v>8</v>
      </c>
      <c r="U35" s="1561">
        <f t="shared" si="13"/>
        <v>100</v>
      </c>
      <c r="V35" s="1560" t="s">
        <v>8</v>
      </c>
      <c r="W35" s="1561">
        <f t="shared" si="14"/>
        <v>100</v>
      </c>
      <c r="X35" s="1554"/>
      <c r="Y35" s="341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9"/>
      <c r="Q36" s="1559" t="str">
        <f t="shared" si="11"/>
        <v>公共部分装修</v>
      </c>
      <c r="R36" s="1560" t="s">
        <v>8</v>
      </c>
      <c r="S36" s="1561">
        <f t="shared" si="12"/>
        <v>100</v>
      </c>
      <c r="T36" s="1560" t="s">
        <v>8</v>
      </c>
      <c r="U36" s="1561">
        <f t="shared" si="13"/>
        <v>100</v>
      </c>
      <c r="V36" s="1560" t="s">
        <v>8</v>
      </c>
      <c r="W36" s="1561">
        <f t="shared" si="14"/>
        <v>100</v>
      </c>
      <c r="X36" s="1554"/>
      <c r="Y36" s="341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9"/>
      <c r="Q37" s="1559" t="str">
        <f t="shared" si="11"/>
        <v>成新度</v>
      </c>
      <c r="R37" s="1560" t="s">
        <v>8</v>
      </c>
      <c r="S37" s="1561" t="e">
        <f t="shared" si="12"/>
        <v>#N/A</v>
      </c>
      <c r="T37" s="1560" t="s">
        <v>8</v>
      </c>
      <c r="U37" s="1561" t="e">
        <f t="shared" si="13"/>
        <v>#N/A</v>
      </c>
      <c r="V37" s="1560" t="s">
        <v>8</v>
      </c>
      <c r="W37" s="1561" t="e">
        <f t="shared" si="14"/>
        <v>#N/A</v>
      </c>
      <c r="X37" s="1554"/>
      <c r="Y37" s="341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9"/>
      <c r="Q38" s="1147" t="str">
        <f t="shared" si="11"/>
        <v>写字楼等级</v>
      </c>
      <c r="R38" s="1555" t="s">
        <v>8</v>
      </c>
      <c r="S38" s="1556">
        <f t="shared" si="12"/>
        <v>100</v>
      </c>
      <c r="T38" s="1555" t="s">
        <v>8</v>
      </c>
      <c r="U38" s="1556">
        <f t="shared" si="13"/>
        <v>100</v>
      </c>
      <c r="V38" s="1555" t="s">
        <v>8</v>
      </c>
      <c r="W38" s="1556">
        <f t="shared" si="14"/>
        <v>100</v>
      </c>
      <c r="X38" s="1557"/>
      <c r="Y38" s="341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9" t="s">
        <v>550</v>
      </c>
      <c r="Q39" s="1559" t="str">
        <f t="shared" si="11"/>
        <v>物业管理</v>
      </c>
      <c r="R39" s="1560" t="s">
        <v>8</v>
      </c>
      <c r="S39" s="1561">
        <f t="shared" si="12"/>
        <v>100</v>
      </c>
      <c r="T39" s="1560" t="s">
        <v>8</v>
      </c>
      <c r="U39" s="1561">
        <f t="shared" si="13"/>
        <v>100</v>
      </c>
      <c r="V39" s="1560" t="s">
        <v>8</v>
      </c>
      <c r="W39" s="1561">
        <f t="shared" si="14"/>
        <v>100</v>
      </c>
      <c r="X39" s="1554"/>
      <c r="Y39" s="3419"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9"/>
      <c r="Q40" s="1559" t="str">
        <f t="shared" si="11"/>
        <v>市政基础设施</v>
      </c>
      <c r="R40" s="1560" t="s">
        <v>8</v>
      </c>
      <c r="S40" s="1561">
        <f t="shared" si="12"/>
        <v>100</v>
      </c>
      <c r="T40" s="1560" t="s">
        <v>8</v>
      </c>
      <c r="U40" s="1561">
        <f t="shared" si="13"/>
        <v>100</v>
      </c>
      <c r="V40" s="1560" t="s">
        <v>8</v>
      </c>
      <c r="W40" s="1561">
        <f t="shared" si="14"/>
        <v>100</v>
      </c>
      <c r="X40" s="1554"/>
      <c r="Y40" s="341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9"/>
      <c r="Q41" s="1559" t="str">
        <f t="shared" si="11"/>
        <v>层高</v>
      </c>
      <c r="R41" s="1560" t="s">
        <v>8</v>
      </c>
      <c r="S41" s="1561">
        <f t="shared" si="12"/>
        <v>100</v>
      </c>
      <c r="T41" s="1560" t="s">
        <v>8</v>
      </c>
      <c r="U41" s="1561">
        <f t="shared" si="13"/>
        <v>100</v>
      </c>
      <c r="V41" s="1560" t="s">
        <v>8</v>
      </c>
      <c r="W41" s="1561">
        <f t="shared" si="14"/>
        <v>100</v>
      </c>
      <c r="X41" s="1554"/>
      <c r="Y41" s="341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9"/>
      <c r="Q42" s="1591" t="str">
        <f t="shared" si="11"/>
        <v>单套建筑面积</v>
      </c>
      <c r="R42" s="1564" t="s">
        <v>8</v>
      </c>
      <c r="S42" s="1565">
        <f t="shared" si="12"/>
        <v>100</v>
      </c>
      <c r="T42" s="1564" t="s">
        <v>8</v>
      </c>
      <c r="U42" s="1565">
        <f t="shared" si="13"/>
        <v>100</v>
      </c>
      <c r="V42" s="1564" t="s">
        <v>8</v>
      </c>
      <c r="W42" s="1565">
        <f t="shared" si="14"/>
        <v>100</v>
      </c>
      <c r="X42" s="1566"/>
      <c r="Y42" s="341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9"/>
      <c r="Q43" s="1559" t="str">
        <f t="shared" si="11"/>
        <v>内部装修</v>
      </c>
      <c r="R43" s="1560" t="s">
        <v>8</v>
      </c>
      <c r="S43" s="1561">
        <f t="shared" si="12"/>
        <v>100</v>
      </c>
      <c r="T43" s="1560" t="s">
        <v>8</v>
      </c>
      <c r="U43" s="1561">
        <f t="shared" si="13"/>
        <v>100</v>
      </c>
      <c r="V43" s="1560" t="s">
        <v>8</v>
      </c>
      <c r="W43" s="1561">
        <f t="shared" si="14"/>
        <v>100</v>
      </c>
      <c r="X43" s="1554"/>
      <c r="Y43" s="341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9"/>
      <c r="Q44" s="1559" t="str">
        <f t="shared" si="11"/>
        <v>内部装修维护情况</v>
      </c>
      <c r="R44" s="1560" t="s">
        <v>8</v>
      </c>
      <c r="S44" s="1561">
        <f t="shared" si="12"/>
        <v>100</v>
      </c>
      <c r="T44" s="1560" t="s">
        <v>8</v>
      </c>
      <c r="U44" s="1561">
        <f t="shared" si="13"/>
        <v>100</v>
      </c>
      <c r="V44" s="1560" t="s">
        <v>8</v>
      </c>
      <c r="W44" s="1561">
        <f t="shared" si="14"/>
        <v>100</v>
      </c>
      <c r="X44" s="1554"/>
      <c r="Y44" s="341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9"/>
      <c r="Q45" s="1147">
        <f t="shared" si="11"/>
        <v>111</v>
      </c>
      <c r="R45" s="1555" t="s">
        <v>8</v>
      </c>
      <c r="S45" s="1556">
        <f t="shared" si="12"/>
        <v>100</v>
      </c>
      <c r="T45" s="1555" t="s">
        <v>8</v>
      </c>
      <c r="U45" s="1556">
        <f t="shared" si="13"/>
        <v>100</v>
      </c>
      <c r="V45" s="1555" t="s">
        <v>8</v>
      </c>
      <c r="W45" s="1556">
        <f t="shared" si="14"/>
        <v>100</v>
      </c>
      <c r="X45" s="1557"/>
      <c r="Y45" s="341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9"/>
      <c r="Q46" s="1559">
        <f t="shared" si="11"/>
        <v>111</v>
      </c>
      <c r="R46" s="1560" t="s">
        <v>8</v>
      </c>
      <c r="S46" s="1561">
        <f t="shared" si="12"/>
        <v>100</v>
      </c>
      <c r="T46" s="1560" t="s">
        <v>8</v>
      </c>
      <c r="U46" s="1561">
        <f t="shared" si="13"/>
        <v>100</v>
      </c>
      <c r="V46" s="1560" t="s">
        <v>8</v>
      </c>
      <c r="W46" s="1561">
        <f t="shared" si="14"/>
        <v>100</v>
      </c>
      <c r="X46" s="1554"/>
      <c r="Y46" s="341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9"/>
      <c r="Q47" s="1559">
        <f t="shared" si="11"/>
        <v>111</v>
      </c>
      <c r="R47" s="1560" t="s">
        <v>8</v>
      </c>
      <c r="S47" s="1561">
        <f t="shared" si="12"/>
        <v>100</v>
      </c>
      <c r="T47" s="1560" t="s">
        <v>8</v>
      </c>
      <c r="U47" s="1561">
        <f t="shared" si="13"/>
        <v>100</v>
      </c>
      <c r="V47" s="1560" t="s">
        <v>8</v>
      </c>
      <c r="W47" s="1561">
        <f t="shared" si="14"/>
        <v>100</v>
      </c>
      <c r="X47" s="1554"/>
      <c r="Y47" s="3519"/>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36" t="str">
        <f>A48</f>
        <v>成交单价（元/平方米）</v>
      </c>
      <c r="Q48" s="3414"/>
      <c r="R48" s="3518">
        <f>E48</f>
        <v>0</v>
      </c>
      <c r="S48" s="3518"/>
      <c r="T48" s="3518">
        <f>G48</f>
        <v>0</v>
      </c>
      <c r="U48" s="3518"/>
      <c r="V48" s="3518">
        <f>I48</f>
        <v>0</v>
      </c>
      <c r="W48" s="3518"/>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36" t="str">
        <f>A49</f>
        <v>比较价格（元/平方米）</v>
      </c>
      <c r="Q49" s="3414"/>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23" t="str">
        <f>A50</f>
        <v>估价对象XX用房的比较价格（楼面单价，元/平方米）</v>
      </c>
      <c r="Q50" s="3436"/>
      <c r="R50" s="3517" t="e">
        <f>IF(F1="售价",ROUND(AVERAGE(R49:V49),0),ROUND(AVERAGE(R49:V49),1))</f>
        <v>#DIV/0!</v>
      </c>
      <c r="S50" s="3517"/>
      <c r="T50" s="3517"/>
      <c r="U50" s="3517"/>
      <c r="V50" s="3517"/>
      <c r="W50" s="351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2021-8</v>
      </c>
      <c r="D59" s="2760">
        <f>EDATE(C59,-1)</f>
        <v>44378</v>
      </c>
      <c r="E59" s="2760">
        <f t="shared" ref="E59:O59" si="16">EDATE(D59,-1)</f>
        <v>44348</v>
      </c>
      <c r="F59" s="2760">
        <f t="shared" si="16"/>
        <v>44317</v>
      </c>
      <c r="G59" s="2760">
        <f t="shared" si="16"/>
        <v>44287</v>
      </c>
      <c r="H59" s="2760">
        <f t="shared" si="16"/>
        <v>44256</v>
      </c>
      <c r="I59" s="2760">
        <f t="shared" si="16"/>
        <v>44228</v>
      </c>
      <c r="J59" s="2760">
        <f t="shared" si="16"/>
        <v>44197</v>
      </c>
      <c r="K59" s="2760">
        <f t="shared" si="16"/>
        <v>44166</v>
      </c>
      <c r="L59" s="2760">
        <f t="shared" si="16"/>
        <v>44136</v>
      </c>
      <c r="M59" s="2760">
        <f t="shared" si="16"/>
        <v>44105</v>
      </c>
      <c r="N59" s="2760">
        <f t="shared" si="16"/>
        <v>44075</v>
      </c>
      <c r="O59" s="2760">
        <f t="shared" si="16"/>
        <v>44044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20" t="s">
        <v>522</v>
      </c>
      <c r="D4" s="3421"/>
      <c r="E4" s="3444" t="s">
        <v>523</v>
      </c>
      <c r="F4" s="3445"/>
      <c r="G4" s="3420" t="s">
        <v>524</v>
      </c>
      <c r="H4" s="3421"/>
      <c r="I4" s="3420" t="s">
        <v>525</v>
      </c>
      <c r="J4" s="3421"/>
      <c r="K4" s="514" t="s">
        <v>526</v>
      </c>
      <c r="L4" s="2119"/>
      <c r="M4" s="2120"/>
      <c r="N4" s="2120"/>
      <c r="O4" s="2120"/>
      <c r="P4" s="3422" t="s">
        <v>527</v>
      </c>
      <c r="Q4" s="3423"/>
      <c r="R4" s="3408" t="s">
        <v>523</v>
      </c>
      <c r="S4" s="3409"/>
      <c r="T4" s="3408" t="s">
        <v>524</v>
      </c>
      <c r="U4" s="3409"/>
      <c r="V4" s="3428" t="s">
        <v>525</v>
      </c>
      <c r="W4" s="3428"/>
      <c r="X4" s="1554"/>
      <c r="Y4" s="3408" t="s">
        <v>527</v>
      </c>
      <c r="Z4" s="3409"/>
      <c r="AA4" s="3403" t="s">
        <v>523</v>
      </c>
      <c r="AB4" s="3404" t="s">
        <v>524</v>
      </c>
      <c r="AC4" s="3403" t="s">
        <v>525</v>
      </c>
    </row>
    <row r="5" spans="1:29" ht="15">
      <c r="A5" s="515"/>
      <c r="B5" s="516"/>
      <c r="C5" s="3431" t="s">
        <v>2931</v>
      </c>
      <c r="D5" s="3432"/>
      <c r="E5" s="3446" t="s">
        <v>2932</v>
      </c>
      <c r="F5" s="3447"/>
      <c r="G5" s="3431" t="s">
        <v>2933</v>
      </c>
      <c r="H5" s="3432"/>
      <c r="I5" s="3431" t="s">
        <v>2934</v>
      </c>
      <c r="J5" s="3432"/>
      <c r="K5" s="514"/>
      <c r="L5" s="2119"/>
      <c r="M5" s="2120"/>
      <c r="N5" s="2120"/>
      <c r="O5" s="2120"/>
      <c r="P5" s="3424"/>
      <c r="Q5" s="3425"/>
      <c r="R5" s="3410"/>
      <c r="S5" s="3411"/>
      <c r="T5" s="3410"/>
      <c r="U5" s="3411"/>
      <c r="V5" s="3428"/>
      <c r="W5" s="3428"/>
      <c r="X5" s="1554"/>
      <c r="Y5" s="3410"/>
      <c r="Z5" s="3411"/>
      <c r="AA5" s="3404"/>
      <c r="AB5" s="3404"/>
      <c r="AC5" s="3404"/>
    </row>
    <row r="6" spans="1:29" ht="15.75" thickBot="1">
      <c r="A6" s="517"/>
      <c r="B6" s="518"/>
      <c r="C6" s="3429" t="s">
        <v>2935</v>
      </c>
      <c r="D6" s="3430"/>
      <c r="E6" s="3448" t="s">
        <v>2935</v>
      </c>
      <c r="F6" s="3449"/>
      <c r="G6" s="3429" t="s">
        <v>2935</v>
      </c>
      <c r="H6" s="3430"/>
      <c r="I6" s="3429" t="s">
        <v>2935</v>
      </c>
      <c r="J6" s="3430"/>
      <c r="K6" s="514" t="s">
        <v>528</v>
      </c>
      <c r="L6" s="2119"/>
      <c r="M6" s="2120"/>
      <c r="N6" s="2120"/>
      <c r="O6" s="2120"/>
      <c r="P6" s="3426"/>
      <c r="Q6" s="3427"/>
      <c r="R6" s="3410"/>
      <c r="S6" s="3411"/>
      <c r="T6" s="3412"/>
      <c r="U6" s="3413"/>
      <c r="V6" s="3428"/>
      <c r="W6" s="3428"/>
      <c r="X6" s="1554"/>
      <c r="Y6" s="3412"/>
      <c r="Z6" s="3413"/>
      <c r="AA6" s="3405"/>
      <c r="AB6" s="3405"/>
      <c r="AC6" s="3405"/>
    </row>
    <row r="7" spans="1:29" s="1216" customFormat="1" ht="15.75" thickBot="1">
      <c r="A7" s="2868"/>
      <c r="B7" s="2875" t="s">
        <v>529</v>
      </c>
      <c r="C7" s="519">
        <f>'数据-取费表'!B2</f>
        <v>44435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6" t="s">
        <v>530</v>
      </c>
      <c r="Q7" s="3415"/>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6" t="s">
        <v>533</v>
      </c>
      <c r="Q8" s="3407"/>
      <c r="R8" s="1555" t="s">
        <v>8</v>
      </c>
      <c r="S8" s="1556">
        <f t="shared" si="0"/>
        <v>0</v>
      </c>
      <c r="T8" s="1555" t="s">
        <v>8</v>
      </c>
      <c r="U8" s="1556">
        <f t="shared" si="1"/>
        <v>0</v>
      </c>
      <c r="V8" s="1555" t="s">
        <v>8</v>
      </c>
      <c r="W8" s="1556">
        <f t="shared" si="2"/>
        <v>0</v>
      </c>
      <c r="X8" s="1557"/>
      <c r="Y8" s="3406" t="s">
        <v>533</v>
      </c>
      <c r="Z8" s="3407"/>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14" t="s">
        <v>535</v>
      </c>
      <c r="Q9" s="1147" t="str">
        <f t="shared" ref="Q9:Q15" si="6">B9</f>
        <v>用途</v>
      </c>
      <c r="R9" s="1555" t="s">
        <v>8</v>
      </c>
      <c r="S9" s="1556">
        <f t="shared" si="0"/>
        <v>100</v>
      </c>
      <c r="T9" s="1555" t="s">
        <v>8</v>
      </c>
      <c r="U9" s="1556">
        <f t="shared" si="1"/>
        <v>100</v>
      </c>
      <c r="V9" s="1555" t="s">
        <v>8</v>
      </c>
      <c r="W9" s="1556">
        <f t="shared" si="2"/>
        <v>100</v>
      </c>
      <c r="X9" s="1557"/>
      <c r="Y9" s="337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14"/>
      <c r="Q11" s="1147" t="str">
        <f t="shared" si="6"/>
        <v>容积率</v>
      </c>
      <c r="R11" s="1555" t="s">
        <v>8</v>
      </c>
      <c r="S11" s="1556" t="e">
        <f t="shared" si="0"/>
        <v>#N/A</v>
      </c>
      <c r="T11" s="1555" t="s">
        <v>8</v>
      </c>
      <c r="U11" s="1556" t="e">
        <f t="shared" si="1"/>
        <v>#N/A</v>
      </c>
      <c r="V11" s="1555" t="s">
        <v>8</v>
      </c>
      <c r="W11" s="1556" t="e">
        <f t="shared" si="2"/>
        <v>#N/A</v>
      </c>
      <c r="X11" s="1557"/>
      <c r="Y11" s="337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14"/>
      <c r="Q12" s="1147">
        <f t="shared" si="6"/>
        <v>111</v>
      </c>
      <c r="R12" s="1555" t="s">
        <v>8</v>
      </c>
      <c r="S12" s="1556">
        <f t="shared" si="0"/>
        <v>100</v>
      </c>
      <c r="T12" s="1555" t="s">
        <v>8</v>
      </c>
      <c r="U12" s="1556">
        <f t="shared" si="1"/>
        <v>100</v>
      </c>
      <c r="V12" s="1555" t="s">
        <v>8</v>
      </c>
      <c r="W12" s="1556">
        <f t="shared" si="2"/>
        <v>100</v>
      </c>
      <c r="X12" s="1557"/>
      <c r="Y12" s="337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14"/>
      <c r="Q13" s="1147">
        <f t="shared" si="6"/>
        <v>111</v>
      </c>
      <c r="R13" s="1555" t="s">
        <v>8</v>
      </c>
      <c r="S13" s="1556">
        <f t="shared" si="0"/>
        <v>100</v>
      </c>
      <c r="T13" s="1555" t="s">
        <v>8</v>
      </c>
      <c r="U13" s="1556">
        <f t="shared" si="1"/>
        <v>100</v>
      </c>
      <c r="V13" s="1555" t="s">
        <v>8</v>
      </c>
      <c r="W13" s="1556">
        <f t="shared" si="2"/>
        <v>100</v>
      </c>
      <c r="X13" s="1557"/>
      <c r="Y13" s="337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14"/>
      <c r="Q14" s="1147">
        <f t="shared" si="6"/>
        <v>111</v>
      </c>
      <c r="R14" s="1555" t="s">
        <v>8</v>
      </c>
      <c r="S14" s="1556">
        <f t="shared" si="0"/>
        <v>100</v>
      </c>
      <c r="T14" s="1555" t="s">
        <v>8</v>
      </c>
      <c r="U14" s="1556">
        <f t="shared" si="1"/>
        <v>100</v>
      </c>
      <c r="V14" s="1555" t="s">
        <v>8</v>
      </c>
      <c r="W14" s="1556">
        <f t="shared" si="2"/>
        <v>100</v>
      </c>
      <c r="X14" s="1557"/>
      <c r="Y14" s="3371"/>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6" t="s">
        <v>540</v>
      </c>
      <c r="Q15" s="1559" t="str">
        <f t="shared" si="6"/>
        <v>产业集聚程度</v>
      </c>
      <c r="R15" s="1560" t="s">
        <v>8</v>
      </c>
      <c r="S15" s="1561">
        <f t="shared" si="0"/>
        <v>100</v>
      </c>
      <c r="T15" s="1560" t="s">
        <v>8</v>
      </c>
      <c r="U15" s="1561">
        <f t="shared" si="1"/>
        <v>100</v>
      </c>
      <c r="V15" s="1560" t="s">
        <v>8</v>
      </c>
      <c r="W15" s="1561">
        <f t="shared" si="2"/>
        <v>100</v>
      </c>
      <c r="X15" s="1554"/>
      <c r="Y15" s="341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7"/>
      <c r="Q16" s="1559"/>
      <c r="R16" s="1560"/>
      <c r="S16" s="1561"/>
      <c r="T16" s="1560"/>
      <c r="U16" s="1561"/>
      <c r="V16" s="1560"/>
      <c r="W16" s="1561"/>
      <c r="X16" s="1554"/>
      <c r="Y16" s="341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7"/>
      <c r="Q17" s="1559" t="str">
        <f>B17</f>
        <v>交通便捷度</v>
      </c>
      <c r="R17" s="1560" t="s">
        <v>8</v>
      </c>
      <c r="S17" s="1561">
        <f>F17</f>
        <v>100</v>
      </c>
      <c r="T17" s="1560" t="s">
        <v>8</v>
      </c>
      <c r="U17" s="1561">
        <f>H17</f>
        <v>100</v>
      </c>
      <c r="V17" s="1560" t="s">
        <v>8</v>
      </c>
      <c r="W17" s="1561">
        <f>J17</f>
        <v>100</v>
      </c>
      <c r="X17" s="1554"/>
      <c r="Y17" s="341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7"/>
      <c r="Q18" s="1559"/>
      <c r="R18" s="1560"/>
      <c r="S18" s="1561"/>
      <c r="T18" s="1560"/>
      <c r="U18" s="1561"/>
      <c r="V18" s="1560"/>
      <c r="W18" s="1561"/>
      <c r="X18" s="1554"/>
      <c r="Y18" s="3417"/>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7"/>
      <c r="Q19" s="1559" t="str">
        <f>B19</f>
        <v>公共配套设施</v>
      </c>
      <c r="R19" s="1560" t="s">
        <v>8</v>
      </c>
      <c r="S19" s="1561">
        <f>F19</f>
        <v>100</v>
      </c>
      <c r="T19" s="1560" t="s">
        <v>8</v>
      </c>
      <c r="U19" s="1561">
        <f>H19</f>
        <v>100</v>
      </c>
      <c r="V19" s="1560" t="s">
        <v>8</v>
      </c>
      <c r="W19" s="1561">
        <f>J19</f>
        <v>100</v>
      </c>
      <c r="X19" s="1554"/>
      <c r="Y19" s="341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7"/>
      <c r="Q20" s="1559"/>
      <c r="R20" s="1560"/>
      <c r="S20" s="1561"/>
      <c r="T20" s="1560"/>
      <c r="U20" s="1561"/>
      <c r="V20" s="1560"/>
      <c r="W20" s="1561"/>
      <c r="X20" s="1554"/>
      <c r="Y20" s="3417"/>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7"/>
      <c r="Q21" s="2544" t="str">
        <f>B21</f>
        <v>基础设施水平</v>
      </c>
      <c r="R21" s="1560" t="s">
        <v>8</v>
      </c>
      <c r="S21" s="1561">
        <f>F21</f>
        <v>100</v>
      </c>
      <c r="T21" s="1560" t="s">
        <v>8</v>
      </c>
      <c r="U21" s="1561">
        <f>H21</f>
        <v>100</v>
      </c>
      <c r="V21" s="1560" t="s">
        <v>8</v>
      </c>
      <c r="W21" s="1561">
        <f>J21</f>
        <v>100</v>
      </c>
      <c r="X21" s="2546"/>
      <c r="Y21" s="3417"/>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7"/>
      <c r="Q22" s="2544"/>
      <c r="R22" s="1560"/>
      <c r="S22" s="1561"/>
      <c r="T22" s="1560"/>
      <c r="U22" s="1561"/>
      <c r="V22" s="1560"/>
      <c r="W22" s="1561"/>
      <c r="X22" s="2546"/>
      <c r="Y22" s="3417"/>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7"/>
      <c r="Q23" s="1559" t="str">
        <f>B23</f>
        <v>环境质量</v>
      </c>
      <c r="R23" s="1560" t="s">
        <v>8</v>
      </c>
      <c r="S23" s="1561">
        <f>F23</f>
        <v>100</v>
      </c>
      <c r="T23" s="1560" t="s">
        <v>8</v>
      </c>
      <c r="U23" s="1561">
        <f>H23</f>
        <v>100</v>
      </c>
      <c r="V23" s="1560" t="s">
        <v>8</v>
      </c>
      <c r="W23" s="1561">
        <f>J23</f>
        <v>100</v>
      </c>
      <c r="X23" s="1554"/>
      <c r="Y23" s="341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7"/>
      <c r="Q24" s="1559"/>
      <c r="R24" s="1560"/>
      <c r="S24" s="1561"/>
      <c r="T24" s="1560"/>
      <c r="U24" s="1561"/>
      <c r="V24" s="1560"/>
      <c r="W24" s="1561"/>
      <c r="X24" s="1554"/>
      <c r="Y24" s="341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7"/>
      <c r="Q25" s="1559">
        <f>B25</f>
        <v>111</v>
      </c>
      <c r="R25" s="1560" t="s">
        <v>8</v>
      </c>
      <c r="S25" s="1561">
        <f>F25</f>
        <v>100</v>
      </c>
      <c r="T25" s="1560" t="s">
        <v>8</v>
      </c>
      <c r="U25" s="1561">
        <f>H25</f>
        <v>100</v>
      </c>
      <c r="V25" s="1560" t="s">
        <v>8</v>
      </c>
      <c r="W25" s="1561">
        <f>J25</f>
        <v>100</v>
      </c>
      <c r="X25" s="1554"/>
      <c r="Y25" s="341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7"/>
      <c r="Q26" s="1559">
        <f t="shared" ref="Q26:Q40" si="11">B26</f>
        <v>111</v>
      </c>
      <c r="R26" s="1560" t="s">
        <v>8</v>
      </c>
      <c r="S26" s="1561">
        <f>F26</f>
        <v>100</v>
      </c>
      <c r="T26" s="1560" t="s">
        <v>8</v>
      </c>
      <c r="U26" s="1561">
        <f>H26</f>
        <v>100</v>
      </c>
      <c r="V26" s="1560" t="s">
        <v>8</v>
      </c>
      <c r="W26" s="1561">
        <f>J26</f>
        <v>100</v>
      </c>
      <c r="X26" s="1554"/>
      <c r="Y26" s="341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7"/>
      <c r="Q27" s="1147">
        <f t="shared" si="11"/>
        <v>111</v>
      </c>
      <c r="R27" s="1555" t="s">
        <v>8</v>
      </c>
      <c r="S27" s="1556">
        <f>F27</f>
        <v>100</v>
      </c>
      <c r="T27" s="1555" t="s">
        <v>8</v>
      </c>
      <c r="U27" s="1556">
        <f>H27</f>
        <v>100</v>
      </c>
      <c r="V27" s="1555" t="s">
        <v>8</v>
      </c>
      <c r="W27" s="1556">
        <f>J27</f>
        <v>100</v>
      </c>
      <c r="X27" s="1557"/>
      <c r="Y27" s="341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7"/>
      <c r="Q28" s="1559">
        <f t="shared" si="11"/>
        <v>111</v>
      </c>
      <c r="R28" s="1560" t="s">
        <v>8</v>
      </c>
      <c r="S28" s="1561">
        <f t="shared" ref="S28:S40" si="12">F28</f>
        <v>100</v>
      </c>
      <c r="T28" s="1560" t="s">
        <v>8</v>
      </c>
      <c r="U28" s="1561">
        <f t="shared" ref="U28:U40" si="13">H28</f>
        <v>100</v>
      </c>
      <c r="V28" s="1560" t="s">
        <v>8</v>
      </c>
      <c r="W28" s="1561">
        <f t="shared" ref="W28:W40" si="14">J28</f>
        <v>100</v>
      </c>
      <c r="X28" s="1554"/>
      <c r="Y28" s="3417"/>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8" t="s">
        <v>550</v>
      </c>
      <c r="Q29" s="1559" t="str">
        <f t="shared" si="11"/>
        <v>建筑类型</v>
      </c>
      <c r="R29" s="1560" t="s">
        <v>8</v>
      </c>
      <c r="S29" s="1561">
        <f t="shared" si="12"/>
        <v>100</v>
      </c>
      <c r="T29" s="1560" t="s">
        <v>8</v>
      </c>
      <c r="U29" s="1561">
        <f t="shared" si="13"/>
        <v>100</v>
      </c>
      <c r="V29" s="1560" t="s">
        <v>8</v>
      </c>
      <c r="W29" s="1561">
        <f t="shared" si="14"/>
        <v>100</v>
      </c>
      <c r="X29" s="1554"/>
      <c r="Y29" s="341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9"/>
      <c r="Q30" s="1591" t="str">
        <f t="shared" si="11"/>
        <v>项目建筑规模</v>
      </c>
      <c r="R30" s="1564" t="s">
        <v>8</v>
      </c>
      <c r="S30" s="1565" t="e">
        <f t="shared" si="12"/>
        <v>#N/A</v>
      </c>
      <c r="T30" s="1564" t="s">
        <v>8</v>
      </c>
      <c r="U30" s="1565" t="e">
        <f t="shared" si="13"/>
        <v>#N/A</v>
      </c>
      <c r="V30" s="1564" t="s">
        <v>8</v>
      </c>
      <c r="W30" s="1565" t="e">
        <f t="shared" si="14"/>
        <v>#N/A</v>
      </c>
      <c r="X30" s="1566"/>
      <c r="Y30" s="341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9"/>
      <c r="Q31" s="1559" t="str">
        <f t="shared" si="11"/>
        <v>建筑结构</v>
      </c>
      <c r="R31" s="1560" t="s">
        <v>8</v>
      </c>
      <c r="S31" s="1561">
        <f t="shared" si="12"/>
        <v>100</v>
      </c>
      <c r="T31" s="1560" t="s">
        <v>8</v>
      </c>
      <c r="U31" s="1561">
        <f t="shared" si="13"/>
        <v>100</v>
      </c>
      <c r="V31" s="1560" t="s">
        <v>8</v>
      </c>
      <c r="W31" s="1561">
        <f t="shared" si="14"/>
        <v>100</v>
      </c>
      <c r="X31" s="1554"/>
      <c r="Y31" s="341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9"/>
      <c r="Q32" s="1559" t="str">
        <f t="shared" si="11"/>
        <v>公共部分装修</v>
      </c>
      <c r="R32" s="1560" t="s">
        <v>8</v>
      </c>
      <c r="S32" s="1561">
        <f t="shared" si="12"/>
        <v>100</v>
      </c>
      <c r="T32" s="1560" t="s">
        <v>8</v>
      </c>
      <c r="U32" s="1561">
        <f t="shared" si="13"/>
        <v>100</v>
      </c>
      <c r="V32" s="1560" t="s">
        <v>8</v>
      </c>
      <c r="W32" s="1561">
        <f t="shared" si="14"/>
        <v>100</v>
      </c>
      <c r="X32" s="1554"/>
      <c r="Y32" s="341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9"/>
      <c r="Q33" s="1559" t="str">
        <f t="shared" si="11"/>
        <v>成新度</v>
      </c>
      <c r="R33" s="1560" t="s">
        <v>8</v>
      </c>
      <c r="S33" s="1561" t="e">
        <f t="shared" si="12"/>
        <v>#N/A</v>
      </c>
      <c r="T33" s="1560" t="s">
        <v>8</v>
      </c>
      <c r="U33" s="1561" t="e">
        <f t="shared" si="13"/>
        <v>#N/A</v>
      </c>
      <c r="V33" s="1560" t="s">
        <v>8</v>
      </c>
      <c r="W33" s="1561" t="e">
        <f t="shared" si="14"/>
        <v>#N/A</v>
      </c>
      <c r="X33" s="1554"/>
      <c r="Y33" s="341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9"/>
      <c r="Q34" s="1147" t="str">
        <f t="shared" si="11"/>
        <v>物业管理</v>
      </c>
      <c r="R34" s="1555" t="s">
        <v>8</v>
      </c>
      <c r="S34" s="1556">
        <f t="shared" si="12"/>
        <v>100</v>
      </c>
      <c r="T34" s="1555" t="s">
        <v>8</v>
      </c>
      <c r="U34" s="1556">
        <f t="shared" si="13"/>
        <v>100</v>
      </c>
      <c r="V34" s="1555" t="s">
        <v>8</v>
      </c>
      <c r="W34" s="1556">
        <f t="shared" si="14"/>
        <v>100</v>
      </c>
      <c r="X34" s="1557"/>
      <c r="Y34" s="3419"/>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9" t="s">
        <v>550</v>
      </c>
      <c r="Q35" s="1559" t="str">
        <f t="shared" si="11"/>
        <v>市政基础设施</v>
      </c>
      <c r="R35" s="1560" t="s">
        <v>8</v>
      </c>
      <c r="S35" s="1561">
        <f t="shared" si="12"/>
        <v>100</v>
      </c>
      <c r="T35" s="1560" t="s">
        <v>8</v>
      </c>
      <c r="U35" s="1561">
        <f t="shared" si="13"/>
        <v>100</v>
      </c>
      <c r="V35" s="1560" t="s">
        <v>8</v>
      </c>
      <c r="W35" s="1561">
        <f t="shared" si="14"/>
        <v>100</v>
      </c>
      <c r="X35" s="1554"/>
      <c r="Y35" s="341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9"/>
      <c r="Q36" s="1559" t="str">
        <f t="shared" si="11"/>
        <v>内部装修</v>
      </c>
      <c r="R36" s="1560" t="s">
        <v>8</v>
      </c>
      <c r="S36" s="1561">
        <f t="shared" si="12"/>
        <v>100</v>
      </c>
      <c r="T36" s="1560" t="s">
        <v>8</v>
      </c>
      <c r="U36" s="1561">
        <f t="shared" si="13"/>
        <v>100</v>
      </c>
      <c r="V36" s="1560" t="s">
        <v>8</v>
      </c>
      <c r="W36" s="1561">
        <f t="shared" si="14"/>
        <v>100</v>
      </c>
      <c r="X36" s="1554"/>
      <c r="Y36" s="341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9"/>
      <c r="Q37" s="1559" t="str">
        <f t="shared" si="11"/>
        <v>内部装修状况</v>
      </c>
      <c r="R37" s="1560" t="s">
        <v>8</v>
      </c>
      <c r="S37" s="1561">
        <f t="shared" si="12"/>
        <v>100</v>
      </c>
      <c r="T37" s="1560" t="s">
        <v>8</v>
      </c>
      <c r="U37" s="1561">
        <f t="shared" si="13"/>
        <v>100</v>
      </c>
      <c r="V37" s="1560" t="s">
        <v>8</v>
      </c>
      <c r="W37" s="1561">
        <f t="shared" si="14"/>
        <v>100</v>
      </c>
      <c r="X37" s="1554"/>
      <c r="Y37" s="341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9"/>
      <c r="Q38" s="1591">
        <f t="shared" si="11"/>
        <v>111</v>
      </c>
      <c r="R38" s="1564" t="s">
        <v>8</v>
      </c>
      <c r="S38" s="1565">
        <f t="shared" si="12"/>
        <v>100</v>
      </c>
      <c r="T38" s="1564" t="s">
        <v>8</v>
      </c>
      <c r="U38" s="1565">
        <f t="shared" si="13"/>
        <v>100</v>
      </c>
      <c r="V38" s="1564" t="s">
        <v>8</v>
      </c>
      <c r="W38" s="1565">
        <f t="shared" si="14"/>
        <v>100</v>
      </c>
      <c r="X38" s="1566"/>
      <c r="Y38" s="341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9"/>
      <c r="Q39" s="1559">
        <f t="shared" si="11"/>
        <v>111</v>
      </c>
      <c r="R39" s="1560" t="s">
        <v>8</v>
      </c>
      <c r="S39" s="1561">
        <f t="shared" si="12"/>
        <v>100</v>
      </c>
      <c r="T39" s="1560" t="s">
        <v>8</v>
      </c>
      <c r="U39" s="1561">
        <f t="shared" si="13"/>
        <v>100</v>
      </c>
      <c r="V39" s="1560" t="s">
        <v>8</v>
      </c>
      <c r="W39" s="1561">
        <f t="shared" si="14"/>
        <v>100</v>
      </c>
      <c r="X39" s="1554"/>
      <c r="Y39" s="341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9"/>
      <c r="Q40" s="1559">
        <f t="shared" si="11"/>
        <v>111</v>
      </c>
      <c r="R40" s="1560" t="s">
        <v>8</v>
      </c>
      <c r="S40" s="1561">
        <f t="shared" si="12"/>
        <v>100</v>
      </c>
      <c r="T40" s="1560" t="s">
        <v>8</v>
      </c>
      <c r="U40" s="1561">
        <f t="shared" si="13"/>
        <v>100</v>
      </c>
      <c r="V40" s="1560" t="s">
        <v>8</v>
      </c>
      <c r="W40" s="1561">
        <f t="shared" si="14"/>
        <v>100</v>
      </c>
      <c r="X40" s="1554"/>
      <c r="Y40" s="351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14" t="str">
        <f>A41</f>
        <v>成交单价（元/平方米）</v>
      </c>
      <c r="Q41" s="3414"/>
      <c r="R41" s="3518">
        <f>E41</f>
        <v>0</v>
      </c>
      <c r="S41" s="3518"/>
      <c r="T41" s="3518">
        <f>G41</f>
        <v>0</v>
      </c>
      <c r="U41" s="3518"/>
      <c r="V41" s="3518">
        <f>I41</f>
        <v>0</v>
      </c>
      <c r="W41" s="3518"/>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14" t="str">
        <f>A42</f>
        <v>比较价格（元/平方米）</v>
      </c>
      <c r="Q42" s="3414"/>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435" t="str">
        <f>A43</f>
        <v>估价对象XX用房的比较价格（楼面单价，元/平方米）</v>
      </c>
      <c r="Q43" s="3436"/>
      <c r="R43" s="3517" t="e">
        <f>IF(F1="售价",ROUND(AVERAGE(R42:V42),0),ROUND(AVERAGE(R42:V42),1))</f>
        <v>#DIV/0!</v>
      </c>
      <c r="S43" s="3517"/>
      <c r="T43" s="3517"/>
      <c r="U43" s="3517"/>
      <c r="V43" s="3517"/>
      <c r="W43" s="351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2021-8</v>
      </c>
      <c r="D52" s="2760">
        <f>EDATE(C52,-1)</f>
        <v>44378</v>
      </c>
      <c r="E52" s="2760">
        <f t="shared" ref="E52:O52" si="16">EDATE(D52,-1)</f>
        <v>44348</v>
      </c>
      <c r="F52" s="2760">
        <f t="shared" si="16"/>
        <v>44317</v>
      </c>
      <c r="G52" s="2760">
        <f t="shared" si="16"/>
        <v>44287</v>
      </c>
      <c r="H52" s="2760">
        <f t="shared" si="16"/>
        <v>44256</v>
      </c>
      <c r="I52" s="2760">
        <f t="shared" si="16"/>
        <v>44228</v>
      </c>
      <c r="J52" s="2760">
        <f t="shared" si="16"/>
        <v>44197</v>
      </c>
      <c r="K52" s="2760">
        <f t="shared" si="16"/>
        <v>44166</v>
      </c>
      <c r="L52" s="2760">
        <f t="shared" si="16"/>
        <v>44136</v>
      </c>
      <c r="M52" s="2760">
        <f t="shared" si="16"/>
        <v>44105</v>
      </c>
      <c r="N52" s="2760">
        <f t="shared" si="16"/>
        <v>44075</v>
      </c>
      <c r="O52" s="2760">
        <f t="shared" si="16"/>
        <v>44044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0" t="s">
        <v>798</v>
      </c>
      <c r="D4" s="3421"/>
      <c r="E4" s="3420" t="s">
        <v>799</v>
      </c>
      <c r="F4" s="3421"/>
      <c r="G4" s="3420" t="s">
        <v>800</v>
      </c>
      <c r="H4" s="3421"/>
      <c r="I4" s="3420" t="s">
        <v>801</v>
      </c>
      <c r="J4" s="3421"/>
      <c r="K4" s="514" t="s">
        <v>802</v>
      </c>
      <c r="L4" s="2119"/>
      <c r="M4" s="2120"/>
      <c r="N4" s="2120"/>
      <c r="O4" s="2120"/>
      <c r="P4" s="3422" t="s">
        <v>803</v>
      </c>
      <c r="Q4" s="3423"/>
      <c r="R4" s="3408" t="s">
        <v>799</v>
      </c>
      <c r="S4" s="3409"/>
      <c r="T4" s="3408" t="s">
        <v>800</v>
      </c>
      <c r="U4" s="3409"/>
      <c r="V4" s="3428" t="s">
        <v>801</v>
      </c>
      <c r="W4" s="3428"/>
      <c r="X4" s="1554"/>
      <c r="Y4" s="3408" t="s">
        <v>803</v>
      </c>
      <c r="Z4" s="3409"/>
      <c r="AA4" s="3403" t="s">
        <v>799</v>
      </c>
      <c r="AB4" s="3404" t="s">
        <v>800</v>
      </c>
      <c r="AC4" s="3403" t="s">
        <v>801</v>
      </c>
    </row>
    <row r="5" spans="1:29" ht="15">
      <c r="A5" s="515"/>
      <c r="B5" s="516"/>
      <c r="C5" s="3431" t="s">
        <v>2931</v>
      </c>
      <c r="D5" s="3432"/>
      <c r="E5" s="3431" t="s">
        <v>2932</v>
      </c>
      <c r="F5" s="3432"/>
      <c r="G5" s="3431" t="s">
        <v>2933</v>
      </c>
      <c r="H5" s="3432"/>
      <c r="I5" s="3431" t="s">
        <v>2934</v>
      </c>
      <c r="J5" s="3432"/>
      <c r="K5" s="514"/>
      <c r="L5" s="2119"/>
      <c r="M5" s="2120"/>
      <c r="N5" s="2120"/>
      <c r="O5" s="2120"/>
      <c r="P5" s="3424"/>
      <c r="Q5" s="3425"/>
      <c r="R5" s="3410"/>
      <c r="S5" s="3411"/>
      <c r="T5" s="3410"/>
      <c r="U5" s="3411"/>
      <c r="V5" s="3428"/>
      <c r="W5" s="3428"/>
      <c r="X5" s="1554"/>
      <c r="Y5" s="3410"/>
      <c r="Z5" s="3411"/>
      <c r="AA5" s="3404"/>
      <c r="AB5" s="3404"/>
      <c r="AC5" s="3404"/>
    </row>
    <row r="6" spans="1:29" ht="15.75" thickBot="1">
      <c r="A6" s="517"/>
      <c r="B6" s="518"/>
      <c r="C6" s="3429" t="s">
        <v>2935</v>
      </c>
      <c r="D6" s="3430"/>
      <c r="E6" s="3433" t="s">
        <v>2935</v>
      </c>
      <c r="F6" s="3434"/>
      <c r="G6" s="3429" t="s">
        <v>2935</v>
      </c>
      <c r="H6" s="3430"/>
      <c r="I6" s="3429" t="s">
        <v>2935</v>
      </c>
      <c r="J6" s="3430"/>
      <c r="K6" s="514" t="s">
        <v>528</v>
      </c>
      <c r="L6" s="2119"/>
      <c r="M6" s="2120"/>
      <c r="N6" s="2120"/>
      <c r="O6" s="2120"/>
      <c r="P6" s="3426"/>
      <c r="Q6" s="3427"/>
      <c r="R6" s="3410"/>
      <c r="S6" s="3411"/>
      <c r="T6" s="3412"/>
      <c r="U6" s="3413"/>
      <c r="V6" s="3428"/>
      <c r="W6" s="3428"/>
      <c r="X6" s="1554"/>
      <c r="Y6" s="3412"/>
      <c r="Z6" s="3413"/>
      <c r="AA6" s="3405"/>
      <c r="AB6" s="3405"/>
      <c r="AC6" s="3405"/>
    </row>
    <row r="7" spans="1:29" s="1216" customFormat="1" ht="15.75" thickBot="1">
      <c r="A7" s="2868"/>
      <c r="B7" s="2875" t="s">
        <v>529</v>
      </c>
      <c r="C7" s="519">
        <f>'数据-取费表'!B2</f>
        <v>44435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6" t="s">
        <v>530</v>
      </c>
      <c r="Q7" s="3415"/>
      <c r="R7" s="1555" t="s">
        <v>8</v>
      </c>
      <c r="S7" s="1556">
        <f t="shared" ref="S7:S14" si="0">F7</f>
        <v>0</v>
      </c>
      <c r="T7" s="1555" t="s">
        <v>8</v>
      </c>
      <c r="U7" s="1556">
        <f t="shared" ref="U7:U14" si="1">H7</f>
        <v>0</v>
      </c>
      <c r="V7" s="1555" t="s">
        <v>8</v>
      </c>
      <c r="W7" s="1556">
        <f t="shared" ref="W7:W14"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6" t="s">
        <v>533</v>
      </c>
      <c r="Q8" s="3407"/>
      <c r="R8" s="1555" t="s">
        <v>8</v>
      </c>
      <c r="S8" s="1556">
        <f t="shared" si="0"/>
        <v>0</v>
      </c>
      <c r="T8" s="1555" t="s">
        <v>8</v>
      </c>
      <c r="U8" s="1556">
        <f t="shared" si="1"/>
        <v>0</v>
      </c>
      <c r="V8" s="1555" t="s">
        <v>8</v>
      </c>
      <c r="W8" s="1556">
        <f t="shared" si="2"/>
        <v>0</v>
      </c>
      <c r="X8" s="1557"/>
      <c r="Y8" s="3406" t="s">
        <v>533</v>
      </c>
      <c r="Z8" s="3407"/>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14" t="s">
        <v>535</v>
      </c>
      <c r="Q9" s="1147" t="str">
        <f t="shared" ref="Q9:Q14" si="6">B9</f>
        <v>用途</v>
      </c>
      <c r="R9" s="1555" t="s">
        <v>8</v>
      </c>
      <c r="S9" s="1556">
        <f t="shared" si="0"/>
        <v>100</v>
      </c>
      <c r="T9" s="1555" t="s">
        <v>8</v>
      </c>
      <c r="U9" s="1556">
        <f t="shared" si="1"/>
        <v>100</v>
      </c>
      <c r="V9" s="1555" t="s">
        <v>8</v>
      </c>
      <c r="W9" s="1556">
        <f t="shared" si="2"/>
        <v>100</v>
      </c>
      <c r="X9" s="1557"/>
      <c r="Y9" s="337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14"/>
      <c r="Q11" s="1147">
        <f t="shared" si="6"/>
        <v>111</v>
      </c>
      <c r="R11" s="1555" t="s">
        <v>8</v>
      </c>
      <c r="S11" s="1556">
        <f t="shared" si="0"/>
        <v>100</v>
      </c>
      <c r="T11" s="1555" t="s">
        <v>8</v>
      </c>
      <c r="U11" s="1556">
        <f t="shared" si="1"/>
        <v>100</v>
      </c>
      <c r="V11" s="1555" t="s">
        <v>8</v>
      </c>
      <c r="W11" s="1556">
        <f t="shared" si="2"/>
        <v>100</v>
      </c>
      <c r="X11" s="1557"/>
      <c r="Y11" s="337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14"/>
      <c r="Q12" s="1147">
        <f t="shared" si="6"/>
        <v>111</v>
      </c>
      <c r="R12" s="1555" t="s">
        <v>8</v>
      </c>
      <c r="S12" s="1556">
        <f t="shared" si="0"/>
        <v>100</v>
      </c>
      <c r="T12" s="1555" t="s">
        <v>8</v>
      </c>
      <c r="U12" s="1556">
        <f t="shared" si="1"/>
        <v>100</v>
      </c>
      <c r="V12" s="1555" t="s">
        <v>8</v>
      </c>
      <c r="W12" s="1556">
        <f t="shared" si="2"/>
        <v>100</v>
      </c>
      <c r="X12" s="1557"/>
      <c r="Y12" s="337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14"/>
      <c r="Q13" s="1147">
        <f t="shared" si="6"/>
        <v>111</v>
      </c>
      <c r="R13" s="1555" t="s">
        <v>8</v>
      </c>
      <c r="S13" s="1556">
        <f t="shared" si="0"/>
        <v>100</v>
      </c>
      <c r="T13" s="1555" t="s">
        <v>8</v>
      </c>
      <c r="U13" s="1556">
        <f t="shared" si="1"/>
        <v>100</v>
      </c>
      <c r="V13" s="1555" t="s">
        <v>8</v>
      </c>
      <c r="W13" s="1556">
        <f t="shared" si="2"/>
        <v>100</v>
      </c>
      <c r="X13" s="1557"/>
      <c r="Y13" s="3371"/>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6" t="s">
        <v>540</v>
      </c>
      <c r="Q14" s="1559" t="str">
        <f t="shared" si="6"/>
        <v>交通便捷度</v>
      </c>
      <c r="R14" s="1560" t="s">
        <v>8</v>
      </c>
      <c r="S14" s="1561">
        <f t="shared" si="0"/>
        <v>100</v>
      </c>
      <c r="T14" s="1560" t="s">
        <v>8</v>
      </c>
      <c r="U14" s="1561">
        <f t="shared" si="1"/>
        <v>100</v>
      </c>
      <c r="V14" s="1560" t="s">
        <v>8</v>
      </c>
      <c r="W14" s="1561">
        <f t="shared" si="2"/>
        <v>100</v>
      </c>
      <c r="X14" s="1554"/>
      <c r="Y14" s="341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7"/>
      <c r="Q15" s="1559"/>
      <c r="R15" s="1560"/>
      <c r="S15" s="1561"/>
      <c r="T15" s="1560"/>
      <c r="U15" s="1561"/>
      <c r="V15" s="1560"/>
      <c r="W15" s="1561"/>
      <c r="X15" s="1554"/>
      <c r="Y15" s="3417"/>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7"/>
      <c r="Q16" s="1559" t="str">
        <f>B16</f>
        <v>公共配套设施</v>
      </c>
      <c r="R16" s="1560" t="s">
        <v>8</v>
      </c>
      <c r="S16" s="1561">
        <f>F16</f>
        <v>100</v>
      </c>
      <c r="T16" s="1560" t="s">
        <v>8</v>
      </c>
      <c r="U16" s="1561">
        <f>H16</f>
        <v>100</v>
      </c>
      <c r="V16" s="1560" t="s">
        <v>8</v>
      </c>
      <c r="W16" s="1561">
        <f>J16</f>
        <v>100</v>
      </c>
      <c r="X16" s="1554"/>
      <c r="Y16" s="341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7"/>
      <c r="Q17" s="1559"/>
      <c r="R17" s="1560"/>
      <c r="S17" s="1561"/>
      <c r="T17" s="1560"/>
      <c r="U17" s="1561"/>
      <c r="V17" s="1560"/>
      <c r="W17" s="1561"/>
      <c r="X17" s="1554"/>
      <c r="Y17" s="3417"/>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7"/>
      <c r="Q18" s="2544" t="str">
        <f>B18</f>
        <v>基础设施水平</v>
      </c>
      <c r="R18" s="1560" t="s">
        <v>8</v>
      </c>
      <c r="S18" s="1561">
        <f>F18</f>
        <v>100</v>
      </c>
      <c r="T18" s="1560" t="s">
        <v>8</v>
      </c>
      <c r="U18" s="1561">
        <f>H18</f>
        <v>100</v>
      </c>
      <c r="V18" s="1560" t="s">
        <v>8</v>
      </c>
      <c r="W18" s="1561">
        <f>J18</f>
        <v>100</v>
      </c>
      <c r="X18" s="2546"/>
      <c r="Y18" s="3417"/>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7"/>
      <c r="Q19" s="2544"/>
      <c r="R19" s="1560"/>
      <c r="S19" s="1561"/>
      <c r="T19" s="1560"/>
      <c r="U19" s="1561"/>
      <c r="V19" s="1560"/>
      <c r="W19" s="1561"/>
      <c r="X19" s="2546"/>
      <c r="Y19" s="3417"/>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7"/>
      <c r="Q20" s="1559" t="str">
        <f>B20</f>
        <v>自然及人文环境</v>
      </c>
      <c r="R20" s="1560" t="s">
        <v>8</v>
      </c>
      <c r="S20" s="1561">
        <f>F20</f>
        <v>100</v>
      </c>
      <c r="T20" s="1560" t="s">
        <v>8</v>
      </c>
      <c r="U20" s="1561">
        <f>H20</f>
        <v>100</v>
      </c>
      <c r="V20" s="1560" t="s">
        <v>8</v>
      </c>
      <c r="W20" s="1561">
        <f>J20</f>
        <v>100</v>
      </c>
      <c r="X20" s="1554"/>
      <c r="Y20" s="341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7"/>
      <c r="Q21" s="1559"/>
      <c r="R21" s="1560"/>
      <c r="S21" s="1561"/>
      <c r="T21" s="1560"/>
      <c r="U21" s="1561"/>
      <c r="V21" s="1560"/>
      <c r="W21" s="1561"/>
      <c r="X21" s="1554"/>
      <c r="Y21" s="341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7"/>
      <c r="Q22" s="1559" t="str">
        <f>B22</f>
        <v>楼层</v>
      </c>
      <c r="R22" s="1560" t="s">
        <v>8</v>
      </c>
      <c r="S22" s="1561">
        <f>F22</f>
        <v>100</v>
      </c>
      <c r="T22" s="1560" t="s">
        <v>8</v>
      </c>
      <c r="U22" s="1561">
        <f>H22</f>
        <v>100</v>
      </c>
      <c r="V22" s="1560" t="s">
        <v>8</v>
      </c>
      <c r="W22" s="1561">
        <f>J22</f>
        <v>100</v>
      </c>
      <c r="X22" s="1554"/>
      <c r="Y22" s="341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7"/>
      <c r="Q23" s="1559">
        <f>B23</f>
        <v>111</v>
      </c>
      <c r="R23" s="1560" t="s">
        <v>8</v>
      </c>
      <c r="S23" s="1561">
        <f>F23</f>
        <v>100</v>
      </c>
      <c r="T23" s="1560" t="s">
        <v>8</v>
      </c>
      <c r="U23" s="1561">
        <f>H23</f>
        <v>100</v>
      </c>
      <c r="V23" s="1560" t="s">
        <v>8</v>
      </c>
      <c r="W23" s="1561">
        <f>J23</f>
        <v>100</v>
      </c>
      <c r="X23" s="1554"/>
      <c r="Y23" s="341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7"/>
      <c r="Q24" s="1559">
        <f t="shared" ref="Q24:Q36" si="11">B24</f>
        <v>111</v>
      </c>
      <c r="R24" s="1560" t="s">
        <v>8</v>
      </c>
      <c r="S24" s="1561">
        <f>F24</f>
        <v>100</v>
      </c>
      <c r="T24" s="1560" t="s">
        <v>8</v>
      </c>
      <c r="U24" s="1561">
        <f>H24</f>
        <v>100</v>
      </c>
      <c r="V24" s="1560" t="s">
        <v>8</v>
      </c>
      <c r="W24" s="1561">
        <f>J24</f>
        <v>100</v>
      </c>
      <c r="X24" s="1554"/>
      <c r="Y24" s="341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7"/>
      <c r="Q25" s="1147">
        <f t="shared" si="11"/>
        <v>111</v>
      </c>
      <c r="R25" s="1555" t="s">
        <v>8</v>
      </c>
      <c r="S25" s="1556">
        <f>F25</f>
        <v>100</v>
      </c>
      <c r="T25" s="1555" t="s">
        <v>8</v>
      </c>
      <c r="U25" s="1556">
        <f>H25</f>
        <v>100</v>
      </c>
      <c r="V25" s="1555" t="s">
        <v>8</v>
      </c>
      <c r="W25" s="1556">
        <f>J25</f>
        <v>100</v>
      </c>
      <c r="X25" s="1557"/>
      <c r="Y25" s="3417"/>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9"/>
      <c r="Q27" s="1591" t="str">
        <f t="shared" si="11"/>
        <v>项目停车位配比</v>
      </c>
      <c r="R27" s="1564" t="s">
        <v>8</v>
      </c>
      <c r="S27" s="1565">
        <f t="shared" si="12"/>
        <v>100</v>
      </c>
      <c r="T27" s="1564" t="s">
        <v>8</v>
      </c>
      <c r="U27" s="1565">
        <f t="shared" si="13"/>
        <v>100</v>
      </c>
      <c r="V27" s="1564" t="s">
        <v>8</v>
      </c>
      <c r="W27" s="1565">
        <f t="shared" si="14"/>
        <v>100</v>
      </c>
      <c r="X27" s="1566"/>
      <c r="Y27" s="341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9"/>
      <c r="Q28" s="1559" t="str">
        <f t="shared" si="11"/>
        <v>公共部分装修</v>
      </c>
      <c r="R28" s="1560" t="s">
        <v>8</v>
      </c>
      <c r="S28" s="1561">
        <f t="shared" si="12"/>
        <v>100</v>
      </c>
      <c r="T28" s="1560" t="s">
        <v>8</v>
      </c>
      <c r="U28" s="1561">
        <f t="shared" si="13"/>
        <v>100</v>
      </c>
      <c r="V28" s="1560" t="s">
        <v>8</v>
      </c>
      <c r="W28" s="1561">
        <f t="shared" si="14"/>
        <v>100</v>
      </c>
      <c r="X28" s="1554"/>
      <c r="Y28" s="341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9"/>
      <c r="Q29" s="1559" t="str">
        <f t="shared" si="11"/>
        <v>成新率</v>
      </c>
      <c r="R29" s="1560" t="s">
        <v>8</v>
      </c>
      <c r="S29" s="1561" t="e">
        <f t="shared" si="12"/>
        <v>#N/A</v>
      </c>
      <c r="T29" s="1560" t="s">
        <v>8</v>
      </c>
      <c r="U29" s="1561" t="e">
        <f t="shared" si="13"/>
        <v>#N/A</v>
      </c>
      <c r="V29" s="1560" t="s">
        <v>8</v>
      </c>
      <c r="W29" s="1561" t="e">
        <f t="shared" si="14"/>
        <v>#N/A</v>
      </c>
      <c r="X29" s="1554"/>
      <c r="Y29" s="341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9"/>
      <c r="Q30" s="1559" t="str">
        <f t="shared" si="11"/>
        <v>物业等级</v>
      </c>
      <c r="R30" s="1560" t="s">
        <v>8</v>
      </c>
      <c r="S30" s="1561">
        <f t="shared" si="12"/>
        <v>100</v>
      </c>
      <c r="T30" s="1560" t="s">
        <v>8</v>
      </c>
      <c r="U30" s="1561">
        <f t="shared" si="13"/>
        <v>100</v>
      </c>
      <c r="V30" s="1560" t="s">
        <v>8</v>
      </c>
      <c r="W30" s="1561">
        <f t="shared" si="14"/>
        <v>100</v>
      </c>
      <c r="X30" s="1554"/>
      <c r="Y30" s="341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9"/>
      <c r="Q31" s="1147" t="str">
        <f t="shared" si="11"/>
        <v>停车位面积</v>
      </c>
      <c r="R31" s="1555" t="s">
        <v>8</v>
      </c>
      <c r="S31" s="1556" t="e">
        <f t="shared" si="12"/>
        <v>#N/A</v>
      </c>
      <c r="T31" s="1555" t="s">
        <v>8</v>
      </c>
      <c r="U31" s="1556" t="e">
        <f t="shared" si="13"/>
        <v>#N/A</v>
      </c>
      <c r="V31" s="1555" t="s">
        <v>8</v>
      </c>
      <c r="W31" s="1556" t="e">
        <f t="shared" si="14"/>
        <v>#N/A</v>
      </c>
      <c r="X31" s="1557"/>
      <c r="Y31" s="341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9" t="s">
        <v>550</v>
      </c>
      <c r="Q32" s="1559" t="str">
        <f t="shared" si="11"/>
        <v>车位类型</v>
      </c>
      <c r="R32" s="1560" t="s">
        <v>8</v>
      </c>
      <c r="S32" s="1561">
        <f t="shared" si="12"/>
        <v>100</v>
      </c>
      <c r="T32" s="1560" t="s">
        <v>8</v>
      </c>
      <c r="U32" s="1561">
        <f t="shared" si="13"/>
        <v>100</v>
      </c>
      <c r="V32" s="1560" t="s">
        <v>8</v>
      </c>
      <c r="W32" s="1561">
        <f t="shared" si="14"/>
        <v>100</v>
      </c>
      <c r="X32" s="1554"/>
      <c r="Y32" s="341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9"/>
      <c r="Q33" s="1559" t="str">
        <f t="shared" si="11"/>
        <v>是否直接入户</v>
      </c>
      <c r="R33" s="1560" t="s">
        <v>8</v>
      </c>
      <c r="S33" s="1561">
        <f t="shared" si="12"/>
        <v>100</v>
      </c>
      <c r="T33" s="1560" t="s">
        <v>8</v>
      </c>
      <c r="U33" s="1561">
        <f t="shared" si="13"/>
        <v>100</v>
      </c>
      <c r="V33" s="1560" t="s">
        <v>8</v>
      </c>
      <c r="W33" s="1561">
        <f t="shared" si="14"/>
        <v>100</v>
      </c>
      <c r="X33" s="1554"/>
      <c r="Y33" s="341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9"/>
      <c r="Q34" s="1559">
        <f t="shared" si="11"/>
        <v>111</v>
      </c>
      <c r="R34" s="1560" t="s">
        <v>8</v>
      </c>
      <c r="S34" s="1561">
        <f t="shared" si="12"/>
        <v>100</v>
      </c>
      <c r="T34" s="1560" t="s">
        <v>8</v>
      </c>
      <c r="U34" s="1561">
        <f t="shared" si="13"/>
        <v>100</v>
      </c>
      <c r="V34" s="1560" t="s">
        <v>8</v>
      </c>
      <c r="W34" s="1561">
        <f t="shared" si="14"/>
        <v>100</v>
      </c>
      <c r="X34" s="1554"/>
      <c r="Y34" s="341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9"/>
      <c r="Q35" s="1591">
        <f t="shared" si="11"/>
        <v>111</v>
      </c>
      <c r="R35" s="1564" t="s">
        <v>8</v>
      </c>
      <c r="S35" s="1565">
        <f t="shared" si="12"/>
        <v>100</v>
      </c>
      <c r="T35" s="1564" t="s">
        <v>8</v>
      </c>
      <c r="U35" s="1565">
        <f t="shared" si="13"/>
        <v>100</v>
      </c>
      <c r="V35" s="1564" t="s">
        <v>8</v>
      </c>
      <c r="W35" s="1565">
        <f t="shared" si="14"/>
        <v>100</v>
      </c>
      <c r="X35" s="1566"/>
      <c r="Y35" s="341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9"/>
      <c r="Q36" s="1559">
        <f t="shared" si="11"/>
        <v>111</v>
      </c>
      <c r="R36" s="1560" t="s">
        <v>8</v>
      </c>
      <c r="S36" s="1561">
        <f t="shared" si="12"/>
        <v>100</v>
      </c>
      <c r="T36" s="1560" t="s">
        <v>8</v>
      </c>
      <c r="U36" s="1561">
        <f t="shared" si="13"/>
        <v>100</v>
      </c>
      <c r="V36" s="1560" t="s">
        <v>8</v>
      </c>
      <c r="W36" s="1561">
        <f t="shared" si="14"/>
        <v>100</v>
      </c>
      <c r="X36" s="1554"/>
      <c r="Y36" s="3419"/>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14" t="str">
        <f>A37</f>
        <v>成交单价</v>
      </c>
      <c r="Q37" s="3414"/>
      <c r="R37" s="3518">
        <f>E37</f>
        <v>0</v>
      </c>
      <c r="S37" s="3518"/>
      <c r="T37" s="3518">
        <f>G37</f>
        <v>0</v>
      </c>
      <c r="U37" s="3518"/>
      <c r="V37" s="3518">
        <f>I37</f>
        <v>0</v>
      </c>
      <c r="W37" s="3518"/>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14" t="str">
        <f>A38</f>
        <v>比较价格（元/平方米）</v>
      </c>
      <c r="Q38" s="3414"/>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435" t="str">
        <f>A39</f>
        <v>估价对象XX用房的比较价格（楼面单价，元/平方米）</v>
      </c>
      <c r="Q39" s="3436"/>
      <c r="R39" s="3517" t="e">
        <f>IF(F1="售价",ROUND(AVERAGE(R38:V38),0),ROUND(AVERAGE(R38:V38),1))</f>
        <v>#DIV/0!</v>
      </c>
      <c r="S39" s="3517"/>
      <c r="T39" s="3517"/>
      <c r="U39" s="3517"/>
      <c r="V39" s="3517"/>
      <c r="W39" s="351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2021-8</v>
      </c>
      <c r="D48" s="2760">
        <f>EDATE(C48,-1)</f>
        <v>44378</v>
      </c>
      <c r="E48" s="2760">
        <f t="shared" ref="E48:O48" si="16">EDATE(D48,-1)</f>
        <v>44348</v>
      </c>
      <c r="F48" s="2760">
        <f t="shared" si="16"/>
        <v>44317</v>
      </c>
      <c r="G48" s="2760">
        <f t="shared" si="16"/>
        <v>44287</v>
      </c>
      <c r="H48" s="2760">
        <f t="shared" si="16"/>
        <v>44256</v>
      </c>
      <c r="I48" s="2760">
        <f t="shared" si="16"/>
        <v>44228</v>
      </c>
      <c r="J48" s="2760">
        <f t="shared" si="16"/>
        <v>44197</v>
      </c>
      <c r="K48" s="2760">
        <f t="shared" si="16"/>
        <v>44166</v>
      </c>
      <c r="L48" s="2760">
        <f t="shared" si="16"/>
        <v>44136</v>
      </c>
      <c r="M48" s="2760">
        <f t="shared" si="16"/>
        <v>44105</v>
      </c>
      <c r="N48" s="2760">
        <f t="shared" si="16"/>
        <v>44075</v>
      </c>
      <c r="O48" s="2760">
        <f t="shared" si="16"/>
        <v>44044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0" t="s">
        <v>798</v>
      </c>
      <c r="D4" s="3421"/>
      <c r="E4" s="3444" t="s">
        <v>799</v>
      </c>
      <c r="F4" s="3445"/>
      <c r="G4" s="3420" t="s">
        <v>800</v>
      </c>
      <c r="H4" s="3421"/>
      <c r="I4" s="3420" t="s">
        <v>801</v>
      </c>
      <c r="J4" s="3421"/>
      <c r="K4" s="514" t="s">
        <v>802</v>
      </c>
      <c r="L4" s="2119"/>
      <c r="M4" s="2120"/>
      <c r="N4" s="2120"/>
      <c r="O4" s="2120"/>
      <c r="P4" s="3422" t="s">
        <v>803</v>
      </c>
      <c r="Q4" s="3423"/>
      <c r="R4" s="3408" t="s">
        <v>799</v>
      </c>
      <c r="S4" s="3409"/>
      <c r="T4" s="3408" t="s">
        <v>800</v>
      </c>
      <c r="U4" s="3409"/>
      <c r="V4" s="3428" t="s">
        <v>801</v>
      </c>
      <c r="W4" s="3428"/>
      <c r="X4" s="1554"/>
      <c r="Y4" s="3408" t="s">
        <v>803</v>
      </c>
      <c r="Z4" s="3409"/>
      <c r="AA4" s="3403" t="s">
        <v>799</v>
      </c>
      <c r="AB4" s="3404" t="s">
        <v>800</v>
      </c>
      <c r="AC4" s="3403" t="s">
        <v>801</v>
      </c>
    </row>
    <row r="5" spans="1:29" ht="15">
      <c r="A5" s="515"/>
      <c r="B5" s="516"/>
      <c r="C5" s="3431" t="s">
        <v>2931</v>
      </c>
      <c r="D5" s="3432"/>
      <c r="E5" s="3446" t="s">
        <v>2932</v>
      </c>
      <c r="F5" s="3447"/>
      <c r="G5" s="3431" t="s">
        <v>2933</v>
      </c>
      <c r="H5" s="3432"/>
      <c r="I5" s="3431" t="s">
        <v>2934</v>
      </c>
      <c r="J5" s="3432"/>
      <c r="K5" s="514"/>
      <c r="L5" s="2119"/>
      <c r="M5" s="2120"/>
      <c r="N5" s="2120"/>
      <c r="O5" s="2120"/>
      <c r="P5" s="3424"/>
      <c r="Q5" s="3425"/>
      <c r="R5" s="3410"/>
      <c r="S5" s="3411"/>
      <c r="T5" s="3410"/>
      <c r="U5" s="3411"/>
      <c r="V5" s="3428"/>
      <c r="W5" s="3428"/>
      <c r="X5" s="1554"/>
      <c r="Y5" s="3410"/>
      <c r="Z5" s="3411"/>
      <c r="AA5" s="3404"/>
      <c r="AB5" s="3404"/>
      <c r="AC5" s="3404"/>
    </row>
    <row r="6" spans="1:29" ht="15.75" thickBot="1">
      <c r="A6" s="517"/>
      <c r="B6" s="518"/>
      <c r="C6" s="3429" t="s">
        <v>2935</v>
      </c>
      <c r="D6" s="3430"/>
      <c r="E6" s="3448" t="s">
        <v>2935</v>
      </c>
      <c r="F6" s="3449"/>
      <c r="G6" s="3429" t="s">
        <v>2935</v>
      </c>
      <c r="H6" s="3430"/>
      <c r="I6" s="3429" t="s">
        <v>2935</v>
      </c>
      <c r="J6" s="3430"/>
      <c r="K6" s="514" t="s">
        <v>528</v>
      </c>
      <c r="L6" s="2119"/>
      <c r="M6" s="2120"/>
      <c r="N6" s="2120"/>
      <c r="O6" s="2120"/>
      <c r="P6" s="3426"/>
      <c r="Q6" s="3427"/>
      <c r="R6" s="3410"/>
      <c r="S6" s="3411"/>
      <c r="T6" s="3412"/>
      <c r="U6" s="3413"/>
      <c r="V6" s="3428"/>
      <c r="W6" s="3428"/>
      <c r="X6" s="1554"/>
      <c r="Y6" s="3412"/>
      <c r="Z6" s="3413"/>
      <c r="AA6" s="3405"/>
      <c r="AB6" s="3405"/>
      <c r="AC6" s="3405"/>
    </row>
    <row r="7" spans="1:29" s="1216" customFormat="1" ht="15.75" thickBot="1">
      <c r="A7" s="2868"/>
      <c r="B7" s="2875" t="s">
        <v>529</v>
      </c>
      <c r="C7" s="519">
        <f>'数据-取费表'!B2</f>
        <v>44435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6" t="s">
        <v>530</v>
      </c>
      <c r="Q7" s="3415"/>
      <c r="R7" s="1555" t="s">
        <v>8</v>
      </c>
      <c r="S7" s="1556">
        <f t="shared" ref="S7:S14" si="0">F7</f>
        <v>0</v>
      </c>
      <c r="T7" s="1555" t="s">
        <v>8</v>
      </c>
      <c r="U7" s="1556">
        <f t="shared" ref="U7:U14" si="1">H7</f>
        <v>0</v>
      </c>
      <c r="V7" s="1555" t="s">
        <v>8</v>
      </c>
      <c r="W7" s="1556">
        <f t="shared" ref="W7:W14"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6" t="s">
        <v>533</v>
      </c>
      <c r="Q8" s="3407"/>
      <c r="R8" s="1555" t="s">
        <v>8</v>
      </c>
      <c r="S8" s="1556">
        <f t="shared" si="0"/>
        <v>0</v>
      </c>
      <c r="T8" s="1555" t="s">
        <v>8</v>
      </c>
      <c r="U8" s="1556">
        <f t="shared" si="1"/>
        <v>0</v>
      </c>
      <c r="V8" s="1555" t="s">
        <v>8</v>
      </c>
      <c r="W8" s="1556">
        <f t="shared" si="2"/>
        <v>0</v>
      </c>
      <c r="X8" s="1557"/>
      <c r="Y8" s="3406" t="s">
        <v>533</v>
      </c>
      <c r="Z8" s="3407"/>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14" t="s">
        <v>535</v>
      </c>
      <c r="Q9" s="1147" t="str">
        <f t="shared" ref="Q9:Q14" si="6">B9</f>
        <v>用途</v>
      </c>
      <c r="R9" s="1555" t="s">
        <v>8</v>
      </c>
      <c r="S9" s="1556">
        <f t="shared" si="0"/>
        <v>100</v>
      </c>
      <c r="T9" s="1555" t="s">
        <v>8</v>
      </c>
      <c r="U9" s="1556">
        <f t="shared" si="1"/>
        <v>100</v>
      </c>
      <c r="V9" s="1555" t="s">
        <v>8</v>
      </c>
      <c r="W9" s="1556">
        <f t="shared" si="2"/>
        <v>100</v>
      </c>
      <c r="X9" s="1557"/>
      <c r="Y9" s="337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14"/>
      <c r="Q11" s="1147">
        <f t="shared" si="6"/>
        <v>111</v>
      </c>
      <c r="R11" s="1555" t="s">
        <v>8</v>
      </c>
      <c r="S11" s="1556">
        <f t="shared" si="0"/>
        <v>100</v>
      </c>
      <c r="T11" s="1555" t="s">
        <v>8</v>
      </c>
      <c r="U11" s="1556">
        <f t="shared" si="1"/>
        <v>100</v>
      </c>
      <c r="V11" s="1555" t="s">
        <v>8</v>
      </c>
      <c r="W11" s="1556">
        <f t="shared" si="2"/>
        <v>100</v>
      </c>
      <c r="X11" s="1557"/>
      <c r="Y11" s="337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14"/>
      <c r="Q12" s="1147">
        <f t="shared" si="6"/>
        <v>111</v>
      </c>
      <c r="R12" s="1555" t="s">
        <v>8</v>
      </c>
      <c r="S12" s="1556">
        <f t="shared" si="0"/>
        <v>100</v>
      </c>
      <c r="T12" s="1555" t="s">
        <v>8</v>
      </c>
      <c r="U12" s="1556">
        <f t="shared" si="1"/>
        <v>100</v>
      </c>
      <c r="V12" s="1555" t="s">
        <v>8</v>
      </c>
      <c r="W12" s="1556">
        <f t="shared" si="2"/>
        <v>100</v>
      </c>
      <c r="X12" s="1557"/>
      <c r="Y12" s="337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14"/>
      <c r="Q13" s="1147">
        <f t="shared" si="6"/>
        <v>111</v>
      </c>
      <c r="R13" s="1555" t="s">
        <v>8</v>
      </c>
      <c r="S13" s="1556">
        <f t="shared" si="0"/>
        <v>100</v>
      </c>
      <c r="T13" s="1555" t="s">
        <v>8</v>
      </c>
      <c r="U13" s="1556">
        <f t="shared" si="1"/>
        <v>100</v>
      </c>
      <c r="V13" s="1555" t="s">
        <v>8</v>
      </c>
      <c r="W13" s="1556">
        <f t="shared" si="2"/>
        <v>100</v>
      </c>
      <c r="X13" s="1557"/>
      <c r="Y13" s="3371"/>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6" t="s">
        <v>540</v>
      </c>
      <c r="Q14" s="1559" t="str">
        <f t="shared" si="6"/>
        <v>交通便捷度</v>
      </c>
      <c r="R14" s="1560" t="s">
        <v>8</v>
      </c>
      <c r="S14" s="1561">
        <f t="shared" si="0"/>
        <v>100</v>
      </c>
      <c r="T14" s="1560" t="s">
        <v>8</v>
      </c>
      <c r="U14" s="1561">
        <f t="shared" si="1"/>
        <v>100</v>
      </c>
      <c r="V14" s="1560" t="s">
        <v>8</v>
      </c>
      <c r="W14" s="1561">
        <f t="shared" si="2"/>
        <v>100</v>
      </c>
      <c r="X14" s="1554"/>
      <c r="Y14" s="341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7"/>
      <c r="Q15" s="1559"/>
      <c r="R15" s="1560"/>
      <c r="S15" s="1561"/>
      <c r="T15" s="1560"/>
      <c r="U15" s="1561"/>
      <c r="V15" s="1560"/>
      <c r="W15" s="1561"/>
      <c r="X15" s="1554"/>
      <c r="Y15" s="3417"/>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7"/>
      <c r="Q16" s="1559" t="str">
        <f>B16</f>
        <v>公共配套设施</v>
      </c>
      <c r="R16" s="1560" t="s">
        <v>8</v>
      </c>
      <c r="S16" s="1561">
        <f>F16</f>
        <v>100</v>
      </c>
      <c r="T16" s="1560" t="s">
        <v>8</v>
      </c>
      <c r="U16" s="1561">
        <f>H16</f>
        <v>100</v>
      </c>
      <c r="V16" s="1560" t="s">
        <v>8</v>
      </c>
      <c r="W16" s="1561">
        <f>J16</f>
        <v>100</v>
      </c>
      <c r="X16" s="1554"/>
      <c r="Y16" s="341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7"/>
      <c r="Q17" s="1559"/>
      <c r="R17" s="1560"/>
      <c r="S17" s="1561"/>
      <c r="T17" s="1560"/>
      <c r="U17" s="1561"/>
      <c r="V17" s="1560"/>
      <c r="W17" s="1561"/>
      <c r="X17" s="1554"/>
      <c r="Y17" s="3417"/>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7"/>
      <c r="Q18" s="2544" t="str">
        <f>B18</f>
        <v>基础设施水平</v>
      </c>
      <c r="R18" s="1560" t="s">
        <v>8</v>
      </c>
      <c r="S18" s="1561">
        <f>F18</f>
        <v>100</v>
      </c>
      <c r="T18" s="1560" t="s">
        <v>8</v>
      </c>
      <c r="U18" s="1561">
        <f>H18</f>
        <v>100</v>
      </c>
      <c r="V18" s="1560" t="s">
        <v>8</v>
      </c>
      <c r="W18" s="1561">
        <f>J18</f>
        <v>100</v>
      </c>
      <c r="X18" s="2546"/>
      <c r="Y18" s="3417"/>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7"/>
      <c r="Q19" s="2544"/>
      <c r="R19" s="1560"/>
      <c r="S19" s="1561"/>
      <c r="T19" s="1560"/>
      <c r="U19" s="1561"/>
      <c r="V19" s="1560"/>
      <c r="W19" s="1561"/>
      <c r="X19" s="2546"/>
      <c r="Y19" s="3417"/>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7"/>
      <c r="Q20" s="1559" t="str">
        <f>B20</f>
        <v>自然及人文环境</v>
      </c>
      <c r="R20" s="1560" t="s">
        <v>8</v>
      </c>
      <c r="S20" s="1561">
        <f>F20</f>
        <v>100</v>
      </c>
      <c r="T20" s="1560" t="s">
        <v>8</v>
      </c>
      <c r="U20" s="1561">
        <f>H20</f>
        <v>100</v>
      </c>
      <c r="V20" s="1560" t="s">
        <v>8</v>
      </c>
      <c r="W20" s="1561">
        <f>J20</f>
        <v>100</v>
      </c>
      <c r="X20" s="1554"/>
      <c r="Y20" s="341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7"/>
      <c r="Q21" s="1559"/>
      <c r="R21" s="1560"/>
      <c r="S21" s="1561"/>
      <c r="T21" s="1560"/>
      <c r="U21" s="1561"/>
      <c r="V21" s="1560"/>
      <c r="W21" s="1561"/>
      <c r="X21" s="1554"/>
      <c r="Y21" s="341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7"/>
      <c r="Q22" s="1559" t="str">
        <f>B22</f>
        <v>楼层</v>
      </c>
      <c r="R22" s="1560" t="s">
        <v>8</v>
      </c>
      <c r="S22" s="1561">
        <f>F22</f>
        <v>100</v>
      </c>
      <c r="T22" s="1560" t="s">
        <v>8</v>
      </c>
      <c r="U22" s="1561">
        <f>H22</f>
        <v>100</v>
      </c>
      <c r="V22" s="1560" t="s">
        <v>8</v>
      </c>
      <c r="W22" s="1561">
        <f>J22</f>
        <v>100</v>
      </c>
      <c r="X22" s="1554"/>
      <c r="Y22" s="341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7"/>
      <c r="Q23" s="1559">
        <f>B23</f>
        <v>111</v>
      </c>
      <c r="R23" s="1560" t="s">
        <v>8</v>
      </c>
      <c r="S23" s="1561">
        <f>F23</f>
        <v>100</v>
      </c>
      <c r="T23" s="1560" t="s">
        <v>8</v>
      </c>
      <c r="U23" s="1561">
        <f>H23</f>
        <v>100</v>
      </c>
      <c r="V23" s="1560" t="s">
        <v>8</v>
      </c>
      <c r="W23" s="1561">
        <f>J23</f>
        <v>100</v>
      </c>
      <c r="X23" s="1554"/>
      <c r="Y23" s="341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7"/>
      <c r="Q24" s="1559">
        <f t="shared" ref="Q24:Q34" si="11">B24</f>
        <v>111</v>
      </c>
      <c r="R24" s="1560" t="s">
        <v>8</v>
      </c>
      <c r="S24" s="1561">
        <f>F24</f>
        <v>100</v>
      </c>
      <c r="T24" s="1560" t="s">
        <v>8</v>
      </c>
      <c r="U24" s="1561">
        <f>H24</f>
        <v>100</v>
      </c>
      <c r="V24" s="1560" t="s">
        <v>8</v>
      </c>
      <c r="W24" s="1561">
        <f>J24</f>
        <v>100</v>
      </c>
      <c r="X24" s="1554"/>
      <c r="Y24" s="341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7"/>
      <c r="Q25" s="1147">
        <f t="shared" si="11"/>
        <v>111</v>
      </c>
      <c r="R25" s="1555" t="s">
        <v>8</v>
      </c>
      <c r="S25" s="1556">
        <f>F25</f>
        <v>100</v>
      </c>
      <c r="T25" s="1555" t="s">
        <v>8</v>
      </c>
      <c r="U25" s="1556">
        <f>H25</f>
        <v>100</v>
      </c>
      <c r="V25" s="1555" t="s">
        <v>8</v>
      </c>
      <c r="W25" s="1556">
        <f>J25</f>
        <v>100</v>
      </c>
      <c r="X25" s="1557"/>
      <c r="Y25" s="3417"/>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9"/>
      <c r="Q27" s="1591" t="str">
        <f t="shared" si="11"/>
        <v>成新率</v>
      </c>
      <c r="R27" s="1564" t="s">
        <v>8</v>
      </c>
      <c r="S27" s="1565" t="e">
        <f t="shared" si="12"/>
        <v>#N/A</v>
      </c>
      <c r="T27" s="1564" t="s">
        <v>8</v>
      </c>
      <c r="U27" s="1565" t="e">
        <f t="shared" si="13"/>
        <v>#N/A</v>
      </c>
      <c r="V27" s="1564" t="s">
        <v>8</v>
      </c>
      <c r="W27" s="1565" t="e">
        <f t="shared" si="14"/>
        <v>#N/A</v>
      </c>
      <c r="X27" s="1566"/>
      <c r="Y27" s="341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9"/>
      <c r="Q28" s="1559" t="str">
        <f t="shared" si="11"/>
        <v>物业等级</v>
      </c>
      <c r="R28" s="1560" t="s">
        <v>8</v>
      </c>
      <c r="S28" s="1561">
        <f t="shared" si="12"/>
        <v>100</v>
      </c>
      <c r="T28" s="1560" t="s">
        <v>8</v>
      </c>
      <c r="U28" s="1561">
        <f t="shared" si="13"/>
        <v>100</v>
      </c>
      <c r="V28" s="1560" t="s">
        <v>8</v>
      </c>
      <c r="W28" s="1561">
        <f t="shared" si="14"/>
        <v>100</v>
      </c>
      <c r="X28" s="1554"/>
      <c r="Y28" s="341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9"/>
      <c r="Q29" s="1559" t="str">
        <f t="shared" si="11"/>
        <v>有无电梯</v>
      </c>
      <c r="R29" s="1560" t="s">
        <v>8</v>
      </c>
      <c r="S29" s="1561">
        <f t="shared" si="12"/>
        <v>100</v>
      </c>
      <c r="T29" s="1560" t="s">
        <v>8</v>
      </c>
      <c r="U29" s="1561">
        <f t="shared" si="13"/>
        <v>100</v>
      </c>
      <c r="V29" s="1560" t="s">
        <v>8</v>
      </c>
      <c r="W29" s="1561">
        <f t="shared" si="14"/>
        <v>100</v>
      </c>
      <c r="X29" s="1554"/>
      <c r="Y29" s="341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9"/>
      <c r="Q30" s="1559" t="str">
        <f t="shared" si="11"/>
        <v>建筑面积</v>
      </c>
      <c r="R30" s="1560" t="s">
        <v>8</v>
      </c>
      <c r="S30" s="1561" t="e">
        <f t="shared" si="12"/>
        <v>#N/A</v>
      </c>
      <c r="T30" s="1560" t="s">
        <v>8</v>
      </c>
      <c r="U30" s="1561" t="e">
        <f t="shared" si="13"/>
        <v>#N/A</v>
      </c>
      <c r="V30" s="1560" t="s">
        <v>8</v>
      </c>
      <c r="W30" s="1561" t="e">
        <f t="shared" si="14"/>
        <v>#N/A</v>
      </c>
      <c r="X30" s="1554"/>
      <c r="Y30" s="341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9"/>
      <c r="Q31" s="1147" t="str">
        <f t="shared" si="11"/>
        <v>是否封闭</v>
      </c>
      <c r="R31" s="1555" t="s">
        <v>8</v>
      </c>
      <c r="S31" s="1556">
        <f t="shared" si="12"/>
        <v>100</v>
      </c>
      <c r="T31" s="1555" t="s">
        <v>8</v>
      </c>
      <c r="U31" s="1556">
        <f t="shared" si="13"/>
        <v>100</v>
      </c>
      <c r="V31" s="1555" t="s">
        <v>8</v>
      </c>
      <c r="W31" s="1556">
        <f t="shared" si="14"/>
        <v>100</v>
      </c>
      <c r="X31" s="1557"/>
      <c r="Y31" s="341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9" t="s">
        <v>550</v>
      </c>
      <c r="Q32" s="1559">
        <f t="shared" si="11"/>
        <v>111</v>
      </c>
      <c r="R32" s="1560" t="s">
        <v>8</v>
      </c>
      <c r="S32" s="1561">
        <f t="shared" si="12"/>
        <v>100</v>
      </c>
      <c r="T32" s="1560" t="s">
        <v>8</v>
      </c>
      <c r="U32" s="1561">
        <f t="shared" si="13"/>
        <v>100</v>
      </c>
      <c r="V32" s="1560" t="s">
        <v>8</v>
      </c>
      <c r="W32" s="1561">
        <f t="shared" si="14"/>
        <v>100</v>
      </c>
      <c r="X32" s="1554"/>
      <c r="Y32" s="341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9"/>
      <c r="Q33" s="1559">
        <f t="shared" si="11"/>
        <v>111</v>
      </c>
      <c r="R33" s="1560" t="s">
        <v>8</v>
      </c>
      <c r="S33" s="1561">
        <f t="shared" si="12"/>
        <v>100</v>
      </c>
      <c r="T33" s="1560" t="s">
        <v>8</v>
      </c>
      <c r="U33" s="1561">
        <f t="shared" si="13"/>
        <v>100</v>
      </c>
      <c r="V33" s="1560" t="s">
        <v>8</v>
      </c>
      <c r="W33" s="1561">
        <f t="shared" si="14"/>
        <v>100</v>
      </c>
      <c r="X33" s="1554"/>
      <c r="Y33" s="341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9"/>
      <c r="Q34" s="1559">
        <f t="shared" si="11"/>
        <v>111</v>
      </c>
      <c r="R34" s="1560" t="s">
        <v>8</v>
      </c>
      <c r="S34" s="1561">
        <f t="shared" si="12"/>
        <v>100</v>
      </c>
      <c r="T34" s="1560" t="s">
        <v>8</v>
      </c>
      <c r="U34" s="1561">
        <f t="shared" si="13"/>
        <v>100</v>
      </c>
      <c r="V34" s="1560" t="s">
        <v>8</v>
      </c>
      <c r="W34" s="1561">
        <f t="shared" si="14"/>
        <v>100</v>
      </c>
      <c r="X34" s="1554"/>
      <c r="Y34" s="3419"/>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14" t="str">
        <f>A35</f>
        <v>成交单价（元/平方米）</v>
      </c>
      <c r="Q35" s="3414"/>
      <c r="R35" s="3518">
        <f>E35</f>
        <v>0</v>
      </c>
      <c r="S35" s="3518"/>
      <c r="T35" s="3518">
        <f>G35</f>
        <v>0</v>
      </c>
      <c r="U35" s="3518"/>
      <c r="V35" s="3518">
        <f>I35</f>
        <v>0</v>
      </c>
      <c r="W35" s="3518"/>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14" t="str">
        <f>A36</f>
        <v>比较价格（元/平方米）</v>
      </c>
      <c r="Q36" s="3414"/>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435" t="str">
        <f>A37</f>
        <v>估价对象XX用房的比较价格（楼面单价，元/平方米）</v>
      </c>
      <c r="Q37" s="3436"/>
      <c r="R37" s="3517" t="e">
        <f>IF(F1="售价",ROUND(AVERAGE(R36:V36),0),ROUND(AVERAGE(R36:V36),1))</f>
        <v>#DIV/0!</v>
      </c>
      <c r="S37" s="3517"/>
      <c r="T37" s="3517"/>
      <c r="U37" s="3517"/>
      <c r="V37" s="3517"/>
      <c r="W37" s="351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2021-8</v>
      </c>
      <c r="D46" s="2760">
        <f>EDATE(C46,-1)</f>
        <v>44378</v>
      </c>
      <c r="E46" s="2760">
        <f t="shared" ref="E46:O46" si="16">EDATE(D46,-1)</f>
        <v>44348</v>
      </c>
      <c r="F46" s="2760">
        <f t="shared" si="16"/>
        <v>44317</v>
      </c>
      <c r="G46" s="2760">
        <f t="shared" si="16"/>
        <v>44287</v>
      </c>
      <c r="H46" s="2760">
        <f t="shared" si="16"/>
        <v>44256</v>
      </c>
      <c r="I46" s="2760">
        <f t="shared" si="16"/>
        <v>44228</v>
      </c>
      <c r="J46" s="2760">
        <f t="shared" si="16"/>
        <v>44197</v>
      </c>
      <c r="K46" s="2760">
        <f t="shared" si="16"/>
        <v>44166</v>
      </c>
      <c r="L46" s="2760">
        <f t="shared" si="16"/>
        <v>44136</v>
      </c>
      <c r="M46" s="2760">
        <f t="shared" si="16"/>
        <v>44105</v>
      </c>
      <c r="N46" s="2760">
        <f t="shared" si="16"/>
        <v>44075</v>
      </c>
      <c r="O46" s="2760">
        <f t="shared" si="16"/>
        <v>44044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7" t="s">
        <v>2304</v>
      </c>
      <c r="D1" s="3528"/>
      <c r="E1" s="3528"/>
      <c r="F1" s="3528"/>
      <c r="G1" s="3528"/>
      <c r="H1" s="3528"/>
      <c r="I1" s="3528"/>
      <c r="J1" s="3528"/>
      <c r="K1" s="3528"/>
      <c r="L1" s="3528"/>
      <c r="M1" s="3528"/>
      <c r="N1" s="3528"/>
      <c r="O1" s="3528"/>
      <c r="P1" s="3528"/>
      <c r="Q1" s="3528"/>
      <c r="R1" s="3528"/>
      <c r="S1" s="3529"/>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4" t="s">
        <v>20</v>
      </c>
      <c r="D22" s="3525"/>
      <c r="E22" s="3525"/>
      <c r="F22" s="3525"/>
      <c r="G22" s="3525"/>
      <c r="H22" s="3525"/>
      <c r="I22" s="3525"/>
      <c r="J22" s="3525"/>
      <c r="K22" s="3525"/>
      <c r="L22" s="3525"/>
      <c r="M22" s="3525"/>
      <c r="N22" s="3525"/>
      <c r="O22" s="3525"/>
      <c r="P22" s="3525"/>
      <c r="Q22" s="3526"/>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44435</v>
      </c>
      <c r="H1" s="2894">
        <f>IF(C1&gt;C13,0,MATCH(C1,C$13:C$100,-1))+IF(SUMIF(C13:C100,C1,D13:D100)=0,13,12)</f>
        <v>13</v>
      </c>
      <c r="I1" s="2894">
        <f ca="1">MATCH(C2,H3:H7,1)+IF(SUMIF(H3:H7,C2,I3:I7)=0,2,1)</f>
        <v>2</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0</v>
      </c>
      <c r="D2" s="2956" t="s">
        <v>2789</v>
      </c>
      <c r="E2" s="2959" t="e">
        <f ca="1">INDIRECT("I"&amp;$I$1)/100</f>
        <v>#VALUE!</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ROUND(B4*G4/10000,0)</f>
        <v>62</v>
      </c>
      <c r="C2" s="2094"/>
      <c r="D2" s="2094"/>
      <c r="E2" s="2094"/>
      <c r="F2" s="2094"/>
      <c r="G2" s="2094">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1157</v>
      </c>
      <c r="C4" s="2047"/>
      <c r="D4" s="2094"/>
      <c r="E4" s="2094"/>
      <c r="F4" s="2094"/>
      <c r="G4" s="3215">
        <v>539.77</v>
      </c>
      <c r="H4" s="2094"/>
    </row>
    <row r="5" spans="1:10" ht="15.75">
      <c r="A5" s="429"/>
      <c r="B5" s="430">
        <f>ROUND(B2/(G4/666.67),0)</f>
        <v>77</v>
      </c>
      <c r="C5" s="431" t="s">
        <v>469</v>
      </c>
      <c r="D5" s="2094"/>
      <c r="E5" s="2094"/>
      <c r="F5" s="2094"/>
      <c r="G5" s="2094">
        <f>SUM(G1:G4)</f>
        <v>21423.86</v>
      </c>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3127</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0.93059999999999998</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912</v>
      </c>
      <c r="H38" s="751">
        <f>ROUND((H34+H35)*C36*C37,0)</f>
        <v>586</v>
      </c>
      <c r="I38" s="3204">
        <f>ROUND((I34+I35)*C36*C37,0)</f>
        <v>1157</v>
      </c>
      <c r="J38" s="3193" t="s">
        <v>3126</v>
      </c>
    </row>
    <row r="40" spans="1:10">
      <c r="B40" s="3214" t="s">
        <v>3133</v>
      </c>
      <c r="C40">
        <v>0.98399999999999999</v>
      </c>
    </row>
    <row r="44" spans="1:10">
      <c r="B44" s="3216">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ROUND(B4*G3/10000,0)</f>
        <v>247</v>
      </c>
      <c r="C2" s="2094"/>
      <c r="D2" s="2094"/>
      <c r="E2" s="2094"/>
      <c r="F2" s="2094"/>
      <c r="G2" s="2094">
        <v>2900</v>
      </c>
      <c r="H2" s="2094"/>
      <c r="J2">
        <f>2536623.77*666.67</f>
        <v>1691090968.7458999</v>
      </c>
    </row>
    <row r="3" spans="1:10" ht="15.75">
      <c r="A3" s="1376" t="s">
        <v>1684</v>
      </c>
      <c r="B3" s="425"/>
      <c r="C3" s="2094"/>
      <c r="D3" s="2094"/>
      <c r="E3" s="2094"/>
      <c r="F3" s="2094"/>
      <c r="G3" s="3215">
        <v>2427</v>
      </c>
      <c r="H3" s="2094"/>
      <c r="J3">
        <f>(83289528.5+9211198.07+2988085.53)/J2</f>
        <v>5.6465804539665758E-2</v>
      </c>
    </row>
    <row r="4" spans="1:10" ht="27">
      <c r="A4" s="3197" t="s">
        <v>468</v>
      </c>
      <c r="B4" s="427">
        <f>I38</f>
        <v>1016</v>
      </c>
      <c r="C4" s="2047"/>
      <c r="D4" s="2094"/>
      <c r="E4" s="2094"/>
      <c r="F4" s="2094"/>
      <c r="G4" s="2094">
        <v>539.77</v>
      </c>
      <c r="H4" s="2094"/>
    </row>
    <row r="5" spans="1:10" ht="15.75">
      <c r="A5" s="429"/>
      <c r="B5" s="430">
        <f>ROUND(B2/(G3/666.67),0)</f>
        <v>68</v>
      </c>
      <c r="C5" s="431" t="s">
        <v>469</v>
      </c>
      <c r="D5" s="2094"/>
      <c r="E5" s="2094"/>
      <c r="F5" s="2094"/>
      <c r="G5" s="2094">
        <f>SUM(G1:G4)</f>
        <v>21423.86</v>
      </c>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3127</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0.81710000000000005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801</v>
      </c>
      <c r="H38" s="751">
        <f>ROUND((H34+H35)*C36*C37,0)</f>
        <v>515</v>
      </c>
      <c r="I38" s="3204">
        <f>ROUND((I34+I35)*C36*C37,0)</f>
        <v>1016</v>
      </c>
      <c r="J38" s="3193" t="s">
        <v>3126</v>
      </c>
    </row>
    <row r="40" spans="1:10">
      <c r="B40" s="3214" t="s">
        <v>3133</v>
      </c>
      <c r="C40">
        <v>0.86399999999999999</v>
      </c>
    </row>
    <row r="44" spans="1:10">
      <c r="B44" s="3216">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ROUND(B4*G2/10000,0)</f>
        <v>301</v>
      </c>
      <c r="C2" s="2094"/>
      <c r="D2" s="2094"/>
      <c r="E2" s="2094"/>
      <c r="F2" s="2094"/>
      <c r="G2" s="3215">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1037</v>
      </c>
      <c r="C4" s="2047"/>
      <c r="D4" s="2094"/>
      <c r="E4" s="2094"/>
      <c r="F4" s="2094"/>
      <c r="G4" s="2094">
        <v>539.77</v>
      </c>
      <c r="H4" s="2094"/>
    </row>
    <row r="5" spans="1:10" ht="15.75">
      <c r="A5" s="429"/>
      <c r="B5" s="430">
        <f>ROUND(B2/(G2/666.67),0)</f>
        <v>69</v>
      </c>
      <c r="C5" s="431" t="s">
        <v>469</v>
      </c>
      <c r="D5" s="2094"/>
      <c r="E5" s="2094"/>
      <c r="F5" s="2094"/>
      <c r="G5" s="2094">
        <f>SUM(G1:G4)</f>
        <v>21423.86</v>
      </c>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3127</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0.83409999999999995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817</v>
      </c>
      <c r="H38" s="751">
        <f>ROUND((H34+H35)*C36*C37,0)</f>
        <v>525</v>
      </c>
      <c r="I38" s="3204">
        <f>ROUND((I34+I35)*C36*C37,0)</f>
        <v>1037</v>
      </c>
      <c r="J38" s="3193" t="s">
        <v>3126</v>
      </c>
    </row>
    <row r="40" spans="1:10">
      <c r="B40" s="3214" t="s">
        <v>3133</v>
      </c>
      <c r="C40">
        <v>0.88200000000000001</v>
      </c>
    </row>
    <row r="44" spans="1:10">
      <c r="B44" s="3216">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3569.16</v>
      </c>
      <c r="H1" s="2094"/>
    </row>
    <row r="2" spans="1:10" ht="15.75">
      <c r="A2" s="423" t="s">
        <v>467</v>
      </c>
      <c r="B2" s="425">
        <f>ROUND(B4*G1/10000,4)</f>
        <v>341.5686</v>
      </c>
      <c r="C2" s="2094"/>
      <c r="D2" s="2094"/>
      <c r="E2" s="2094"/>
      <c r="F2" s="2094"/>
      <c r="G2" s="2094"/>
      <c r="H2" s="2094"/>
    </row>
    <row r="3" spans="1:10" ht="15.75">
      <c r="A3" s="1376" t="s">
        <v>1684</v>
      </c>
      <c r="B3" s="425"/>
      <c r="C3" s="2094"/>
      <c r="D3" s="2094"/>
      <c r="E3" s="2094"/>
      <c r="F3" s="2094"/>
      <c r="G3" s="2094"/>
      <c r="H3" s="2094"/>
    </row>
    <row r="4" spans="1:10" ht="27">
      <c r="A4" s="3197" t="s">
        <v>468</v>
      </c>
      <c r="B4" s="427">
        <f>I23</f>
        <v>957</v>
      </c>
      <c r="C4" s="2047"/>
      <c r="D4" s="2094"/>
      <c r="E4" s="2094"/>
      <c r="F4" s="2094"/>
      <c r="G4" s="2094"/>
      <c r="H4" s="2094"/>
    </row>
    <row r="5" spans="1:10" ht="15.75">
      <c r="A5" s="429"/>
      <c r="B5" s="430">
        <f>ROUND(B2/(G1/666.67),0)</f>
        <v>64</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3145</v>
      </c>
      <c r="J7" s="3530" t="s">
        <v>3007</v>
      </c>
    </row>
    <row r="8" spans="1:10" ht="24">
      <c r="A8" s="3533"/>
      <c r="B8" s="3535"/>
      <c r="C8" s="3187" t="s">
        <v>3000</v>
      </c>
      <c r="D8" s="3187" t="s">
        <v>3001</v>
      </c>
      <c r="E8" s="3188" t="s">
        <v>3000</v>
      </c>
      <c r="F8" s="3188" t="s">
        <v>3001</v>
      </c>
      <c r="G8" s="3196" t="s">
        <v>3005</v>
      </c>
      <c r="H8" s="3196" t="s">
        <v>3116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3087</v>
      </c>
      <c r="E15" s="3213"/>
      <c r="F15" s="3199" t="s">
        <v>3132</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3161</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0.77070000000000005</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957</v>
      </c>
      <c r="J23" s="3193" t="s">
        <v>3150</v>
      </c>
    </row>
    <row r="25" spans="1:10">
      <c r="A25" s="3224"/>
      <c r="B25" s="3225" t="s">
        <v>3133</v>
      </c>
      <c r="C25" s="3224">
        <f>ROUND((1-1/(1+B26)^B29)/(1-1/(1+B26)^B30),3)</f>
        <v>0.81499999999999995</v>
      </c>
    </row>
    <row r="26" spans="1:10">
      <c r="A26" s="3226" t="s">
        <v>3157</v>
      </c>
      <c r="B26" s="3227">
        <v>0.06</v>
      </c>
      <c r="C26" s="3224"/>
    </row>
    <row r="27" spans="1:10">
      <c r="A27" s="3228" t="s">
        <v>3153</v>
      </c>
      <c r="B27" s="3229">
        <f>项目基本情况!D3</f>
        <v>44435</v>
      </c>
      <c r="C27" s="3224"/>
    </row>
    <row r="28" spans="1:10">
      <c r="A28" s="3228" t="s">
        <v>3154</v>
      </c>
      <c r="B28" s="3229">
        <v>53661</v>
      </c>
      <c r="C28" s="3224"/>
    </row>
    <row r="29" spans="1:10">
      <c r="A29" s="3228" t="s">
        <v>3156</v>
      </c>
      <c r="B29" s="3224">
        <f>ROUND((B28-B27)/365,2)</f>
        <v>25.28</v>
      </c>
      <c r="C29" s="3224"/>
    </row>
    <row r="30" spans="1:10">
      <c r="A30" s="3228" t="s">
        <v>3155</v>
      </c>
      <c r="B30" s="3224">
        <v>50</v>
      </c>
      <c r="C30" s="3224"/>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2953</v>
      </c>
      <c r="G1" s="3215">
        <v>9549</v>
      </c>
      <c r="H1" s="2094"/>
    </row>
    <row r="2" spans="1:10" ht="15.75">
      <c r="A2" s="423" t="s">
        <v>467</v>
      </c>
      <c r="B2" s="425">
        <f>ROUND(B4*G1/10000,4)</f>
        <v>1066.6233</v>
      </c>
      <c r="C2" s="2094"/>
      <c r="D2" s="2094"/>
      <c r="E2" s="2094"/>
      <c r="F2" s="2094"/>
      <c r="G2" s="2094"/>
      <c r="H2" s="2094"/>
    </row>
    <row r="3" spans="1:10" ht="15.75">
      <c r="A3" s="1376" t="s">
        <v>1684</v>
      </c>
      <c r="B3" s="425"/>
      <c r="C3" s="2094"/>
      <c r="D3" s="2094"/>
      <c r="E3" s="2094"/>
      <c r="F3" s="2094"/>
      <c r="G3" s="2094"/>
      <c r="H3" s="2094"/>
    </row>
    <row r="4" spans="1:10" ht="27">
      <c r="A4" s="3197" t="s">
        <v>468</v>
      </c>
      <c r="B4" s="427">
        <f>I23</f>
        <v>1117</v>
      </c>
      <c r="C4" s="2047"/>
      <c r="D4" s="2094"/>
      <c r="E4" s="2094"/>
      <c r="F4" s="2094"/>
      <c r="G4" s="2094"/>
      <c r="H4" s="2094"/>
    </row>
    <row r="5" spans="1:10" ht="15.75">
      <c r="A5" s="429"/>
      <c r="B5" s="430">
        <f>ROUND(B2/(G1/666.67),0)</f>
        <v>74</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3004</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1117</v>
      </c>
      <c r="J23" s="3193" t="s">
        <v>3150</v>
      </c>
    </row>
    <row r="25" spans="1:10">
      <c r="A25" s="3224"/>
      <c r="B25" s="3225" t="s">
        <v>3133</v>
      </c>
      <c r="C25" s="3224">
        <f>ROUND((1-1/(1+B26)^B29)/(1-1/(1+B26)^B30),3)</f>
        <v>0.95099999999999996</v>
      </c>
    </row>
    <row r="26" spans="1:10">
      <c r="A26" s="3226" t="s">
        <v>3157</v>
      </c>
      <c r="B26" s="3227">
        <v>0.06</v>
      </c>
      <c r="C26" s="3224"/>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120795</v>
      </c>
      <c r="H1" s="2094"/>
    </row>
    <row r="2" spans="1:10" ht="15.75">
      <c r="A2" s="423" t="s">
        <v>467</v>
      </c>
      <c r="B2" s="425">
        <f>ROUND(B4*G1/10000,4)</f>
        <v>12139.897499999999</v>
      </c>
      <c r="C2" s="2094"/>
      <c r="D2" s="2094"/>
      <c r="E2" s="2094"/>
      <c r="F2" s="2094"/>
      <c r="G2" s="2094"/>
      <c r="H2" s="2094"/>
    </row>
    <row r="3" spans="1:10" ht="15.75">
      <c r="A3" s="1376" t="s">
        <v>1684</v>
      </c>
      <c r="B3" s="425"/>
      <c r="C3" s="2094"/>
      <c r="D3" s="2094"/>
      <c r="E3" s="2094"/>
      <c r="F3" s="2094"/>
      <c r="G3" s="2094"/>
      <c r="H3" s="2094"/>
    </row>
    <row r="4" spans="1:10" ht="27">
      <c r="A4" s="3197" t="s">
        <v>468</v>
      </c>
      <c r="B4" s="427">
        <f>I23</f>
        <v>1005</v>
      </c>
      <c r="C4" s="2047"/>
      <c r="D4" s="2094"/>
      <c r="E4" s="2094"/>
      <c r="F4" s="2094"/>
      <c r="G4" s="2094"/>
      <c r="H4" s="2094"/>
    </row>
    <row r="5" spans="1:10" ht="15.75">
      <c r="A5" s="429"/>
      <c r="B5" s="430">
        <f>ROUND(B2/(G1/666.67),0)</f>
        <v>67</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3004</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ROUND((I19+I20)*C21*C22*C24,0)</f>
        <v>1005</v>
      </c>
      <c r="J23" s="3193" t="s">
        <v>3150</v>
      </c>
    </row>
    <row r="24" spans="1:10">
      <c r="B24" s="3230" t="s">
        <v>3158</v>
      </c>
      <c r="C24" s="3231">
        <v>0.9</v>
      </c>
      <c r="H24">
        <v>1005</v>
      </c>
    </row>
    <row r="25" spans="1:10">
      <c r="A25" s="3224"/>
      <c r="B25" s="3225" t="s">
        <v>3133</v>
      </c>
      <c r="C25" s="3224">
        <f>ROUND((1-1/(1+B26)^B29)/(1-1/(1+B26)^B30),3)</f>
        <v>0.95099999999999996</v>
      </c>
      <c r="H25">
        <v>1117</v>
      </c>
    </row>
    <row r="26" spans="1:10">
      <c r="A26" s="3226" t="s">
        <v>3157</v>
      </c>
      <c r="B26" s="3227">
        <v>0.06</v>
      </c>
      <c r="C26" s="3224"/>
      <c r="H26">
        <f>H25-H24</f>
        <v>112</v>
      </c>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abSelected="1" zoomScale="90" zoomScaleNormal="90" workbookViewId="0">
      <selection activeCell="G2" sqref="G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f>4533.33</f>
        <v>4533.33</v>
      </c>
      <c r="H1" s="2094"/>
    </row>
    <row r="2" spans="1:10" ht="15.75">
      <c r="A2" s="423" t="s">
        <v>467</v>
      </c>
      <c r="B2" s="425">
        <f>ROUND(B4*G1,0)</f>
        <v>4297597</v>
      </c>
      <c r="C2" s="2094"/>
      <c r="D2" s="2094"/>
      <c r="E2" s="2094"/>
      <c r="F2" s="2094"/>
      <c r="G2" s="2094"/>
      <c r="H2" s="2094"/>
    </row>
    <row r="3" spans="1:10" ht="15.75">
      <c r="A3" s="1376" t="s">
        <v>1684</v>
      </c>
      <c r="B3" s="425"/>
      <c r="C3" s="2094"/>
      <c r="D3" s="2094"/>
      <c r="E3" s="2094"/>
      <c r="F3" s="2094"/>
      <c r="G3" s="2094"/>
      <c r="H3" s="2094"/>
    </row>
    <row r="4" spans="1:10" ht="27">
      <c r="A4" s="3197" t="s">
        <v>468</v>
      </c>
      <c r="B4" s="427">
        <f>I23</f>
        <v>948</v>
      </c>
      <c r="C4" s="2047"/>
      <c r="D4" s="2094"/>
      <c r="E4" s="2094"/>
      <c r="F4" s="2094"/>
      <c r="G4" s="2094"/>
      <c r="H4" s="2094"/>
    </row>
    <row r="5" spans="1:10" ht="15.75">
      <c r="A5" s="429"/>
      <c r="B5" s="430">
        <f>ROUND(B2/(G1/666.67)/10000,2)</f>
        <v>63.2</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3004</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0.76319999999999999</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948</v>
      </c>
      <c r="J23" s="3193" t="s">
        <v>3150</v>
      </c>
    </row>
    <row r="25" spans="1:10">
      <c r="A25" s="3224"/>
      <c r="B25" s="3225" t="s">
        <v>3133</v>
      </c>
      <c r="C25" s="3224">
        <f>ROUND((1-1/(1+B26)^B29)/(1-1/(1+B26)^B30),3)</f>
        <v>0.80700000000000005</v>
      </c>
    </row>
    <row r="26" spans="1:10">
      <c r="A26" s="3226" t="s">
        <v>3157</v>
      </c>
      <c r="B26" s="3227">
        <v>0.06</v>
      </c>
      <c r="C26" s="3224"/>
    </row>
    <row r="27" spans="1:10">
      <c r="A27" s="3228" t="s">
        <v>3153</v>
      </c>
      <c r="B27" s="3229">
        <f>项目基本情况!D3</f>
        <v>44435</v>
      </c>
      <c r="C27" s="3224"/>
    </row>
    <row r="28" spans="1:10">
      <c r="A28" s="3228" t="s">
        <v>3154</v>
      </c>
      <c r="B28" s="3229">
        <v>53454</v>
      </c>
      <c r="C28" s="3224"/>
    </row>
    <row r="29" spans="1:10">
      <c r="A29" s="3228" t="s">
        <v>3156</v>
      </c>
      <c r="B29" s="3224">
        <f>ROUND((B28-B27)/365,2)</f>
        <v>24.71</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20" sqref="G20"/>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10485</v>
      </c>
      <c r="H1" s="2094"/>
    </row>
    <row r="2" spans="1:10" ht="15.75">
      <c r="A2" s="423" t="s">
        <v>467</v>
      </c>
      <c r="B2" s="425">
        <f>ROUND(B4*G1,0)</f>
        <v>9803475</v>
      </c>
      <c r="C2" s="2094"/>
      <c r="D2" s="2094"/>
      <c r="E2" s="2094"/>
      <c r="F2" s="2094"/>
      <c r="G2" s="2094"/>
      <c r="H2" s="2094"/>
    </row>
    <row r="3" spans="1:10" ht="15.75">
      <c r="A3" s="1376" t="s">
        <v>1684</v>
      </c>
      <c r="B3" s="425"/>
      <c r="C3" s="2094"/>
      <c r="D3" s="2094"/>
      <c r="E3" s="2094"/>
      <c r="F3" s="2094"/>
      <c r="G3" s="2094"/>
      <c r="H3" s="2094"/>
    </row>
    <row r="4" spans="1:10" ht="27">
      <c r="A4" s="3197" t="s">
        <v>468</v>
      </c>
      <c r="B4" s="427">
        <f>I23</f>
        <v>935</v>
      </c>
      <c r="C4" s="2047"/>
      <c r="D4" s="2094"/>
      <c r="E4" s="2094"/>
      <c r="F4" s="2094"/>
      <c r="G4" s="2094"/>
      <c r="H4" s="2094"/>
    </row>
    <row r="5" spans="1:10" ht="15.75">
      <c r="A5" s="429"/>
      <c r="B5" s="430">
        <f>ROUND(B2/(G1/666.67)/10000,2)</f>
        <v>62.33</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3004</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0.75280000000000002</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935</v>
      </c>
      <c r="J23" s="3193" t="s">
        <v>3150</v>
      </c>
    </row>
    <row r="25" spans="1:10">
      <c r="A25" s="3224"/>
      <c r="B25" s="3225" t="s">
        <v>3133</v>
      </c>
      <c r="C25" s="3224">
        <f>ROUND((1-1/(1+B26)^B29)/(1-1/(1+B26)^B30),3)</f>
        <v>0.79600000000000004</v>
      </c>
    </row>
    <row r="26" spans="1:10">
      <c r="A26" s="3226" t="s">
        <v>3157</v>
      </c>
      <c r="B26" s="3227">
        <v>0.06</v>
      </c>
      <c r="C26" s="3224"/>
    </row>
    <row r="27" spans="1:10">
      <c r="A27" s="3228" t="s">
        <v>3153</v>
      </c>
      <c r="B27" s="3229">
        <f>项目基本情况!D3</f>
        <v>44435</v>
      </c>
      <c r="C27" s="3224"/>
    </row>
    <row r="28" spans="1:10">
      <c r="A28" s="3228" t="s">
        <v>3154</v>
      </c>
      <c r="B28" s="3229">
        <v>53194</v>
      </c>
      <c r="C28" s="3224"/>
    </row>
    <row r="29" spans="1:10">
      <c r="A29" s="3228" t="s">
        <v>3156</v>
      </c>
      <c r="B29" s="3232">
        <f>ROUND((B28-B27)/365,2)</f>
        <v>24</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3184" t="s">
        <v>2998</v>
      </c>
      <c r="B1" s="742"/>
      <c r="C1" s="2168"/>
      <c r="D1" s="2168"/>
      <c r="E1" s="2168"/>
      <c r="F1" s="2168"/>
      <c r="G1" s="2094">
        <v>15557.09</v>
      </c>
      <c r="H1" s="2094"/>
    </row>
    <row r="2" spans="1:10" ht="15.75">
      <c r="A2" s="423" t="s">
        <v>467</v>
      </c>
      <c r="B2" s="425">
        <f>G41</f>
        <v>8656</v>
      </c>
      <c r="C2" s="2094"/>
      <c r="D2" s="2094"/>
      <c r="E2" s="2094"/>
      <c r="F2" s="2094"/>
      <c r="G2" s="2094">
        <v>2900</v>
      </c>
      <c r="H2" s="2094"/>
    </row>
    <row r="3" spans="1:10" ht="15.75">
      <c r="A3" s="1376" t="s">
        <v>1684</v>
      </c>
      <c r="B3" s="425">
        <f>I41</f>
        <v>1164</v>
      </c>
      <c r="C3" s="2094"/>
      <c r="D3" s="2094"/>
      <c r="E3" s="2094"/>
      <c r="F3" s="2094"/>
      <c r="G3" s="2094">
        <v>2427</v>
      </c>
      <c r="H3" s="2094"/>
    </row>
    <row r="4" spans="1:10" ht="27">
      <c r="A4" s="3197" t="s">
        <v>468</v>
      </c>
      <c r="B4" s="427">
        <f>ROUND(B2*10000/'数据-汇总表'!D3,0)</f>
        <v>5564</v>
      </c>
      <c r="C4" s="2047"/>
      <c r="D4" s="2094"/>
      <c r="E4" s="2094"/>
      <c r="F4" s="2094"/>
      <c r="G4" s="2094">
        <v>539.77</v>
      </c>
      <c r="H4" s="2094"/>
    </row>
    <row r="5" spans="1:10" ht="15.75">
      <c r="A5" s="429"/>
      <c r="B5" s="430">
        <f>ROUND(B2/('数据-汇总表'!D3/666.67),0)</f>
        <v>371</v>
      </c>
      <c r="C5" s="431" t="s">
        <v>469</v>
      </c>
      <c r="D5" s="2094"/>
      <c r="E5" s="2094"/>
      <c r="F5" s="2094"/>
      <c r="G5" s="2094">
        <f>SUM(G1:G4)</f>
        <v>21423.86</v>
      </c>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40"/>
      <c r="I7" s="3539"/>
      <c r="J7" s="3530" t="s">
        <v>3007</v>
      </c>
    </row>
    <row r="8" spans="1:10" ht="24">
      <c r="A8" s="3533"/>
      <c r="B8" s="3535"/>
      <c r="C8" s="3187" t="s">
        <v>3000</v>
      </c>
      <c r="D8" s="3187" t="s">
        <v>3001</v>
      </c>
      <c r="E8" s="3188" t="s">
        <v>3000</v>
      </c>
      <c r="F8" s="3188" t="s">
        <v>3001</v>
      </c>
      <c r="G8" s="3196" t="s">
        <v>3005</v>
      </c>
      <c r="H8" s="3196" t="s">
        <v>3116</v>
      </c>
      <c r="I8" s="3205" t="s">
        <v>3006</v>
      </c>
      <c r="J8" s="3531"/>
    </row>
    <row r="9" spans="1:10" ht="20.25" customHeight="1">
      <c r="A9" s="2434">
        <v>1</v>
      </c>
      <c r="B9" s="3192" t="s">
        <v>3036</v>
      </c>
      <c r="C9" s="749" t="s">
        <v>3058</v>
      </c>
      <c r="D9" s="749" t="s">
        <v>3058</v>
      </c>
      <c r="E9" s="750" t="s">
        <v>3058</v>
      </c>
      <c r="F9" s="750" t="s">
        <v>3058</v>
      </c>
      <c r="G9" s="3208">
        <f>G10+G13+G17+G25</f>
        <v>6931.5400000000009</v>
      </c>
      <c r="H9" s="3202">
        <f>H10+H13+H17+H25</f>
        <v>4455.54</v>
      </c>
      <c r="I9" s="3204">
        <f>I10+I13+I17+I25</f>
        <v>700.83</v>
      </c>
      <c r="J9" s="3189" t="s">
        <v>3008</v>
      </c>
    </row>
    <row r="10" spans="1:10" ht="19.5" customHeight="1">
      <c r="A10" s="2434" t="s">
        <v>2440</v>
      </c>
      <c r="B10" s="3190" t="s">
        <v>3009</v>
      </c>
      <c r="C10" s="749" t="s">
        <v>3058</v>
      </c>
      <c r="D10" s="749" t="s">
        <v>3058</v>
      </c>
      <c r="E10" s="750" t="s">
        <v>3058</v>
      </c>
      <c r="F10" s="750" t="s">
        <v>3058</v>
      </c>
      <c r="G10" s="751">
        <f>G11+G12</f>
        <v>350.09999999999997</v>
      </c>
      <c r="H10" s="751">
        <f>H11+H12</f>
        <v>225.04</v>
      </c>
      <c r="I10" s="3204">
        <f>I11+I12</f>
        <v>225</v>
      </c>
      <c r="J10" s="3193" t="s">
        <v>3059</v>
      </c>
    </row>
    <row r="11" spans="1:10" ht="42" customHeight="1">
      <c r="A11" s="2441" t="s">
        <v>3010</v>
      </c>
      <c r="B11" s="3190" t="s">
        <v>3012</v>
      </c>
      <c r="C11" s="2438">
        <v>12</v>
      </c>
      <c r="D11" s="749" t="s">
        <v>3060</v>
      </c>
      <c r="E11" s="3198">
        <f>ROUND('数据-汇总表'!D3/666.67,2)</f>
        <v>23.34</v>
      </c>
      <c r="F11" s="3194" t="s">
        <v>3061</v>
      </c>
      <c r="G11" s="751">
        <f>C11*E11</f>
        <v>280.08</v>
      </c>
      <c r="H11" s="751">
        <f>ROUND(G11/'数据-汇总表'!D3*10000,2)</f>
        <v>180.03</v>
      </c>
      <c r="I11" s="3204">
        <f>ROUND(C11*10000/666.67,0)</f>
        <v>180</v>
      </c>
      <c r="J11" s="3193" t="s">
        <v>3062</v>
      </c>
    </row>
    <row r="12" spans="1:10" ht="39.75" customHeight="1">
      <c r="A12" s="2441" t="s">
        <v>3011</v>
      </c>
      <c r="B12" s="3190" t="s">
        <v>3013</v>
      </c>
      <c r="C12" s="2438">
        <v>3</v>
      </c>
      <c r="D12" s="749" t="s">
        <v>3060</v>
      </c>
      <c r="E12" s="3198">
        <f>ROUND('数据-汇总表'!D3/666.67,2)</f>
        <v>23.34</v>
      </c>
      <c r="F12" s="3194" t="s">
        <v>3061</v>
      </c>
      <c r="G12" s="751">
        <f>C12*E12</f>
        <v>70.02</v>
      </c>
      <c r="H12" s="751">
        <f>ROUND(G12/'数据-汇总表'!D3*10000,2)</f>
        <v>45.01</v>
      </c>
      <c r="I12" s="3204">
        <f>ROUND(C12*10000/666.67,0)</f>
        <v>45</v>
      </c>
      <c r="J12" s="3193" t="s">
        <v>3063</v>
      </c>
    </row>
    <row r="13" spans="1:10" ht="19.5" customHeight="1">
      <c r="A13" s="2434" t="s">
        <v>2441</v>
      </c>
      <c r="B13" s="3190" t="s">
        <v>3014</v>
      </c>
      <c r="C13" s="749" t="s">
        <v>3058</v>
      </c>
      <c r="D13" s="749" t="s">
        <v>3058</v>
      </c>
      <c r="E13" s="749" t="s">
        <v>3058</v>
      </c>
      <c r="F13" s="750" t="s">
        <v>3058</v>
      </c>
      <c r="G13" s="751">
        <f>G14+G15+G16</f>
        <v>0</v>
      </c>
      <c r="H13" s="751">
        <f>H14+H15+H16</f>
        <v>0</v>
      </c>
      <c r="I13" s="3204">
        <f>I14+I15+I16</f>
        <v>3.63</v>
      </c>
      <c r="J13" s="3193" t="s">
        <v>3067</v>
      </c>
    </row>
    <row r="14" spans="1:10" ht="41.25" customHeight="1">
      <c r="A14" s="2441" t="s">
        <v>3064</v>
      </c>
      <c r="B14" s="3190" t="s">
        <v>3016</v>
      </c>
      <c r="C14" s="2438">
        <v>1500</v>
      </c>
      <c r="D14" s="749" t="s">
        <v>3068</v>
      </c>
      <c r="E14" s="3198">
        <v>0</v>
      </c>
      <c r="F14" s="3195" t="s">
        <v>3061</v>
      </c>
      <c r="G14" s="751">
        <f>C14*E14/10000</f>
        <v>0</v>
      </c>
      <c r="H14" s="751">
        <f>ROUND(G14*10000/'数据-汇总表'!D3,2)</f>
        <v>0</v>
      </c>
      <c r="I14" s="3204">
        <f>ROUND(C14/666.67*69.5%,2)</f>
        <v>1.56</v>
      </c>
      <c r="J14" s="3193" t="s">
        <v>3069</v>
      </c>
    </row>
    <row r="15" spans="1:10" ht="42.75" customHeight="1">
      <c r="A15" s="2441" t="s">
        <v>3065</v>
      </c>
      <c r="B15" s="3190" t="s">
        <v>3017</v>
      </c>
      <c r="C15" s="2438">
        <v>3000</v>
      </c>
      <c r="D15" s="749" t="s">
        <v>3070</v>
      </c>
      <c r="E15" s="2438">
        <v>0</v>
      </c>
      <c r="F15" s="3195" t="s">
        <v>3071</v>
      </c>
      <c r="G15" s="751">
        <f>C15*E15/10000</f>
        <v>0</v>
      </c>
      <c r="H15" s="751">
        <f>ROUND(G15*10000/'数据-汇总表'!D3,2)</f>
        <v>0</v>
      </c>
      <c r="I15" s="3204">
        <f>ROUND(3000/(2536623.77/515916*666.67),2)</f>
        <v>0.92</v>
      </c>
      <c r="J15" s="3193" t="s">
        <v>3072</v>
      </c>
    </row>
    <row r="16" spans="1:10" ht="41.25" customHeight="1">
      <c r="A16" s="2441" t="s">
        <v>3066</v>
      </c>
      <c r="B16" s="3190" t="s">
        <v>3018</v>
      </c>
      <c r="C16" s="2438">
        <v>1100</v>
      </c>
      <c r="D16" s="749" t="s">
        <v>3068</v>
      </c>
      <c r="E16" s="3198">
        <v>0</v>
      </c>
      <c r="F16" s="3195" t="s">
        <v>3074</v>
      </c>
      <c r="G16" s="751">
        <f>C16*E16/10000</f>
        <v>0</v>
      </c>
      <c r="H16" s="751">
        <f>ROUND(G16*10000/'数据-汇总表'!D3,2)</f>
        <v>0</v>
      </c>
      <c r="I16" s="3204">
        <f>ROUND(C16*69.5%/666.67,2)</f>
        <v>1.1499999999999999</v>
      </c>
      <c r="J16" s="3193" t="s">
        <v>3073</v>
      </c>
    </row>
    <row r="17" spans="1:10" ht="18.75" customHeight="1">
      <c r="A17" s="2441" t="s">
        <v>3019</v>
      </c>
      <c r="B17" s="3190" t="s">
        <v>3020</v>
      </c>
      <c r="C17" s="749" t="s">
        <v>3058</v>
      </c>
      <c r="D17" s="749" t="s">
        <v>3058</v>
      </c>
      <c r="E17" s="749" t="s">
        <v>3058</v>
      </c>
      <c r="F17" s="3191" t="s">
        <v>3058</v>
      </c>
      <c r="G17" s="751">
        <f>G18+G19+G20+G21+G22+G23+G24</f>
        <v>6581.4400000000005</v>
      </c>
      <c r="H17" s="751">
        <f>H18+H19+H20+H21+H22+H23+H24</f>
        <v>4230.5</v>
      </c>
      <c r="I17" s="3204">
        <f>I18+I19+I20+I21+I22+I23+I24</f>
        <v>417.11999999999995</v>
      </c>
      <c r="J17" s="3193" t="s">
        <v>3079</v>
      </c>
    </row>
    <row r="18" spans="1:10" ht="37.5">
      <c r="A18" s="2441" t="s">
        <v>3021</v>
      </c>
      <c r="B18" s="3190" t="s">
        <v>3023</v>
      </c>
      <c r="C18" s="2438">
        <v>2000</v>
      </c>
      <c r="D18" s="749" t="s">
        <v>3080</v>
      </c>
      <c r="E18" s="2438">
        <f>'数据-汇总表'!E3</f>
        <v>10288.000000000002</v>
      </c>
      <c r="F18" s="3195" t="s">
        <v>3081</v>
      </c>
      <c r="G18" s="751">
        <f>C18*E18/10000</f>
        <v>2057.6000000000004</v>
      </c>
      <c r="H18" s="751">
        <f>ROUND(G18*10000/'数据-汇总表'!D3,2)</f>
        <v>1322.61</v>
      </c>
      <c r="I18" s="3204">
        <f>ROUND(C18*83289528.5/(2536623.77*666.67),2)</f>
        <v>98.5</v>
      </c>
      <c r="J18" s="3193" t="s">
        <v>3082</v>
      </c>
    </row>
    <row r="19" spans="1:10" ht="30" customHeight="1">
      <c r="A19" s="2441" t="s">
        <v>3022</v>
      </c>
      <c r="B19" s="3190" t="s">
        <v>3024</v>
      </c>
      <c r="C19" s="2438">
        <v>5</v>
      </c>
      <c r="D19" s="749" t="s">
        <v>3083</v>
      </c>
      <c r="E19" s="2438">
        <v>4</v>
      </c>
      <c r="F19" s="3195" t="s">
        <v>3084</v>
      </c>
      <c r="G19" s="751">
        <f>C19*E19</f>
        <v>20</v>
      </c>
      <c r="H19" s="751">
        <f>ROUND(G19*10000/'数据-汇总表'!D3,2)</f>
        <v>12.86</v>
      </c>
      <c r="I19" s="3204">
        <f>ROUND(C19*10000*403843/(2536623.77*666.67),2)</f>
        <v>11.94</v>
      </c>
      <c r="J19" s="3193" t="s">
        <v>3085</v>
      </c>
    </row>
    <row r="20" spans="1:10" ht="30" customHeight="1">
      <c r="A20" s="2441" t="s">
        <v>3015</v>
      </c>
      <c r="B20" s="3190" t="s">
        <v>3025</v>
      </c>
      <c r="C20" s="2438">
        <v>20</v>
      </c>
      <c r="D20" s="749" t="s">
        <v>3083</v>
      </c>
      <c r="E20" s="2438">
        <v>4</v>
      </c>
      <c r="F20" s="3195" t="s">
        <v>3084</v>
      </c>
      <c r="G20" s="751">
        <f>C20*E20</f>
        <v>80</v>
      </c>
      <c r="H20" s="751">
        <f>ROUND(G20*10000/'数据-汇总表'!D3,2)</f>
        <v>51.42</v>
      </c>
      <c r="I20" s="3204">
        <f>ROUND(C20*10000*403843/(2536623.77*666.67),2)</f>
        <v>47.76</v>
      </c>
      <c r="J20" s="3193" t="s">
        <v>3086</v>
      </c>
    </row>
    <row r="21" spans="1:10" ht="49.5">
      <c r="A21" s="2441" t="s">
        <v>3075</v>
      </c>
      <c r="B21" s="3190" t="s">
        <v>3026</v>
      </c>
      <c r="C21" s="2438">
        <v>400</v>
      </c>
      <c r="D21" s="749" t="s">
        <v>3087</v>
      </c>
      <c r="E21" s="2438">
        <v>0</v>
      </c>
      <c r="F21" s="3195" t="s">
        <v>3081</v>
      </c>
      <c r="G21" s="751">
        <f>C21*E21/10000</f>
        <v>0</v>
      </c>
      <c r="H21" s="751">
        <f>ROUND(G21*10000/'数据-汇总表'!D3,2)</f>
        <v>0</v>
      </c>
      <c r="I21" s="3204">
        <f>ROUND(C21*9211198.07/(2536623.77*666.67),2)</f>
        <v>2.1800000000000002</v>
      </c>
      <c r="J21" s="3193" t="s">
        <v>3088</v>
      </c>
    </row>
    <row r="22" spans="1:10" ht="67.5" customHeight="1">
      <c r="A22" s="2441" t="s">
        <v>3076</v>
      </c>
      <c r="B22" s="3190" t="s">
        <v>3027</v>
      </c>
      <c r="C22" s="2438">
        <v>35</v>
      </c>
      <c r="D22" s="749" t="s">
        <v>3089</v>
      </c>
      <c r="E22" s="2438"/>
      <c r="F22" s="3195" t="s">
        <v>3090</v>
      </c>
      <c r="G22" s="751">
        <f>C22*E22/10000</f>
        <v>0</v>
      </c>
      <c r="H22" s="751">
        <f>ROUND(G22*10000/'数据-汇总表'!D3,2)</f>
        <v>0</v>
      </c>
      <c r="I22" s="3204">
        <f>ROUND(C22*10000*1150000/(2536623.77*666.67),2)</f>
        <v>238.01</v>
      </c>
      <c r="J22" s="3193" t="s">
        <v>3091</v>
      </c>
    </row>
    <row r="23" spans="1:10" ht="37.5">
      <c r="A23" s="2441" t="s">
        <v>3077</v>
      </c>
      <c r="B23" s="3190" t="s">
        <v>3028</v>
      </c>
      <c r="C23" s="2438">
        <v>2000</v>
      </c>
      <c r="D23" s="749" t="s">
        <v>3087</v>
      </c>
      <c r="E23" s="2438">
        <f>'数据-汇总表'!E3</f>
        <v>10288.000000000002</v>
      </c>
      <c r="F23" s="3195" t="s">
        <v>3092</v>
      </c>
      <c r="G23" s="751">
        <f>C23*E23/10000</f>
        <v>2057.6000000000004</v>
      </c>
      <c r="H23" s="751">
        <f>ROUND(G23*10000/'数据-汇总表'!D3,2)</f>
        <v>1322.61</v>
      </c>
      <c r="I23" s="3204">
        <f>ROUND(C23*2988085.53/(2536623.77*666.67),2)</f>
        <v>3.53</v>
      </c>
      <c r="J23" s="3193" t="s">
        <v>3093</v>
      </c>
    </row>
    <row r="24" spans="1:10" ht="42" customHeight="1">
      <c r="A24" s="2441" t="s">
        <v>3078</v>
      </c>
      <c r="B24" s="3190" t="s">
        <v>3029</v>
      </c>
      <c r="C24" s="2438">
        <v>2300</v>
      </c>
      <c r="D24" s="749" t="s">
        <v>3087</v>
      </c>
      <c r="E24" s="2438">
        <f>'数据-汇总表'!E3</f>
        <v>10288.000000000002</v>
      </c>
      <c r="F24" s="3195" t="s">
        <v>3092</v>
      </c>
      <c r="G24" s="751">
        <f>C24*E24/10000</f>
        <v>2366.2400000000002</v>
      </c>
      <c r="H24" s="751">
        <f>ROUND(G24*10000/'数据-汇总表'!D3,2)</f>
        <v>1521</v>
      </c>
      <c r="I24" s="3204">
        <f>ROUND(C24*11173027.83/(2536623.77*666.67),2)</f>
        <v>15.2</v>
      </c>
      <c r="J24" s="3193" t="s">
        <v>3094</v>
      </c>
    </row>
    <row r="25" spans="1:10">
      <c r="A25" s="2441" t="s">
        <v>3030</v>
      </c>
      <c r="B25" s="3190" t="s">
        <v>3031</v>
      </c>
      <c r="C25" s="749" t="s">
        <v>3058</v>
      </c>
      <c r="D25" s="749" t="s">
        <v>3058</v>
      </c>
      <c r="E25" s="749" t="s">
        <v>3058</v>
      </c>
      <c r="F25" s="3191" t="s">
        <v>3058</v>
      </c>
      <c r="G25" s="751">
        <f>G26+G27+G28</f>
        <v>0</v>
      </c>
      <c r="H25" s="751">
        <f>H26+H27+H28</f>
        <v>0</v>
      </c>
      <c r="I25" s="3204">
        <f>I26+I27+I28</f>
        <v>55.080000000000005</v>
      </c>
      <c r="J25" s="3193" t="s">
        <v>3095</v>
      </c>
    </row>
    <row r="26" spans="1:10" ht="62.25">
      <c r="A26" s="2441" t="s">
        <v>3021</v>
      </c>
      <c r="B26" s="3190" t="s">
        <v>3032</v>
      </c>
      <c r="C26" s="3198">
        <v>4.8</v>
      </c>
      <c r="D26" s="749" t="s">
        <v>3089</v>
      </c>
      <c r="E26" s="2438"/>
      <c r="F26" s="3195" t="s">
        <v>3090</v>
      </c>
      <c r="G26" s="751">
        <f>C26*E26/10000</f>
        <v>0</v>
      </c>
      <c r="H26" s="751">
        <f>ROUND(G26*10000/'数据-汇总表'!D3,2)</f>
        <v>0</v>
      </c>
      <c r="I26" s="3204">
        <f>ROUND(C26*10000*1150000/(2536623.77*666.67),2)</f>
        <v>32.64</v>
      </c>
      <c r="J26" s="3193" t="s">
        <v>3096</v>
      </c>
    </row>
    <row r="27" spans="1:10" ht="50.25">
      <c r="A27" s="2441" t="s">
        <v>3022</v>
      </c>
      <c r="B27" s="3190" t="s">
        <v>3033</v>
      </c>
      <c r="C27" s="3198">
        <v>1.6</v>
      </c>
      <c r="D27" s="749" t="s">
        <v>3089</v>
      </c>
      <c r="E27" s="2438"/>
      <c r="F27" s="3195" t="s">
        <v>3090</v>
      </c>
      <c r="G27" s="751">
        <f>C27*E27/10000</f>
        <v>0</v>
      </c>
      <c r="H27" s="751">
        <f>ROUND(G27*10000/'数据-汇总表'!D3,2)</f>
        <v>0</v>
      </c>
      <c r="I27" s="3204">
        <f>ROUND(C27*10000*1150000/(2536623.77*666.67),2)</f>
        <v>10.88</v>
      </c>
      <c r="J27" s="3193" t="s">
        <v>3097</v>
      </c>
    </row>
    <row r="28" spans="1:10" ht="66.75" customHeight="1">
      <c r="A28" s="2441" t="s">
        <v>3015</v>
      </c>
      <c r="B28" s="3190" t="s">
        <v>3034</v>
      </c>
      <c r="C28" s="3198">
        <v>1.7</v>
      </c>
      <c r="D28" s="749" t="s">
        <v>3089</v>
      </c>
      <c r="E28" s="2438"/>
      <c r="F28" s="3195" t="s">
        <v>3090</v>
      </c>
      <c r="G28" s="751">
        <f>C28*E28/10000</f>
        <v>0</v>
      </c>
      <c r="H28" s="751">
        <f>ROUND(G28*10000/'数据-汇总表'!D3,2)</f>
        <v>0</v>
      </c>
      <c r="I28" s="3204">
        <f>ROUND(C28*10000*1150000/(2536623.77*666.67),2)</f>
        <v>11.56</v>
      </c>
      <c r="J28" s="3193" t="s">
        <v>3098</v>
      </c>
    </row>
    <row r="29" spans="1:10" ht="20.25" customHeight="1">
      <c r="A29" s="2434" t="s">
        <v>3035</v>
      </c>
      <c r="B29" s="3192" t="s">
        <v>3037</v>
      </c>
      <c r="C29" s="749" t="s">
        <v>3058</v>
      </c>
      <c r="D29" s="749" t="s">
        <v>3058</v>
      </c>
      <c r="E29" s="749" t="s">
        <v>3058</v>
      </c>
      <c r="F29" s="3191" t="s">
        <v>3058</v>
      </c>
      <c r="G29" s="751"/>
      <c r="H29" s="751"/>
      <c r="I29" s="3204">
        <f>I30+I31+I32+I33</f>
        <v>153.75</v>
      </c>
      <c r="J29" s="3193" t="s">
        <v>3099</v>
      </c>
    </row>
    <row r="30" spans="1:10" ht="38.25">
      <c r="A30" s="2434" t="s">
        <v>2440</v>
      </c>
      <c r="B30" s="3190" t="s">
        <v>3038</v>
      </c>
      <c r="C30" s="2438">
        <v>25</v>
      </c>
      <c r="D30" s="749" t="s">
        <v>3087</v>
      </c>
      <c r="E30" s="2438">
        <v>0</v>
      </c>
      <c r="F30" s="3199" t="s">
        <v>3061</v>
      </c>
      <c r="G30" s="751">
        <f>C30*E30/10000</f>
        <v>0</v>
      </c>
      <c r="H30" s="751">
        <f>ROUND(G30*10000/'数据-汇总表'!D3,2)</f>
        <v>0</v>
      </c>
      <c r="I30" s="3204">
        <f>ROUNDUP(C30*1762953.52/2536623.77,2)</f>
        <v>17.380000000000003</v>
      </c>
      <c r="J30" s="3193" t="s">
        <v>3100</v>
      </c>
    </row>
    <row r="31" spans="1:10" ht="51">
      <c r="A31" s="2434" t="s">
        <v>2441</v>
      </c>
      <c r="B31" s="3190" t="s">
        <v>3039</v>
      </c>
      <c r="C31" s="2438">
        <v>20</v>
      </c>
      <c r="D31" s="749" t="s">
        <v>3087</v>
      </c>
      <c r="E31" s="2438">
        <v>0</v>
      </c>
      <c r="F31" s="3199" t="s">
        <v>3061</v>
      </c>
      <c r="G31" s="751">
        <f>C31*E31/10000</f>
        <v>0</v>
      </c>
      <c r="H31" s="751">
        <f>ROUND(G31*10000/'数据-汇总表'!D3,2)</f>
        <v>0</v>
      </c>
      <c r="I31" s="3204">
        <f>ROUND(C31*61132.63/2536623.77,2)</f>
        <v>0.48</v>
      </c>
      <c r="J31" s="3193" t="s">
        <v>3101</v>
      </c>
    </row>
    <row r="32" spans="1:10" ht="62.25">
      <c r="A32" s="2441" t="s">
        <v>3019</v>
      </c>
      <c r="B32" s="3190" t="s">
        <v>3040</v>
      </c>
      <c r="C32" s="2438">
        <v>12</v>
      </c>
      <c r="D32" s="749" t="s">
        <v>3102</v>
      </c>
      <c r="E32" s="2438">
        <v>0</v>
      </c>
      <c r="F32" s="3199" t="s">
        <v>3061</v>
      </c>
      <c r="G32" s="751">
        <f>C32*E32/10000</f>
        <v>0</v>
      </c>
      <c r="H32" s="751">
        <f>ROUND(G32*10000/'数据-汇总表'!D3,2)</f>
        <v>0</v>
      </c>
      <c r="I32" s="3204">
        <f>ROUND(C32*10000*1762953.52/(2536623.77*666.67),2)</f>
        <v>125.1</v>
      </c>
      <c r="J32" s="3193" t="s">
        <v>3103</v>
      </c>
    </row>
    <row r="33" spans="1:10" ht="51">
      <c r="A33" s="2441" t="s">
        <v>3030</v>
      </c>
      <c r="B33" s="3190" t="s">
        <v>3041</v>
      </c>
      <c r="C33" s="2438">
        <v>15</v>
      </c>
      <c r="D33" s="749" t="s">
        <v>3087</v>
      </c>
      <c r="E33" s="2438"/>
      <c r="F33" s="3199" t="s">
        <v>3061</v>
      </c>
      <c r="G33" s="751">
        <f>C33*E33/10000</f>
        <v>0</v>
      </c>
      <c r="H33" s="751">
        <f>ROUND(G33*10000/'数据-汇总表'!D3,2)</f>
        <v>0</v>
      </c>
      <c r="I33" s="3204">
        <f>ROUND(C33*1824086.15/2536623.77,2)</f>
        <v>10.79</v>
      </c>
      <c r="J33" s="3193" t="s">
        <v>3104</v>
      </c>
    </row>
    <row r="34" spans="1:10" ht="27.75" customHeight="1">
      <c r="A34" s="2434" t="s">
        <v>3043</v>
      </c>
      <c r="B34" s="3192" t="s">
        <v>3042</v>
      </c>
      <c r="C34" s="749" t="s">
        <v>3058</v>
      </c>
      <c r="D34" s="749" t="s">
        <v>3058</v>
      </c>
      <c r="E34" s="749" t="s">
        <v>3058</v>
      </c>
      <c r="F34" s="3191" t="s">
        <v>3058</v>
      </c>
      <c r="G34" s="751">
        <f>ROUND(H34*'数据-汇总表'!D3/10000,2)</f>
        <v>155.57</v>
      </c>
      <c r="H34" s="751">
        <v>100</v>
      </c>
      <c r="I34" s="3204">
        <v>100</v>
      </c>
      <c r="J34" s="3193" t="s">
        <v>3105</v>
      </c>
    </row>
    <row r="35" spans="1:10" ht="42" customHeight="1">
      <c r="A35" s="2434" t="s">
        <v>3044</v>
      </c>
      <c r="B35" s="3192" t="s">
        <v>3045</v>
      </c>
      <c r="C35" s="3200">
        <v>4.3499999999999997E-2</v>
      </c>
      <c r="D35" s="749" t="s">
        <v>3058</v>
      </c>
      <c r="E35" s="2438">
        <v>1</v>
      </c>
      <c r="F35" s="3195" t="s">
        <v>3106</v>
      </c>
      <c r="G35" s="751">
        <f>ROUND((G9+G29)*E35*C35+G34*(E35/2)*C35,2)</f>
        <v>304.91000000000003</v>
      </c>
      <c r="H35" s="751">
        <f>ROUND((H9+H29)*E35*C35+H34*(E35/2)*C35,2)</f>
        <v>195.99</v>
      </c>
      <c r="I35" s="3203">
        <f>ROUND((I9+I29)*E35*C35+I34*(E35/2)*C35,2)</f>
        <v>39.35</v>
      </c>
      <c r="J35" s="3193" t="s">
        <v>3107</v>
      </c>
    </row>
    <row r="36" spans="1:10" ht="30.75" customHeight="1">
      <c r="A36" s="2434" t="s">
        <v>3046</v>
      </c>
      <c r="B36" s="3192" t="s">
        <v>3047</v>
      </c>
      <c r="C36" s="3200">
        <v>0.08</v>
      </c>
      <c r="D36" s="749" t="s">
        <v>3058</v>
      </c>
      <c r="E36" s="749" t="s">
        <v>3058</v>
      </c>
      <c r="F36" s="3191" t="s">
        <v>3058</v>
      </c>
      <c r="G36" s="751">
        <f>ROUND((G9+G29+G34)*8%,2)</f>
        <v>566.97</v>
      </c>
      <c r="H36" s="751">
        <f>ROUND((H9+H29+H34)*8%,2)</f>
        <v>364.44</v>
      </c>
      <c r="I36" s="3204">
        <f>ROUND((I9+I29+I34)*8%,2)</f>
        <v>76.37</v>
      </c>
      <c r="J36" s="3193" t="s">
        <v>3108</v>
      </c>
    </row>
    <row r="37" spans="1:10" ht="31.5" customHeight="1">
      <c r="A37" s="2434" t="s">
        <v>3048</v>
      </c>
      <c r="B37" s="3192" t="s">
        <v>3049</v>
      </c>
      <c r="C37" s="749" t="s">
        <v>3058</v>
      </c>
      <c r="D37" s="749" t="s">
        <v>3058</v>
      </c>
      <c r="E37" s="749" t="s">
        <v>3058</v>
      </c>
      <c r="F37" s="3191" t="s">
        <v>3058</v>
      </c>
      <c r="G37" s="751">
        <f>ROUND(G9+G29+G34+G35+G36,2)</f>
        <v>7958.99</v>
      </c>
      <c r="H37" s="751">
        <f>ROUND(H9+H29+H34+H35+H36,2)</f>
        <v>5115.97</v>
      </c>
      <c r="I37" s="3204">
        <f>ROUND(I9+I29+I34+I35+I36,2)</f>
        <v>1070.3</v>
      </c>
      <c r="J37" s="3193" t="s">
        <v>3110</v>
      </c>
    </row>
    <row r="38" spans="1:10" ht="42" customHeight="1">
      <c r="A38" s="2434" t="s">
        <v>3050</v>
      </c>
      <c r="B38" s="3192" t="s">
        <v>3051</v>
      </c>
      <c r="C38" s="3200">
        <v>0.15</v>
      </c>
      <c r="D38" s="749" t="s">
        <v>3058</v>
      </c>
      <c r="E38" s="749" t="s">
        <v>3058</v>
      </c>
      <c r="F38" s="3191" t="s">
        <v>3058</v>
      </c>
      <c r="G38" s="751">
        <f>ROUND(G37*C38,2)</f>
        <v>1193.8499999999999</v>
      </c>
      <c r="H38" s="751">
        <f>ROUND(H37*C38,2)</f>
        <v>767.4</v>
      </c>
      <c r="I38" s="3204">
        <f>ROUND(I37*C38,2)</f>
        <v>160.55000000000001</v>
      </c>
      <c r="J38" s="3193" t="s">
        <v>3109</v>
      </c>
    </row>
    <row r="39" spans="1:10" ht="20.25" customHeight="1">
      <c r="A39" s="2434" t="s">
        <v>3052</v>
      </c>
      <c r="B39" s="3192" t="s">
        <v>3053</v>
      </c>
      <c r="C39" s="3201">
        <v>0.94569999999999999</v>
      </c>
      <c r="D39" s="749" t="s">
        <v>3058</v>
      </c>
      <c r="E39" s="749" t="s">
        <v>3058</v>
      </c>
      <c r="F39" s="3191" t="s">
        <v>3058</v>
      </c>
      <c r="G39" s="3191" t="s">
        <v>3058</v>
      </c>
      <c r="H39" s="3191" t="s">
        <v>3117</v>
      </c>
      <c r="I39" s="3206" t="s">
        <v>3058</v>
      </c>
      <c r="J39" s="3193" t="s">
        <v>3111</v>
      </c>
    </row>
    <row r="40" spans="1:10" ht="20.25" customHeight="1">
      <c r="A40" s="2434" t="s">
        <v>3054</v>
      </c>
      <c r="B40" s="3192" t="s">
        <v>3055</v>
      </c>
      <c r="C40" s="2438">
        <v>1</v>
      </c>
      <c r="D40" s="749" t="s">
        <v>3058</v>
      </c>
      <c r="E40" s="749" t="s">
        <v>3058</v>
      </c>
      <c r="F40" s="749" t="s">
        <v>3058</v>
      </c>
      <c r="G40" s="749" t="s">
        <v>3058</v>
      </c>
      <c r="H40" s="749" t="s">
        <v>3117</v>
      </c>
      <c r="I40" s="3207" t="s">
        <v>3058</v>
      </c>
      <c r="J40" s="3193" t="s">
        <v>3112</v>
      </c>
    </row>
    <row r="41" spans="1:10" ht="32.25" customHeight="1">
      <c r="A41" s="2434" t="s">
        <v>3056</v>
      </c>
      <c r="B41" s="3192" t="s">
        <v>3057</v>
      </c>
      <c r="C41" s="749" t="s">
        <v>3058</v>
      </c>
      <c r="D41" s="749" t="s">
        <v>3058</v>
      </c>
      <c r="E41" s="749" t="s">
        <v>3058</v>
      </c>
      <c r="F41" s="749" t="s">
        <v>3058</v>
      </c>
      <c r="G41" s="751">
        <f>ROUND((G37+G38)*C39*C40,0)</f>
        <v>8656</v>
      </c>
      <c r="H41" s="751">
        <f>ROUND((H37+H38)*C39*C40,0)</f>
        <v>5564</v>
      </c>
      <c r="I41" s="3204">
        <f>ROUND((I37+I38)*C39*C40,0)</f>
        <v>1164</v>
      </c>
      <c r="J41" s="3193"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2038</v>
      </c>
      <c r="B1" s="3237"/>
      <c r="C1" s="3237"/>
      <c r="D1" s="3237"/>
      <c r="E1" s="3237"/>
      <c r="F1" s="3237"/>
      <c r="G1" s="3237"/>
      <c r="H1" s="3237"/>
      <c r="I1" s="3237"/>
      <c r="J1" s="3237"/>
      <c r="K1" s="3237"/>
      <c r="L1" s="3237"/>
      <c r="M1" s="3237"/>
      <c r="N1" s="3237"/>
      <c r="O1" s="3237"/>
      <c r="P1" s="3237"/>
      <c r="Q1" s="3237"/>
      <c r="R1" s="3237"/>
    </row>
    <row r="2" spans="1:18">
      <c r="A2" s="1793" t="s">
        <v>2040</v>
      </c>
      <c r="B2" s="1793"/>
      <c r="C2" s="1793"/>
      <c r="D2" s="1793"/>
      <c r="E2" s="1793"/>
      <c r="F2" s="1793"/>
      <c r="G2" s="1793"/>
      <c r="H2" s="1793"/>
      <c r="I2" s="1794"/>
      <c r="J2" s="1794"/>
      <c r="K2" s="1795" t="str">
        <f>"估价期日："&amp;TEXT(项目基本情况!D3,"yyyy年m月d日;;")</f>
        <v>估价期日：2021年8月27日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8" t="s">
        <v>2029</v>
      </c>
      <c r="B3" s="3238" t="s">
        <v>2731</v>
      </c>
      <c r="C3" s="3239" t="s">
        <v>2030</v>
      </c>
      <c r="D3" s="3238" t="s">
        <v>2735</v>
      </c>
      <c r="E3" s="3241" t="s">
        <v>2031</v>
      </c>
      <c r="F3" s="3241"/>
      <c r="G3" s="3241"/>
      <c r="H3" s="3241" t="s">
        <v>2032</v>
      </c>
      <c r="I3" s="3241"/>
      <c r="J3" s="3241"/>
      <c r="K3" s="3239" t="s">
        <v>2033</v>
      </c>
      <c r="L3" s="3239" t="s">
        <v>2034</v>
      </c>
      <c r="M3" s="3238" t="s">
        <v>2732</v>
      </c>
      <c r="N3" s="3240" t="str">
        <f>"（分摊）"&amp;项目基本情况!B16&amp;"国有建设用地使用权面积/㎡"</f>
        <v>（分摊）出让国有建设用地使用权面积/㎡</v>
      </c>
      <c r="O3" s="3238" t="s">
        <v>2063</v>
      </c>
      <c r="P3" s="3239" t="s">
        <v>2043</v>
      </c>
      <c r="Q3" s="3239" t="s">
        <v>2064</v>
      </c>
      <c r="R3" s="3239" t="s">
        <v>2035</v>
      </c>
    </row>
    <row r="4" spans="1:18" ht="36.75" customHeight="1">
      <c r="A4" s="3238"/>
      <c r="B4" s="3238"/>
      <c r="C4" s="3239"/>
      <c r="D4" s="3238"/>
      <c r="E4" s="2614" t="s">
        <v>2042</v>
      </c>
      <c r="F4" s="2614" t="s">
        <v>2744</v>
      </c>
      <c r="G4" s="2614" t="s">
        <v>2036</v>
      </c>
      <c r="H4" s="2614" t="s">
        <v>2037</v>
      </c>
      <c r="I4" s="2614" t="s">
        <v>2745</v>
      </c>
      <c r="J4" s="2614" t="s">
        <v>2036</v>
      </c>
      <c r="K4" s="3239"/>
      <c r="L4" s="3239"/>
      <c r="M4" s="3238"/>
      <c r="N4" s="3240"/>
      <c r="O4" s="3238"/>
      <c r="P4" s="3239"/>
      <c r="Q4" s="3239"/>
      <c r="R4" s="3239"/>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15557.09</v>
      </c>
      <c r="O5" s="1796">
        <f>项目基本情况!C21</f>
        <v>10288.000000000002</v>
      </c>
      <c r="P5" s="1796" t="e">
        <f ca="1">结果表!E42</f>
        <v>#REF!</v>
      </c>
      <c r="Q5" s="1796" t="e">
        <f ca="1">结果表!D42</f>
        <v>#REF!</v>
      </c>
      <c r="R5" s="1797" t="e">
        <f ca="1">结果表!C42</f>
        <v>#REF!</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798" t="str">
        <f>结果表!O39</f>
        <v>——</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798" t="str">
        <f>结果表!O40</f>
        <v>——</v>
      </c>
    </row>
    <row r="8" spans="1:18">
      <c r="A8" s="3234">
        <f>IF(项目基本情况!B9="市场价格","——",项目基本情况!E9)</f>
        <v>0</v>
      </c>
      <c r="B8" s="3235"/>
      <c r="C8" s="3235"/>
      <c r="D8" s="3235"/>
      <c r="E8" s="3235"/>
      <c r="F8" s="3235"/>
      <c r="G8" s="3235"/>
      <c r="H8" s="3235"/>
      <c r="I8" s="3235"/>
      <c r="J8" s="3235"/>
      <c r="K8" s="3235"/>
      <c r="L8" s="3235"/>
      <c r="M8" s="3235"/>
      <c r="N8" s="3235"/>
      <c r="O8" s="3235"/>
      <c r="P8" s="3235"/>
      <c r="Q8" s="3236"/>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2" t="s">
        <v>2065</v>
      </c>
      <c r="B1" s="3242"/>
      <c r="C1" s="3242"/>
      <c r="D1" s="3242"/>
    </row>
    <row r="2" spans="1:4" ht="47.25" customHeight="1">
      <c r="A2" s="3246" t="str">
        <f>"1.权利限制："&amp;项目基本情况!L24&amp;"未设定租赁等其他他项权利。"</f>
        <v>1.权利限制：根据估价对象《不动产权证书》原件、《国有土地使用权》复印件，截至估价期日，估价对象抵押权未见登记。未设定租赁等其他他项权利。</v>
      </c>
      <c r="B2" s="3246"/>
      <c r="C2" s="3246"/>
      <c r="D2" s="3246"/>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5" t="s">
        <v>2066</v>
      </c>
      <c r="B5" s="3245"/>
      <c r="C5" s="3245"/>
      <c r="D5" s="3245"/>
    </row>
    <row r="6" spans="1:4">
      <c r="A6" s="3242" t="s">
        <v>2044</v>
      </c>
      <c r="B6" s="3242"/>
      <c r="C6" s="3242"/>
      <c r="D6" s="3242"/>
    </row>
    <row r="7" spans="1:4" ht="33" customHeight="1">
      <c r="A7" s="3242" t="s">
        <v>2575</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2"/>
      <c r="C8" s="3242"/>
      <c r="D8" s="3242"/>
    </row>
    <row r="9" spans="1:4" ht="33.75" customHeight="1">
      <c r="A9" s="32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2"/>
      <c r="C9" s="3242"/>
      <c r="D9" s="3242"/>
    </row>
    <row r="10" spans="1:4">
      <c r="A10" s="3242" t="str">
        <f>IF(项目基本情况!B8="抵押","4.估价师所知悉的法定优先受偿款情况为：","——")</f>
        <v>4.估价师所知悉的法定优先受偿款情况为：</v>
      </c>
      <c r="B10" s="3242"/>
      <c r="C10" s="3242"/>
      <c r="D10" s="3242"/>
    </row>
    <row r="11" spans="1:4" ht="37.5" customHeight="1">
      <c r="A11" s="32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4"/>
      <c r="C11" s="3244"/>
      <c r="D11" s="3244"/>
    </row>
    <row r="12" spans="1:4" ht="168" customHeight="1">
      <c r="A12" s="3245" t="s">
        <v>2068</v>
      </c>
      <c r="B12" s="3245"/>
      <c r="C12" s="3245"/>
      <c r="D12" s="3245"/>
    </row>
    <row r="13" spans="1:4">
      <c r="A13" s="3243" t="s">
        <v>2746</v>
      </c>
      <c r="B13" s="3243"/>
      <c r="C13" s="3243"/>
      <c r="D13" s="3243"/>
    </row>
    <row r="14" spans="1:4">
      <c r="A14" s="3244" t="str">
        <f>IF(项目基本情况!B8="抵押","综上，"&amp;结果表!K47,"——")</f>
        <v>综上，本次评估不存在估价师知悉的法定优先受偿款</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2702</v>
      </c>
      <c r="B17" s="3242"/>
      <c r="C17" s="3242"/>
      <c r="D17" s="3242"/>
    </row>
    <row r="18" spans="1:4">
      <c r="A18" s="3242" t="s">
        <v>2694</v>
      </c>
      <c r="B18" s="3242"/>
      <c r="C18" s="3242"/>
      <c r="D18" s="3242"/>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42" t="s">
        <v>2699</v>
      </c>
      <c r="B23" s="3242"/>
      <c r="C23" s="3242"/>
      <c r="D23" s="3242"/>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4" t="s">
        <v>53</v>
      </c>
      <c r="B15" s="3255" t="s">
        <v>846</v>
      </c>
      <c r="C15" s="3251"/>
    </row>
    <row r="16" spans="1:7" ht="14.25">
      <c r="A16" s="3254"/>
      <c r="B16" s="3252" t="s">
        <v>54</v>
      </c>
      <c r="C16" s="1168" t="s">
        <v>53</v>
      </c>
    </row>
    <row r="17" spans="1:3" ht="14.25">
      <c r="A17" s="3254"/>
      <c r="B17" s="3252"/>
      <c r="C17" s="1168" t="s">
        <v>55</v>
      </c>
    </row>
    <row r="18" spans="1:3" ht="14.25">
      <c r="A18" s="3254"/>
      <c r="B18" s="3252"/>
      <c r="C18" s="1168" t="s">
        <v>56</v>
      </c>
    </row>
    <row r="19" spans="1:3" ht="14.25">
      <c r="A19" s="3254"/>
      <c r="B19" s="3250" t="s">
        <v>57</v>
      </c>
      <c r="C19" s="3251"/>
    </row>
    <row r="20" spans="1:3" ht="14.25">
      <c r="A20" s="1169" t="s">
        <v>58</v>
      </c>
      <c r="B20" s="1170"/>
      <c r="C20" s="1171"/>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2" t="s">
        <v>837</v>
      </c>
    </row>
    <row r="25" spans="1:3" ht="14.25">
      <c r="A25" s="3253"/>
      <c r="B25" s="3257"/>
      <c r="C25" s="1172" t="s">
        <v>838</v>
      </c>
    </row>
    <row r="26" spans="1:3" ht="14.25">
      <c r="A26" s="3253"/>
      <c r="B26" s="3257"/>
      <c r="C26" s="1172" t="s">
        <v>839</v>
      </c>
    </row>
    <row r="27" spans="1:3" ht="14.25">
      <c r="A27" s="3253"/>
      <c r="B27" s="3257"/>
      <c r="C27" s="1172" t="s">
        <v>840</v>
      </c>
    </row>
    <row r="28" spans="1:3" ht="14.25">
      <c r="A28" s="3253"/>
      <c r="B28" s="3257"/>
      <c r="C28" s="1172" t="s">
        <v>841</v>
      </c>
    </row>
    <row r="29" spans="1:3" ht="14.25">
      <c r="A29" s="3253"/>
      <c r="B29" s="3257"/>
      <c r="C29" s="1172" t="s">
        <v>842</v>
      </c>
    </row>
    <row r="30" spans="1:3" ht="14.25">
      <c r="A30" s="3253"/>
      <c r="B30" s="3257"/>
      <c r="C30" s="1172" t="s">
        <v>843</v>
      </c>
    </row>
    <row r="31" spans="1:3" ht="14.25">
      <c r="A31" s="3253"/>
      <c r="B31" s="3257"/>
      <c r="C31" s="1172" t="s">
        <v>844</v>
      </c>
    </row>
    <row r="32" spans="1:3" ht="14.25">
      <c r="A32" s="3253"/>
      <c r="B32" s="3257"/>
      <c r="C32" s="1172" t="s">
        <v>1646</v>
      </c>
    </row>
    <row r="33" spans="1:3" ht="14.25">
      <c r="A33" s="3253"/>
      <c r="B33" s="3247" t="s">
        <v>1652</v>
      </c>
      <c r="C33" s="1172" t="s">
        <v>1647</v>
      </c>
    </row>
    <row r="34" spans="1:3" ht="14.25">
      <c r="A34" s="3253"/>
      <c r="B34" s="3248"/>
      <c r="C34" s="1177" t="s">
        <v>1648</v>
      </c>
    </row>
    <row r="35" spans="1:3" ht="14.25">
      <c r="A35" s="3253"/>
      <c r="B35" s="3248"/>
      <c r="C35" s="1178" t="s">
        <v>1649</v>
      </c>
    </row>
    <row r="36" spans="1:3" ht="14.25">
      <c r="A36" s="3253"/>
      <c r="B36" s="3248"/>
      <c r="C36" s="1178" t="s">
        <v>1650</v>
      </c>
    </row>
    <row r="37" spans="1:3" ht="14.25">
      <c r="A37" s="3253"/>
      <c r="B37" s="324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44571</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t="s">
        <v>1915</v>
      </c>
      <c r="B5" s="3131" t="str">
        <f ca="1">IF(C5&lt;B2,"已过期",1119970074)</f>
        <v>已过期</v>
      </c>
      <c r="C5" s="3133">
        <v>43849</v>
      </c>
      <c r="D5" s="3131" t="s">
        <v>1915</v>
      </c>
      <c r="E5" s="3131">
        <f ca="1">IF(F5&lt;B2,"已过期",2002110027)</f>
        <v>2002110027</v>
      </c>
      <c r="F5" s="3134">
        <v>46752</v>
      </c>
    </row>
    <row r="6" spans="1:6" ht="20.25" customHeight="1">
      <c r="A6" s="3131" t="s">
        <v>1916</v>
      </c>
      <c r="B6" s="3131" t="str">
        <f ca="1">IF(C6&lt;B2,"已过期",1119970111)</f>
        <v>已过期</v>
      </c>
      <c r="C6" s="3133">
        <v>43849</v>
      </c>
      <c r="D6" s="3131" t="s">
        <v>1916</v>
      </c>
      <c r="E6" s="3131">
        <f ca="1">IF(F6&lt;B2,"已过期",94010078)</f>
        <v>94010078</v>
      </c>
      <c r="F6" s="3134">
        <v>46387</v>
      </c>
    </row>
    <row r="7" spans="1:6" ht="20.25" customHeight="1">
      <c r="A7" s="3131" t="s">
        <v>1917</v>
      </c>
      <c r="B7" s="3131" t="str">
        <f ca="1">IF(C7&lt;B2,"已过期",1120050019)</f>
        <v>已过期</v>
      </c>
      <c r="C7" s="3133">
        <v>44395</v>
      </c>
      <c r="D7" s="3131" t="s">
        <v>1917</v>
      </c>
      <c r="E7" s="3131">
        <f ca="1">IF(F7&lt;B2,"已过期",2002110030)</f>
        <v>2002110030</v>
      </c>
      <c r="F7" s="3134">
        <v>46387</v>
      </c>
    </row>
    <row r="8" spans="1:6" ht="20.25" customHeight="1">
      <c r="A8" s="3131" t="s">
        <v>1918</v>
      </c>
      <c r="B8" s="3131" t="str">
        <f ca="1">IF(C8&lt;B2,"已过期",1120000080)</f>
        <v>已过期</v>
      </c>
      <c r="C8" s="3133">
        <v>43849</v>
      </c>
      <c r="D8" s="3131" t="s">
        <v>1918</v>
      </c>
      <c r="E8" s="3131">
        <f ca="1">IF(F8&lt;B2,"已过期",2000110082)</f>
        <v>2000110082</v>
      </c>
      <c r="F8" s="3134">
        <v>46387</v>
      </c>
    </row>
    <row r="9" spans="1:6" ht="20.25" customHeight="1">
      <c r="A9" s="3131" t="s">
        <v>1919</v>
      </c>
      <c r="B9" s="3131" t="str">
        <f ca="1">IF(C9&lt;B2,"已过期",1419970001)</f>
        <v>已过期</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t="str">
        <f ca="1">IF(C13&lt;B2,"已过期",1120070131)</f>
        <v>已过期</v>
      </c>
      <c r="C13" s="3133">
        <v>43814</v>
      </c>
      <c r="D13" s="3131" t="s">
        <v>1922</v>
      </c>
      <c r="E13" s="3131">
        <f ca="1">IF(F13&lt;B2,"已过期",2014110011)</f>
        <v>2014110011</v>
      </c>
      <c r="F13" s="3134">
        <v>49302</v>
      </c>
    </row>
    <row r="14" spans="1:6" ht="20.25" customHeight="1">
      <c r="A14" s="3131" t="s">
        <v>2982</v>
      </c>
      <c r="B14" s="3131" t="str">
        <f ca="1">IF(C14&lt;B2,"已过期",1120040230)</f>
        <v>已过期</v>
      </c>
      <c r="C14" s="3135">
        <v>43835</v>
      </c>
      <c r="D14" s="3136" t="s">
        <v>2983</v>
      </c>
      <c r="E14" s="3131">
        <f ca="1">IF(F14&lt;B2,"已过期",98030020)</f>
        <v>98030020</v>
      </c>
      <c r="F14" s="3134">
        <v>47118</v>
      </c>
    </row>
    <row r="15" spans="1:6" ht="20.25" customHeight="1">
      <c r="A15" s="3131" t="s">
        <v>2574</v>
      </c>
      <c r="B15" s="3131" t="str">
        <f ca="1">IF(C15&lt;B2,"已过期",1120070085)</f>
        <v>已过期</v>
      </c>
      <c r="C15" s="3135">
        <v>43814</v>
      </c>
      <c r="D15" s="3131" t="s">
        <v>2984</v>
      </c>
      <c r="E15" s="3131">
        <f ca="1">IF(F15&lt;B2,"已过期",2004110128)</f>
        <v>2004110128</v>
      </c>
      <c r="F15" s="3137">
        <v>47118</v>
      </c>
    </row>
    <row r="16" spans="1:6" ht="20.25" customHeight="1">
      <c r="A16" s="3131" t="s">
        <v>1923</v>
      </c>
      <c r="B16" s="3131" t="str">
        <f ca="1">IF(C16&lt;B2,"已过期",1120140022)</f>
        <v>已过期</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t="str">
        <f ca="1">IF(C22&lt;B2,"已过期",1120020033)</f>
        <v>已过期</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58" t="s">
        <v>1926</v>
      </c>
      <c r="B25" s="3258"/>
      <c r="C25" s="3258"/>
      <c r="D25" s="3258"/>
      <c r="E25" s="3258"/>
      <c r="F25" s="3258"/>
      <c r="G25" s="3258"/>
    </row>
    <row r="26" spans="1:7" ht="20.25" customHeight="1">
      <c r="A26" s="3259" t="s">
        <v>1927</v>
      </c>
      <c r="B26" s="3259"/>
      <c r="C26" s="3259"/>
      <c r="D26" s="3259" t="s">
        <v>1928</v>
      </c>
      <c r="E26" s="3259"/>
      <c r="F26" s="3259"/>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3128</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60"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c r="D53" s="1753"/>
      <c r="E53" s="1753"/>
    </row>
    <row r="54" spans="1:5">
      <c r="A54" s="3260"/>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0"/>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0"/>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0"/>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成本逼近法（015）</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2022-01-10T05:49:38Z</dcterms:modified>
</cp:coreProperties>
</file>