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75" windowWidth="19425" windowHeight="10395" tabRatio="806" activeTab="11"/>
  </bookViews>
  <sheets>
    <sheet name="面积数据" sheetId="16" r:id="rId1"/>
    <sheet name="可售面积参数" sheetId="1" r:id="rId2"/>
    <sheet name="清算价格及货值" sheetId="9" r:id="rId3"/>
    <sheet name="销售收入" sheetId="2" r:id="rId4"/>
    <sheet name="直接成本" sheetId="14" state="hidden" r:id="rId5"/>
    <sheet name="成本" sheetId="3" r:id="rId6"/>
    <sheet name="费用确认" sheetId="11" state="hidden" r:id="rId7"/>
    <sheet name="五矿利息" sheetId="12" state="hidden" r:id="rId8"/>
    <sheet name="关联方利息计算" sheetId="4" state="hidden" r:id="rId9"/>
    <sheet name="税金及附加" sheetId="6" r:id="rId10"/>
    <sheet name="土地增值税" sheetId="7" r:id="rId11"/>
    <sheet name="利润表" sheetId="8" r:id="rId12"/>
    <sheet name="Sheet1" sheetId="17" state="hidden" r:id="rId13"/>
    <sheet name="Sheet2" sheetId="18" state="hidden" r:id="rId14"/>
    <sheet name="Sheet3" sheetId="19" state="hidden" r:id="rId15"/>
    <sheet name="Sheet4" sheetId="20" state="hidden" r:id="rId16"/>
  </sheets>
  <externalReferences>
    <externalReference r:id="rId17"/>
    <externalReference r:id="rId18"/>
    <externalReference r:id="rId19"/>
  </externalReferences>
  <calcPr calcId="144525"/>
</workbook>
</file>

<file path=xl/calcChain.xml><?xml version="1.0" encoding="utf-8"?>
<calcChain xmlns="http://schemas.openxmlformats.org/spreadsheetml/2006/main">
  <c r="D19" i="3" l="1"/>
  <c r="C17" i="20" l="1"/>
  <c r="C14" i="20"/>
  <c r="C13" i="20"/>
  <c r="C7" i="20"/>
  <c r="C6" i="20"/>
  <c r="C5" i="20"/>
  <c r="C3" i="20" s="1"/>
  <c r="C4" i="20"/>
  <c r="H8" i="7"/>
  <c r="C7" i="8" l="1"/>
  <c r="C6" i="8"/>
  <c r="C4" i="8"/>
  <c r="D23" i="3"/>
  <c r="D3" i="3"/>
  <c r="J3" i="3"/>
  <c r="D6" i="3"/>
  <c r="I19" i="3" l="1"/>
  <c r="E5" i="16"/>
  <c r="B5" i="16"/>
  <c r="C5" i="16"/>
  <c r="K8" i="9" s="1"/>
  <c r="I7" i="9"/>
  <c r="F6" i="9"/>
  <c r="C5" i="9"/>
  <c r="F7" i="1"/>
  <c r="F6" i="1"/>
  <c r="F5" i="1"/>
  <c r="F4" i="1"/>
  <c r="F8" i="1"/>
  <c r="G7" i="1"/>
  <c r="E6" i="1"/>
  <c r="D5" i="1"/>
  <c r="C4" i="1"/>
  <c r="C4" i="16"/>
  <c r="H7" i="9" s="1"/>
  <c r="C3" i="16"/>
  <c r="E6" i="9" s="1"/>
  <c r="C2" i="16"/>
  <c r="B5" i="9" s="1"/>
  <c r="I4" i="3"/>
  <c r="J4" i="3" s="1"/>
  <c r="D12" i="3"/>
  <c r="D21" i="3"/>
  <c r="I21" i="3" s="1"/>
  <c r="D20" i="3"/>
  <c r="I20" i="3" s="1"/>
  <c r="D18" i="3"/>
  <c r="I18" i="3" s="1"/>
  <c r="D17" i="3"/>
  <c r="I17" i="3" s="1"/>
  <c r="D16" i="3"/>
  <c r="I16" i="3" s="1"/>
  <c r="J16" i="3" s="1"/>
  <c r="D15" i="3"/>
  <c r="D14" i="3"/>
  <c r="D11" i="3"/>
  <c r="D10" i="3"/>
  <c r="I10" i="3" s="1"/>
  <c r="D9" i="3"/>
  <c r="I9" i="3" s="1"/>
  <c r="D2" i="16" l="1"/>
  <c r="D3" i="16"/>
  <c r="D4" i="16"/>
  <c r="D5" i="16"/>
  <c r="I11" i="3"/>
  <c r="J11" i="3" s="1"/>
  <c r="I14" i="3"/>
  <c r="J9" i="3"/>
  <c r="D13" i="3"/>
  <c r="J10" i="3"/>
  <c r="D8" i="3"/>
  <c r="D7" i="3" s="1"/>
  <c r="I12" i="3"/>
  <c r="J12" i="3" s="1"/>
  <c r="I15" i="3"/>
  <c r="D5" i="3"/>
  <c r="D6" i="16" l="1"/>
  <c r="J14" i="3"/>
  <c r="I13" i="3"/>
  <c r="I5" i="3"/>
  <c r="I3" i="3" s="1"/>
  <c r="J15" i="3"/>
  <c r="J8" i="3"/>
  <c r="I8" i="3"/>
  <c r="I7" i="3" s="1"/>
  <c r="D23" i="16"/>
  <c r="H7" i="1" s="1"/>
  <c r="L8" i="9" s="1"/>
  <c r="J13" i="3" l="1"/>
  <c r="K13" i="3" s="1"/>
  <c r="I23" i="3"/>
  <c r="H8" i="1"/>
  <c r="E23" i="16"/>
  <c r="I7" i="1" l="1"/>
  <c r="H8" i="2" l="1"/>
  <c r="G3" i="2"/>
  <c r="C3" i="2"/>
  <c r="M8" i="9"/>
  <c r="M9" i="9" s="1"/>
  <c r="G4" i="2" s="1"/>
  <c r="E3" i="2"/>
  <c r="G6" i="9"/>
  <c r="G9" i="9" s="1"/>
  <c r="F10" i="6" s="1"/>
  <c r="F17" i="7" s="1"/>
  <c r="D3" i="2"/>
  <c r="D5" i="2" s="1"/>
  <c r="D5" i="9"/>
  <c r="D9" i="9" s="1"/>
  <c r="E10" i="6" s="1"/>
  <c r="A7" i="1"/>
  <c r="A6" i="1"/>
  <c r="A5" i="1"/>
  <c r="A4" i="1"/>
  <c r="G5" i="2" l="1"/>
  <c r="G6" i="2" s="1"/>
  <c r="H3" i="2"/>
  <c r="H5" i="2" s="1"/>
  <c r="E17" i="7"/>
  <c r="J7" i="9"/>
  <c r="J9" i="9" s="1"/>
  <c r="G10" i="6" s="1"/>
  <c r="G17" i="7" s="1"/>
  <c r="N6" i="9"/>
  <c r="F3" i="2"/>
  <c r="F5" i="2" s="1"/>
  <c r="C5" i="2"/>
  <c r="E5" i="2"/>
  <c r="G7" i="2"/>
  <c r="G9" i="2" s="1"/>
  <c r="N8" i="9"/>
  <c r="D4" i="2"/>
  <c r="C4" i="2"/>
  <c r="N5" i="9"/>
  <c r="J19" i="3"/>
  <c r="C15" i="20" l="1"/>
  <c r="C12" i="20" s="1"/>
  <c r="C8" i="8"/>
  <c r="J23" i="3"/>
  <c r="J24" i="3" s="1"/>
  <c r="H17" i="7"/>
  <c r="D10" i="6"/>
  <c r="C10" i="20" s="1"/>
  <c r="N9" i="9"/>
  <c r="N7" i="9"/>
  <c r="E4" i="2"/>
  <c r="E6" i="2" s="1"/>
  <c r="C8" i="2"/>
  <c r="D8" i="2"/>
  <c r="E8" i="2"/>
  <c r="N12" i="9"/>
  <c r="G10" i="2"/>
  <c r="D7" i="2"/>
  <c r="D6" i="2"/>
  <c r="C7" i="2"/>
  <c r="C6" i="2"/>
  <c r="F2" i="18"/>
  <c r="F15" i="18" s="1"/>
  <c r="E2" i="18"/>
  <c r="D2" i="18"/>
  <c r="D15" i="18"/>
  <c r="E15" i="18"/>
  <c r="F5" i="18"/>
  <c r="F6" i="18"/>
  <c r="F7" i="18"/>
  <c r="F8" i="18"/>
  <c r="F9" i="18"/>
  <c r="F10" i="18"/>
  <c r="F11" i="18"/>
  <c r="F4" i="18"/>
  <c r="E3" i="18"/>
  <c r="D3" i="18"/>
  <c r="C5" i="17"/>
  <c r="C6" i="17"/>
  <c r="C7" i="17"/>
  <c r="C4" i="17"/>
  <c r="C9" i="2" l="1"/>
  <c r="D9" i="2"/>
  <c r="E7" i="2"/>
  <c r="F4" i="2"/>
  <c r="H4" i="2" s="1"/>
  <c r="F8" i="2"/>
  <c r="C3" i="17"/>
  <c r="F3" i="18"/>
  <c r="F9" i="2" l="1"/>
  <c r="H9" i="2" s="1"/>
  <c r="F4" i="6"/>
  <c r="E9" i="2"/>
  <c r="G4" i="6" s="1"/>
  <c r="F6" i="2"/>
  <c r="F7" i="2"/>
  <c r="H7" i="2" s="1"/>
  <c r="D10" i="2"/>
  <c r="E4" i="6"/>
  <c r="C10" i="2"/>
  <c r="F8" i="3"/>
  <c r="G18" i="3"/>
  <c r="E17" i="3"/>
  <c r="E19" i="3"/>
  <c r="E20" i="3"/>
  <c r="E21" i="3"/>
  <c r="E10" i="2" l="1"/>
  <c r="D4" i="6"/>
  <c r="F10" i="2"/>
  <c r="H10" i="2" s="1"/>
  <c r="C3" i="8" s="1"/>
  <c r="C2" i="20" s="1"/>
  <c r="F13" i="3"/>
  <c r="F3" i="3"/>
  <c r="E3" i="3" s="1"/>
  <c r="E18" i="3" l="1"/>
  <c r="G13" i="3"/>
  <c r="G8" i="3" l="1"/>
  <c r="E8" i="3" s="1"/>
  <c r="E13" i="3"/>
  <c r="F7" i="3"/>
  <c r="E7" i="3" l="1"/>
  <c r="G7" i="3"/>
  <c r="C12" i="17" l="1"/>
  <c r="J5" i="3"/>
  <c r="D18" i="14"/>
  <c r="C8" i="1" l="1"/>
  <c r="E3" i="14" l="1"/>
  <c r="G3" i="14" l="1"/>
  <c r="F3" i="14"/>
  <c r="D10" i="14" l="1"/>
  <c r="A6" i="9"/>
  <c r="A7" i="9"/>
  <c r="A8" i="9"/>
  <c r="A5" i="9"/>
  <c r="I5" i="1" l="1"/>
  <c r="G9" i="4"/>
  <c r="I9" i="4" s="1"/>
  <c r="K9" i="4" s="1"/>
  <c r="E8" i="4"/>
  <c r="E9" i="4" s="1"/>
  <c r="J6" i="4"/>
  <c r="J5" i="4"/>
  <c r="G6" i="4"/>
  <c r="I6" i="4"/>
  <c r="G5" i="4"/>
  <c r="I5" i="4"/>
  <c r="K5" i="4"/>
  <c r="K6" i="4"/>
  <c r="F10" i="12"/>
  <c r="J9" i="4"/>
  <c r="J4" i="4"/>
  <c r="J3" i="4"/>
  <c r="K3" i="4" s="1"/>
  <c r="F4" i="4"/>
  <c r="K4" i="4" s="1"/>
  <c r="F3" i="4"/>
  <c r="I4" i="4"/>
  <c r="I3" i="4"/>
  <c r="H10" i="12"/>
  <c r="H11" i="12" s="1"/>
  <c r="I27" i="11"/>
  <c r="H27" i="11"/>
  <c r="J27" i="11" s="1"/>
  <c r="J29" i="11" s="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4" i="11"/>
  <c r="D18" i="11"/>
  <c r="C18" i="11"/>
  <c r="E18" i="11" s="1"/>
  <c r="E20" i="11" s="1"/>
  <c r="E8" i="1"/>
  <c r="I6" i="1"/>
  <c r="K8" i="4" l="1"/>
  <c r="K10" i="4" s="1"/>
  <c r="D8" i="1"/>
  <c r="I4" i="1" l="1"/>
  <c r="E4" i="14"/>
  <c r="F4" i="14" s="1"/>
  <c r="I8" i="1" l="1"/>
  <c r="E5" i="14"/>
  <c r="F5" i="14" s="1"/>
  <c r="G4" i="14"/>
  <c r="G5" i="14" s="1"/>
  <c r="G6" i="14" s="1"/>
  <c r="G7" i="14" s="1"/>
  <c r="G8" i="14" s="1"/>
  <c r="G9" i="14" s="1"/>
  <c r="G10" i="14" s="1"/>
  <c r="H3" i="14"/>
  <c r="F5" i="6" l="1"/>
  <c r="G5" i="6"/>
  <c r="E5" i="6"/>
  <c r="D5" i="6" s="1"/>
  <c r="C15" i="14"/>
  <c r="E6" i="14"/>
  <c r="F6" i="14" s="1"/>
  <c r="H6" i="14" s="1"/>
  <c r="H4" i="14"/>
  <c r="H5" i="14"/>
  <c r="C16" i="17" l="1"/>
  <c r="C14" i="18"/>
  <c r="D16" i="14"/>
  <c r="C19" i="14"/>
  <c r="C20" i="14" s="1"/>
  <c r="E7" i="14"/>
  <c r="F7" i="14" s="1"/>
  <c r="H7" i="14" s="1"/>
  <c r="C13" i="18" l="1"/>
  <c r="C15" i="17"/>
  <c r="C14" i="17" s="1"/>
  <c r="E8" i="14"/>
  <c r="F8" i="14" s="1"/>
  <c r="H8" i="14" s="1"/>
  <c r="J17" i="3"/>
  <c r="E9" i="14"/>
  <c r="F9" i="14" s="1"/>
  <c r="F10" i="14" s="1"/>
  <c r="E5" i="7" l="1"/>
  <c r="E4" i="7" s="1"/>
  <c r="E10" i="14"/>
  <c r="H9" i="14"/>
  <c r="J18" i="3" s="1"/>
  <c r="J7" i="3" s="1"/>
  <c r="K7" i="3" s="1"/>
  <c r="C3" i="18" l="1"/>
  <c r="C8" i="17"/>
  <c r="H10" i="14"/>
  <c r="E24" i="7"/>
  <c r="H14" i="2" l="1"/>
  <c r="E3" i="6"/>
  <c r="F3" i="6"/>
  <c r="E6" i="6"/>
  <c r="J21" i="3"/>
  <c r="E14" i="7" l="1"/>
  <c r="D3" i="6"/>
  <c r="D14" i="2"/>
  <c r="C14" i="2"/>
  <c r="G14" i="2"/>
  <c r="E14" i="2"/>
  <c r="F9" i="7"/>
  <c r="E7" i="6"/>
  <c r="E8" i="6"/>
  <c r="E15" i="7" l="1"/>
  <c r="E16" i="7"/>
  <c r="E13" i="7"/>
  <c r="F14" i="2"/>
  <c r="H15" i="2" s="1"/>
  <c r="E9" i="7"/>
  <c r="G9" i="7"/>
  <c r="H9" i="7" l="1"/>
  <c r="I9" i="7" s="1"/>
  <c r="J20" i="3" l="1"/>
  <c r="G5" i="7"/>
  <c r="G4" i="7" l="1"/>
  <c r="G24" i="7" l="1"/>
  <c r="F6" i="6"/>
  <c r="F5" i="7"/>
  <c r="H5" i="7" s="1"/>
  <c r="F14" i="7" l="1"/>
  <c r="D6" i="6"/>
  <c r="C2" i="17"/>
  <c r="E19" i="11"/>
  <c r="J28" i="11"/>
  <c r="H4" i="7"/>
  <c r="F4" i="7"/>
  <c r="F7" i="6"/>
  <c r="F8" i="6"/>
  <c r="F16" i="7" l="1"/>
  <c r="D8" i="6"/>
  <c r="F15" i="7"/>
  <c r="D7" i="6"/>
  <c r="C9" i="20"/>
  <c r="C8" i="20" s="1"/>
  <c r="C20" i="20" s="1"/>
  <c r="C24" i="20" s="1"/>
  <c r="F24" i="7"/>
  <c r="H24" i="7" s="1"/>
  <c r="C25" i="20" l="1"/>
  <c r="C26" i="20" s="1"/>
  <c r="C10" i="17"/>
  <c r="I4" i="7"/>
  <c r="G6" i="6"/>
  <c r="G14" i="7" s="1"/>
  <c r="H14" i="7" s="1"/>
  <c r="G7" i="6" l="1"/>
  <c r="G15" i="7" s="1"/>
  <c r="H15" i="7" s="1"/>
  <c r="G8" i="6"/>
  <c r="G16" i="7" s="1"/>
  <c r="H16" i="7" s="1"/>
  <c r="H13" i="7" l="1"/>
  <c r="C11" i="17"/>
  <c r="G13" i="7" l="1"/>
  <c r="F13" i="7" l="1"/>
  <c r="C2" i="18"/>
  <c r="C15" i="18" s="1"/>
  <c r="J6" i="3"/>
  <c r="I6" i="3" l="1"/>
  <c r="H13" i="2"/>
  <c r="D13" i="2" l="1"/>
  <c r="F8" i="7" s="1"/>
  <c r="E13" i="2"/>
  <c r="G8" i="7" s="1"/>
  <c r="C13" i="2"/>
  <c r="G12" i="7" l="1"/>
  <c r="G18" i="7"/>
  <c r="G11" i="7"/>
  <c r="G10" i="7" s="1"/>
  <c r="F11" i="7"/>
  <c r="F10" i="7" s="1"/>
  <c r="F18" i="7"/>
  <c r="F12" i="7"/>
  <c r="E8" i="7"/>
  <c r="F13" i="2"/>
  <c r="F7" i="7" l="1"/>
  <c r="G7" i="7"/>
  <c r="G19" i="7" s="1"/>
  <c r="G20" i="7" s="1"/>
  <c r="E18" i="7"/>
  <c r="E11" i="7"/>
  <c r="E12" i="7"/>
  <c r="H12" i="7" s="1"/>
  <c r="G23" i="7"/>
  <c r="G9" i="6" s="1"/>
  <c r="H7" i="7" l="1"/>
  <c r="F19" i="7"/>
  <c r="H11" i="7"/>
  <c r="E10" i="7"/>
  <c r="H10" i="7" s="1"/>
  <c r="H18" i="7"/>
  <c r="E7" i="7"/>
  <c r="E19" i="7" s="1"/>
  <c r="E20" i="7" s="1"/>
  <c r="G25" i="7"/>
  <c r="G11" i="6"/>
  <c r="H19" i="7"/>
  <c r="H20" i="7" s="1"/>
  <c r="E23" i="7"/>
  <c r="E9" i="6" s="1"/>
  <c r="I8" i="7"/>
  <c r="F20" i="7" l="1"/>
  <c r="F23" i="7"/>
  <c r="H23" i="7"/>
  <c r="E25" i="7"/>
  <c r="F9" i="6" l="1"/>
  <c r="F25" i="7"/>
  <c r="H25" i="7"/>
  <c r="E11" i="6"/>
  <c r="F11" i="6" l="1"/>
  <c r="D9" i="6"/>
  <c r="C13" i="17"/>
  <c r="C9" i="17" s="1"/>
  <c r="C22" i="17" s="1"/>
  <c r="C26" i="17" s="1"/>
  <c r="D11" i="6" l="1"/>
  <c r="C11" i="20"/>
  <c r="C27" i="17"/>
  <c r="C28" i="17" s="1"/>
  <c r="C30" i="17" s="1"/>
  <c r="I13" i="7" l="1"/>
  <c r="C5" i="8"/>
  <c r="C13" i="8" l="1"/>
  <c r="C17" i="8" s="1"/>
  <c r="D4" i="8"/>
  <c r="E4" i="8" s="1"/>
  <c r="C19" i="8" l="1"/>
  <c r="C21" i="8" s="1"/>
  <c r="C18" i="8"/>
</calcChain>
</file>

<file path=xl/comments1.xml><?xml version="1.0" encoding="utf-8"?>
<comments xmlns="http://schemas.openxmlformats.org/spreadsheetml/2006/main">
  <authors>
    <author>xin shao</author>
  </authors>
  <commentList>
    <comment ref="A9" authorId="0">
      <text>
        <r>
          <rPr>
            <b/>
            <sz val="9"/>
            <color indexed="81"/>
            <rFont val="宋体"/>
            <family val="3"/>
            <charset val="134"/>
          </rPr>
          <t>xin shao:</t>
        </r>
        <r>
          <rPr>
            <sz val="9"/>
            <color indexed="81"/>
            <rFont val="宋体"/>
            <family val="3"/>
            <charset val="134"/>
          </rPr>
          <t xml:space="preserve">
按土增税实施细则规定，“房地产开发成本”包括：土地征用及拆迁补偿、前期程费、建安工程费等等。
本项目旧村拆迁及安置楼建设等属于“土地征用及拆迁补偿”范围，应计入土增税范畴的房地产开发成本，在计算开发费用时也应作为基数的组成部分。</t>
        </r>
      </text>
    </comment>
    <comment ref="A10" authorId="0">
      <text>
        <r>
          <rPr>
            <b/>
            <sz val="9"/>
            <color indexed="81"/>
            <rFont val="宋体"/>
            <family val="3"/>
            <charset val="134"/>
          </rPr>
          <t>xin shao:</t>
        </r>
        <r>
          <rPr>
            <sz val="9"/>
            <color indexed="81"/>
            <rFont val="宋体"/>
            <family val="3"/>
            <charset val="134"/>
          </rPr>
          <t xml:space="preserve">
按土增税实施细则规定，“房地产开发成本”包括：土地征用及拆迁补偿、前期程费、建安工程费等等。
本项目旧村拆迁及安置楼建设等属于“土地征用及拆迁补偿”范围，应计入土增税范畴的房地产开发成本，在计算开发费用时也应作为基数的组成部分。</t>
        </r>
      </text>
    </comment>
  </commentList>
</comments>
</file>

<file path=xl/sharedStrings.xml><?xml version="1.0" encoding="utf-8"?>
<sst xmlns="http://schemas.openxmlformats.org/spreadsheetml/2006/main" count="437" uniqueCount="339">
  <si>
    <t>楼栋号</t>
  </si>
  <si>
    <t>个</t>
  </si>
  <si>
    <t>面积</t>
  </si>
  <si>
    <t>合计</t>
  </si>
  <si>
    <t>序号</t>
  </si>
  <si>
    <t>项目</t>
  </si>
  <si>
    <t>备注</t>
  </si>
  <si>
    <t>可售面积/个数</t>
  </si>
  <si>
    <t>单价</t>
  </si>
  <si>
    <t>收入合计（含税）</t>
  </si>
  <si>
    <t>销项税</t>
  </si>
  <si>
    <t>不含税收入</t>
  </si>
  <si>
    <t>计算方式</t>
  </si>
  <si>
    <t>金额（含税）</t>
  </si>
  <si>
    <t>税率</t>
  </si>
  <si>
    <t>进项税</t>
  </si>
  <si>
    <t>金额（不含税）</t>
  </si>
  <si>
    <t>土地成本</t>
  </si>
  <si>
    <t>直接成本</t>
  </si>
  <si>
    <t>前期工程费</t>
  </si>
  <si>
    <t>财务费用</t>
  </si>
  <si>
    <t>管理费用</t>
  </si>
  <si>
    <t>销售费用</t>
  </si>
  <si>
    <t>日期</t>
  </si>
  <si>
    <t>摘要</t>
  </si>
  <si>
    <t>利息起算日</t>
  </si>
  <si>
    <t>利息截止日</t>
  </si>
  <si>
    <t>天数</t>
  </si>
  <si>
    <t>日利率</t>
  </si>
  <si>
    <t>利息</t>
  </si>
  <si>
    <t>备注说明</t>
  </si>
  <si>
    <t>金额</t>
  </si>
  <si>
    <t>应交增值税</t>
  </si>
  <si>
    <t>增值税销项</t>
  </si>
  <si>
    <t>增值税进项</t>
  </si>
  <si>
    <t>6%-9%</t>
  </si>
  <si>
    <t>城建税</t>
  </si>
  <si>
    <t>教育附加</t>
  </si>
  <si>
    <t>地方教育附加</t>
  </si>
  <si>
    <t>税金及附加合计</t>
  </si>
  <si>
    <t>项　　　　　　目</t>
  </si>
  <si>
    <t>行次</t>
  </si>
  <si>
    <t>普通住宅</t>
  </si>
  <si>
    <t>非普通住宅</t>
  </si>
  <si>
    <t>非住宅</t>
  </si>
  <si>
    <t>其</t>
  </si>
  <si>
    <t>货币收入</t>
  </si>
  <si>
    <t>中</t>
  </si>
  <si>
    <t>实物收入及其他收入</t>
  </si>
  <si>
    <t>二、扣除项目金额合计　 4＝5＋6＋7+10＋15</t>
  </si>
  <si>
    <t>其中</t>
  </si>
  <si>
    <t>其他房地产开发费用</t>
  </si>
  <si>
    <t>　 4.与转让房地产有关的税金等　 10＝11＋12＋13+14</t>
  </si>
  <si>
    <t>城市维护建设税</t>
  </si>
  <si>
    <t>教育费附加</t>
  </si>
  <si>
    <t>三、增值额　 16＝1－4</t>
  </si>
  <si>
    <t>四、增值额与扣除项目金额之比（％）17＝16÷4</t>
  </si>
  <si>
    <t>五、适用税率（％）</t>
  </si>
  <si>
    <t>六、速算扣除系数（％）</t>
  </si>
  <si>
    <t>七、应缴土地增值税税额　 20＝16×18－4×19</t>
  </si>
  <si>
    <t>二、营业利润</t>
  </si>
  <si>
    <t>四、净利润</t>
  </si>
  <si>
    <t>濮阳圣祥置业关联方往来款明细及利息计算</t>
    <phoneticPr fontId="15" type="noConversion"/>
  </si>
  <si>
    <t>不可预见费</t>
    <phoneticPr fontId="15" type="noConversion"/>
  </si>
  <si>
    <t>开发间接费</t>
    <phoneticPr fontId="15" type="noConversion"/>
  </si>
  <si>
    <t>普通住宅</t>
    <phoneticPr fontId="15" type="noConversion"/>
  </si>
  <si>
    <t>非普通住宅</t>
    <phoneticPr fontId="15" type="noConversion"/>
  </si>
  <si>
    <t>商业</t>
    <phoneticPr fontId="15" type="noConversion"/>
  </si>
  <si>
    <t>地上面积合计</t>
    <phoneticPr fontId="15" type="noConversion"/>
  </si>
  <si>
    <t>车位</t>
    <phoneticPr fontId="15" type="noConversion"/>
  </si>
  <si>
    <t>地上合计</t>
    <phoneticPr fontId="15" type="noConversion"/>
  </si>
  <si>
    <t>总计</t>
    <phoneticPr fontId="15" type="noConversion"/>
  </si>
  <si>
    <t>车库</t>
    <phoneticPr fontId="15" type="noConversion"/>
  </si>
  <si>
    <t>单价</t>
    <phoneticPr fontId="15" type="noConversion"/>
  </si>
  <si>
    <t>货值</t>
  </si>
  <si>
    <t>货值</t>
    <phoneticPr fontId="15" type="noConversion"/>
  </si>
  <si>
    <t>合计</t>
    <phoneticPr fontId="15" type="noConversion"/>
  </si>
  <si>
    <t>可售面积合计</t>
    <phoneticPr fontId="15" type="noConversion"/>
  </si>
  <si>
    <t>货值总计</t>
    <phoneticPr fontId="15" type="noConversion"/>
  </si>
  <si>
    <t>收入合计</t>
    <phoneticPr fontId="15" type="noConversion"/>
  </si>
  <si>
    <t>面积</t>
    <phoneticPr fontId="15" type="noConversion"/>
  </si>
  <si>
    <t>全价计算销售额</t>
    <phoneticPr fontId="15" type="noConversion"/>
  </si>
  <si>
    <t>高层普通住宅</t>
    <phoneticPr fontId="15" type="noConversion"/>
  </si>
  <si>
    <t>洋房普通住宅</t>
    <phoneticPr fontId="15" type="noConversion"/>
  </si>
  <si>
    <t>高层非普通住宅</t>
    <phoneticPr fontId="15" type="noConversion"/>
  </si>
  <si>
    <t>洋房非普通住宅</t>
    <phoneticPr fontId="15" type="noConversion"/>
  </si>
  <si>
    <t>其中：普通住宅</t>
    <phoneticPr fontId="15" type="noConversion"/>
  </si>
  <si>
    <t>其中：非普通住宅</t>
    <phoneticPr fontId="15" type="noConversion"/>
  </si>
  <si>
    <t>其中：非住宅</t>
    <phoneticPr fontId="15" type="noConversion"/>
  </si>
  <si>
    <t>工资</t>
  </si>
  <si>
    <t>福利</t>
  </si>
  <si>
    <t>社保、公积金</t>
  </si>
  <si>
    <t>办公费</t>
  </si>
  <si>
    <t>车辆使用费</t>
  </si>
  <si>
    <t>网络通讯费</t>
  </si>
  <si>
    <t>差旅交通费</t>
  </si>
  <si>
    <t>维修费</t>
  </si>
  <si>
    <t>业务招待费</t>
  </si>
  <si>
    <t>物业及绿化卫生</t>
  </si>
  <si>
    <t>折旧</t>
  </si>
  <si>
    <t>摊销</t>
  </si>
  <si>
    <t>劳保</t>
  </si>
  <si>
    <t>其他</t>
  </si>
  <si>
    <t>项目</t>
    <phoneticPr fontId="15" type="noConversion"/>
  </si>
  <si>
    <t>2019年</t>
    <phoneticPr fontId="15" type="noConversion"/>
  </si>
  <si>
    <t>2020年</t>
    <phoneticPr fontId="15" type="noConversion"/>
  </si>
  <si>
    <t>管理费用实际发生统计（截止2020年7月27日）</t>
    <phoneticPr fontId="15" type="noConversion"/>
  </si>
  <si>
    <t>按销售额1%计算</t>
    <phoneticPr fontId="15" type="noConversion"/>
  </si>
  <si>
    <t>模拟清算确认</t>
  </si>
  <si>
    <t>模拟清算确认</t>
    <phoneticPr fontId="15" type="noConversion"/>
  </si>
  <si>
    <t>咨询费</t>
  </si>
  <si>
    <t>劳动保护费</t>
  </si>
  <si>
    <t>策划</t>
  </si>
  <si>
    <t>广告投放</t>
  </si>
  <si>
    <t>网络推广</t>
  </si>
  <si>
    <t>推广活动</t>
  </si>
  <si>
    <t>销售道具</t>
  </si>
  <si>
    <t>印刷品</t>
  </si>
  <si>
    <t>现场包装</t>
  </si>
  <si>
    <t>物料制作</t>
  </si>
  <si>
    <t>佣金</t>
  </si>
  <si>
    <t>营销设施费</t>
  </si>
  <si>
    <t>其他营销费用</t>
  </si>
  <si>
    <t>销售费用实际发生统计（截止2020年7月27日）</t>
    <phoneticPr fontId="15" type="noConversion"/>
  </si>
  <si>
    <t>按销售额2.5%计算</t>
    <phoneticPr fontId="15" type="noConversion"/>
  </si>
  <si>
    <t>五矿信托利息计算</t>
    <phoneticPr fontId="15" type="noConversion"/>
  </si>
  <si>
    <t>序号</t>
    <phoneticPr fontId="15" type="noConversion"/>
  </si>
  <si>
    <t>起息日</t>
    <phoneticPr fontId="15" type="noConversion"/>
  </si>
  <si>
    <t>截止日</t>
    <phoneticPr fontId="15" type="noConversion"/>
  </si>
  <si>
    <t>利息金额</t>
    <phoneticPr fontId="15" type="noConversion"/>
  </si>
  <si>
    <t>备注</t>
    <phoneticPr fontId="15" type="noConversion"/>
  </si>
  <si>
    <t>本金</t>
    <phoneticPr fontId="15" type="noConversion"/>
  </si>
  <si>
    <t>天数</t>
    <phoneticPr fontId="15" type="noConversion"/>
  </si>
  <si>
    <t>利率</t>
    <phoneticPr fontId="15" type="noConversion"/>
  </si>
  <si>
    <t>收开封圣桦往来款</t>
    <phoneticPr fontId="15" type="noConversion"/>
  </si>
  <si>
    <t>借方金额（项目公司付）</t>
    <phoneticPr fontId="15" type="noConversion"/>
  </si>
  <si>
    <t>贷方金额（项目公司收）</t>
    <phoneticPr fontId="15" type="noConversion"/>
  </si>
  <si>
    <t>收康养小镇往来款</t>
    <phoneticPr fontId="15" type="noConversion"/>
  </si>
  <si>
    <t>计息本金</t>
    <phoneticPr fontId="15" type="noConversion"/>
  </si>
  <si>
    <t>信托入资前利息及借款余额</t>
    <phoneticPr fontId="15" type="noConversion"/>
  </si>
  <si>
    <t>利息合计</t>
    <phoneticPr fontId="15" type="noConversion"/>
  </si>
  <si>
    <t>土地增值税</t>
    <phoneticPr fontId="15" type="noConversion"/>
  </si>
  <si>
    <t>审核</t>
    <phoneticPr fontId="15" type="noConversion"/>
  </si>
  <si>
    <t>项              目</t>
  </si>
  <si>
    <t xml:space="preserve">        营业税金及附加</t>
  </si>
  <si>
    <t xml:space="preserve">        销售费用</t>
  </si>
  <si>
    <t xml:space="preserve">        管理费用</t>
  </si>
  <si>
    <t xml:space="preserve">        财务费用</t>
  </si>
  <si>
    <t xml:space="preserve">        资产减值损失</t>
  </si>
  <si>
    <t xml:space="preserve">    加：公允价值变动收益</t>
  </si>
  <si>
    <t xml:space="preserve">        投资收益</t>
  </si>
  <si>
    <t xml:space="preserve">       其中：对联营企业和合营企业的投资收益</t>
  </si>
  <si>
    <t xml:space="preserve">    加： 营业外收入</t>
  </si>
  <si>
    <t xml:space="preserve">    减：营业外支出</t>
  </si>
  <si>
    <t xml:space="preserve">       其中：非流动资产处置损失</t>
  </si>
  <si>
    <t xml:space="preserve">三、利润总额 </t>
  </si>
  <si>
    <t xml:space="preserve">    减：所得税</t>
  </si>
  <si>
    <t>协议约定成本上限</t>
    <phoneticPr fontId="15" type="noConversion"/>
  </si>
  <si>
    <t>成本科目</t>
    <phoneticPr fontId="15" type="noConversion"/>
  </si>
  <si>
    <t>原规划建筑面积</t>
    <phoneticPr fontId="15" type="noConversion"/>
  </si>
  <si>
    <t>单方成本</t>
    <phoneticPr fontId="15" type="noConversion"/>
  </si>
  <si>
    <t>调整后建筑面积</t>
    <phoneticPr fontId="15" type="noConversion"/>
  </si>
  <si>
    <t>调整后成本</t>
    <phoneticPr fontId="15" type="noConversion"/>
  </si>
  <si>
    <t>按《合作开发协议》第2条，信托入资前关联方借款全部计息</t>
  </si>
  <si>
    <t>关联方借款余额及应计息本金</t>
  </si>
  <si>
    <t>收开封圣桦往来款</t>
  </si>
  <si>
    <t>19年四季度利息，已支付</t>
  </si>
  <si>
    <t>20年一季度利息，已支付</t>
  </si>
  <si>
    <t>20年二季度利息，已支付</t>
  </si>
  <si>
    <t>20年9月10日还本（1.26亿）付息，已支付</t>
  </si>
  <si>
    <t>20年三季度利息，待支付</t>
  </si>
  <si>
    <t>付开封圣桦往来款</t>
  </si>
  <si>
    <t>八、预缴土增税</t>
    <phoneticPr fontId="15" type="noConversion"/>
  </si>
  <si>
    <t>九、应退补</t>
    <phoneticPr fontId="15" type="noConversion"/>
  </si>
  <si>
    <t>19年股权违约金，已支付</t>
    <phoneticPr fontId="15" type="noConversion"/>
  </si>
  <si>
    <t>地上层数</t>
    <phoneticPr fontId="15" type="noConversion"/>
  </si>
  <si>
    <t>直接开发成本</t>
    <phoneticPr fontId="15" type="noConversion"/>
  </si>
  <si>
    <t>管理费用</t>
    <phoneticPr fontId="15" type="noConversion"/>
  </si>
  <si>
    <t>销售费用</t>
    <phoneticPr fontId="15" type="noConversion"/>
  </si>
  <si>
    <t>土地成本</t>
    <phoneticPr fontId="15" type="noConversion"/>
  </si>
  <si>
    <t>四、增值额超过扣除项目金额200%的部分，税率为60%。所以，增值额超过扣除项目金额200%的土地增值税税额=增值额×50%－扣除项目金额×15%+（增值额-扣除项目金额）×60%=增值额×60%－扣除项目金额×35%。</t>
    <phoneticPr fontId="15" type="noConversion"/>
  </si>
  <si>
    <t>土地成本</t>
    <phoneticPr fontId="15" type="noConversion"/>
  </si>
  <si>
    <t>出让金</t>
    <phoneticPr fontId="15" type="noConversion"/>
  </si>
  <si>
    <t>安置楼建设款</t>
    <phoneticPr fontId="15" type="noConversion"/>
  </si>
  <si>
    <t>旧村拆迁等费用</t>
    <phoneticPr fontId="15" type="noConversion"/>
  </si>
  <si>
    <t>契税</t>
    <phoneticPr fontId="15" type="noConversion"/>
  </si>
  <si>
    <t>允许扣除的土地价款</t>
    <phoneticPr fontId="15" type="noConversion"/>
  </si>
  <si>
    <t>一、营业收入（不含税）</t>
    <phoneticPr fontId="15" type="noConversion"/>
  </si>
  <si>
    <t>一、营业收入（含税）</t>
    <phoneticPr fontId="15" type="noConversion"/>
  </si>
  <si>
    <t xml:space="preserve">    减：营业成本（不含税）</t>
    <phoneticPr fontId="15" type="noConversion"/>
  </si>
  <si>
    <t>非普通住宅</t>
    <phoneticPr fontId="15" type="noConversion"/>
  </si>
  <si>
    <t>30%-60%</t>
    <phoneticPr fontId="15" type="noConversion"/>
  </si>
  <si>
    <t>一、转让房地产收入总额　 1＝2＋3</t>
  </si>
  <si>
    <t xml:space="preserve">利息支出　 </t>
  </si>
  <si>
    <t>　 5.财政部规定的其他扣除项目</t>
  </si>
  <si>
    <t>在表格下面列示价格依据</t>
    <phoneticPr fontId="15" type="noConversion"/>
  </si>
  <si>
    <t>依据：
《营业税改征增值税试点有关事项的规定》(财税〔2016]36号)；
《国家税务总局关于土地价款扣除时间等增值税征管问题的公告》(国家税务总局公告2016年第86号)</t>
    <phoneticPr fontId="15" type="noConversion"/>
  </si>
  <si>
    <t xml:space="preserve">   2.房地产开发成本　</t>
    <phoneticPr fontId="15" type="noConversion"/>
  </si>
  <si>
    <t>已发生</t>
    <phoneticPr fontId="15" type="noConversion"/>
  </si>
  <si>
    <t>待发生</t>
    <phoneticPr fontId="15" type="noConversion"/>
  </si>
  <si>
    <t>合计</t>
    <phoneticPr fontId="15" type="noConversion"/>
  </si>
  <si>
    <t>金额（元）</t>
  </si>
  <si>
    <t>公共配套设施费</t>
  </si>
  <si>
    <t>开发间接费</t>
  </si>
  <si>
    <t>加：公允价值变动收益</t>
  </si>
  <si>
    <t>加：营业外收入</t>
  </si>
  <si>
    <t>减：营业外支出</t>
  </si>
  <si>
    <t>减：所得税</t>
  </si>
  <si>
    <t>减：营业成本（2=3+4+5+6+7）（含税）</t>
    <phoneticPr fontId="15" type="noConversion"/>
  </si>
  <si>
    <t xml:space="preserve">              契税</t>
    <phoneticPr fontId="15" type="noConversion"/>
  </si>
  <si>
    <t xml:space="preserve">              拆迁补偿费</t>
    <phoneticPr fontId="15" type="noConversion"/>
  </si>
  <si>
    <t xml:space="preserve">              安置楼建设款</t>
    <phoneticPr fontId="15" type="noConversion"/>
  </si>
  <si>
    <t xml:space="preserve">              直接成本</t>
    <phoneticPr fontId="15" type="noConversion"/>
  </si>
  <si>
    <t xml:space="preserve"> 其中：土地款</t>
    <phoneticPr fontId="15" type="noConversion"/>
  </si>
  <si>
    <t xml:space="preserve">         其中：增值税</t>
    <phoneticPr fontId="15" type="noConversion"/>
  </si>
  <si>
    <t xml:space="preserve">         其中：销售费用</t>
    <phoneticPr fontId="15" type="noConversion"/>
  </si>
  <si>
    <t xml:space="preserve">               管理费用</t>
    <phoneticPr fontId="15" type="noConversion"/>
  </si>
  <si>
    <t xml:space="preserve">               财务费用</t>
    <phoneticPr fontId="15" type="noConversion"/>
  </si>
  <si>
    <t xml:space="preserve">               附加税</t>
    <phoneticPr fontId="15" type="noConversion"/>
  </si>
  <si>
    <t xml:space="preserve">               印花税</t>
    <phoneticPr fontId="15" type="noConversion"/>
  </si>
  <si>
    <t xml:space="preserve">               土地增值税</t>
    <phoneticPr fontId="15" type="noConversion"/>
  </si>
  <si>
    <t xml:space="preserve">    投资收益 </t>
    <phoneticPr fontId="15" type="noConversion"/>
  </si>
  <si>
    <t xml:space="preserve">         其中：对联营企业和合营企业的投资收益</t>
    <phoneticPr fontId="15" type="noConversion"/>
  </si>
  <si>
    <t xml:space="preserve">          其中：非流动资产处置损失</t>
    <phoneticPr fontId="15" type="noConversion"/>
  </si>
  <si>
    <t xml:space="preserve">    资产减值损失</t>
    <phoneticPr fontId="15" type="noConversion"/>
  </si>
  <si>
    <t xml:space="preserve">    增值税金及附加（8=9+10+11+12）</t>
    <phoneticPr fontId="15" type="noConversion"/>
  </si>
  <si>
    <t xml:space="preserve">    期间费用（13=14+15+16）</t>
    <phoneticPr fontId="15" type="noConversion"/>
  </si>
  <si>
    <t>二、营业利润（21=1-2-8-13-17+18+19）</t>
    <phoneticPr fontId="15" type="noConversion"/>
  </si>
  <si>
    <t>三、利润总额（25=21+22-23）</t>
    <phoneticPr fontId="15" type="noConversion"/>
  </si>
  <si>
    <t>四、净利润（27=25-26）</t>
    <phoneticPr fontId="15" type="noConversion"/>
  </si>
  <si>
    <t>成本上限（元）</t>
  </si>
  <si>
    <t>截至评估基准日预计项目总成本（元）</t>
  </si>
  <si>
    <t>已发生成本（元）</t>
  </si>
  <si>
    <t>截至评估基准日测算项目未发生成本（元）</t>
  </si>
  <si>
    <t>规划设计费</t>
  </si>
  <si>
    <t>主体建筑安装工程费</t>
  </si>
  <si>
    <t>市政基础设施工程费</t>
  </si>
  <si>
    <t>环境及景观工程费</t>
  </si>
  <si>
    <t>不可预见费</t>
  </si>
  <si>
    <t xml:space="preserve">二、扣除项目金额合计　 </t>
  </si>
  <si>
    <t>4＝5＋6＋7+10＋15</t>
  </si>
  <si>
    <t>　 1.取得土地使用权所支付的金额</t>
  </si>
  <si>
    <t>　 2.房地产开发成本　</t>
  </si>
  <si>
    <t>　 3.房地产开发费用　 7＝8＋9</t>
  </si>
  <si>
    <t>　 4.与转让房地产有关的税金等　</t>
  </si>
  <si>
    <t xml:space="preserve"> 10＝11＋12＋13+14</t>
  </si>
  <si>
    <t>四、增值额与扣除项目金额之比（％）</t>
  </si>
  <si>
    <t>17＝16÷4</t>
  </si>
  <si>
    <t>七、应缴土地增值税税额　</t>
  </si>
  <si>
    <t xml:space="preserve"> 20＝16×18－4×19</t>
  </si>
  <si>
    <t>前期费用</t>
    <phoneticPr fontId="15" type="noConversion"/>
  </si>
  <si>
    <t>主体建安工程费</t>
    <phoneticPr fontId="15" type="noConversion"/>
  </si>
  <si>
    <t>五矿宿迁模拟清算利润表（按照会计准则计算）</t>
    <phoneticPr fontId="15" type="noConversion"/>
  </si>
  <si>
    <t>五矿宿迁市宿城新区2021（经）C宿城07地块项目模拟清算可售面积参数表</t>
    <phoneticPr fontId="15" type="noConversion"/>
  </si>
  <si>
    <t>五矿宿迁市宿城新区2021（经）C宿城07地块项目模拟清算单价及货值</t>
    <phoneticPr fontId="15" type="noConversion"/>
  </si>
  <si>
    <t>五矿宿迁市宿城新区2021（经）C宿城07地块项目模拟清算销售收入计算</t>
    <phoneticPr fontId="15" type="noConversion"/>
  </si>
  <si>
    <t>五矿宿迁市宿城新区2021（经）C宿城07地块项目模拟清算项目成本计算</t>
    <phoneticPr fontId="15" type="noConversion"/>
  </si>
  <si>
    <t>五矿宿迁市宿城新区2021（经）C宿城07地块项目模拟清算增值税及附加计算</t>
    <phoneticPr fontId="15" type="noConversion"/>
  </si>
  <si>
    <t>五矿宿迁市宿城新区2021（经）C宿城07地块项目模拟清算土增税计算表</t>
    <phoneticPr fontId="15" type="noConversion"/>
  </si>
  <si>
    <t>高层</t>
  </si>
  <si>
    <t>洋房</t>
  </si>
  <si>
    <t>商业</t>
  </si>
  <si>
    <t>车位</t>
  </si>
  <si>
    <t>规划指标</t>
  </si>
  <si>
    <t>占比(计容)</t>
  </si>
  <si>
    <t>土地面积</t>
  </si>
  <si>
    <t>总建面</t>
  </si>
  <si>
    <t>容积率</t>
  </si>
  <si>
    <t>地上计容</t>
  </si>
  <si>
    <t>可售建面</t>
  </si>
  <si>
    <t>住宅</t>
  </si>
  <si>
    <t xml:space="preserve">    住宅-高层</t>
  </si>
  <si>
    <t xml:space="preserve">    住宅-洋房</t>
  </si>
  <si>
    <t>计容公建配套</t>
  </si>
  <si>
    <t>幼儿园</t>
  </si>
  <si>
    <t>不计容建面</t>
  </si>
  <si>
    <t>车位（个）</t>
  </si>
  <si>
    <t>楼面价（总建）</t>
  </si>
  <si>
    <t>楼面价（计容）</t>
  </si>
  <si>
    <t>楼面价(可售)</t>
  </si>
  <si>
    <t>6-11F</t>
    <phoneticPr fontId="15" type="noConversion"/>
  </si>
  <si>
    <t>19-27F</t>
    <phoneticPr fontId="15" type="noConversion"/>
  </si>
  <si>
    <t>面积</t>
    <phoneticPr fontId="15" type="noConversion"/>
  </si>
  <si>
    <t>普通住宅</t>
    <phoneticPr fontId="15" type="noConversion"/>
  </si>
  <si>
    <t>非普通住宅</t>
    <phoneticPr fontId="15" type="noConversion"/>
  </si>
  <si>
    <t>直接成本分摊（不含税）</t>
    <phoneticPr fontId="15" type="noConversion"/>
  </si>
  <si>
    <t>印花税</t>
    <phoneticPr fontId="15" type="noConversion"/>
  </si>
  <si>
    <t>规划勘察设计费用</t>
    <phoneticPr fontId="15" type="noConversion"/>
  </si>
  <si>
    <t>报批报建费</t>
    <phoneticPr fontId="15" type="noConversion"/>
  </si>
  <si>
    <t>三通一平费用</t>
    <phoneticPr fontId="15" type="noConversion"/>
  </si>
  <si>
    <t>2.1.1</t>
    <phoneticPr fontId="15" type="noConversion"/>
  </si>
  <si>
    <t>2.1.2</t>
    <phoneticPr fontId="15" type="noConversion"/>
  </si>
  <si>
    <t>2.2.3</t>
  </si>
  <si>
    <t>2.1.3</t>
    <phoneticPr fontId="15" type="noConversion"/>
  </si>
  <si>
    <t>建安工程费用</t>
    <phoneticPr fontId="15" type="noConversion"/>
  </si>
  <si>
    <t>附属工程费用</t>
    <phoneticPr fontId="15" type="noConversion"/>
  </si>
  <si>
    <t>室外工程费用</t>
    <phoneticPr fontId="15" type="noConversion"/>
  </si>
  <si>
    <t>2.2.1</t>
    <phoneticPr fontId="15" type="noConversion"/>
  </si>
  <si>
    <t>2.2.2</t>
    <phoneticPr fontId="15" type="noConversion"/>
  </si>
  <si>
    <t>2.1.4</t>
    <phoneticPr fontId="15" type="noConversion"/>
  </si>
  <si>
    <t>城市基础设施建设费</t>
  </si>
  <si>
    <t>印花税复核</t>
    <phoneticPr fontId="15" type="noConversion"/>
  </si>
  <si>
    <t>一、增值额未超过扣除项目金额50%的部分，税率为30%。所以，土地增值税税额=增值额×30%。</t>
    <phoneticPr fontId="15" type="noConversion"/>
  </si>
  <si>
    <t>二、增值额超过扣除项目金额50%、未超过扣除项目金额100%的部分，税率为40%。所以，增值额超过扣除项目金额50%，未超过100%的土地增值税税额=扣除项目金额×50%×30%+(增值额-扣除项目金额×50%)×40%=增值额×40%－扣除项目金额×5%。</t>
    <phoneticPr fontId="15" type="noConversion"/>
  </si>
  <si>
    <t>三、增值额超过扣除项目金额100%、未超过扣除项目金额200%的部分，税率为50%。所以，增值额超过扣除项目金额100%，未超过200%的土地增值税税额=增值额×40%－扣除项目金额×5%+（增值额-扣除项目金额）×50%=增值额×50%－扣除项目金额×15%。</t>
    <phoneticPr fontId="15" type="noConversion"/>
  </si>
  <si>
    <t>车位面积</t>
    <phoneticPr fontId="15" type="noConversion"/>
  </si>
  <si>
    <t>销售面积（㎡）</t>
    <phoneticPr fontId="15" type="noConversion"/>
  </si>
  <si>
    <t>销售均价(元/平)</t>
    <phoneticPr fontId="15" type="noConversion"/>
  </si>
  <si>
    <t>个</t>
    <phoneticPr fontId="15" type="noConversion"/>
  </si>
  <si>
    <t>按地上可售面积分摊</t>
    <phoneticPr fontId="15" type="noConversion"/>
  </si>
  <si>
    <t>按整体可售面积分摊</t>
    <phoneticPr fontId="15" type="noConversion"/>
  </si>
  <si>
    <t>上述成本合计</t>
    <phoneticPr fontId="15" type="noConversion"/>
  </si>
  <si>
    <t>6%-9%</t>
    <phoneticPr fontId="15" type="noConversion"/>
  </si>
  <si>
    <t>按照整体可售面积分摊</t>
    <phoneticPr fontId="15" type="noConversion"/>
  </si>
  <si>
    <t>土地出让金</t>
    <phoneticPr fontId="15" type="noConversion"/>
  </si>
  <si>
    <t>契税</t>
    <phoneticPr fontId="15" type="noConversion"/>
  </si>
  <si>
    <t>印花税（按销售货值计算）</t>
  </si>
  <si>
    <t>印花税（按销售货值计算）</t>
    <phoneticPr fontId="15" type="noConversion"/>
  </si>
  <si>
    <t>契税及印花税分摊</t>
    <phoneticPr fontId="15" type="noConversion"/>
  </si>
  <si>
    <t>其中：土地款</t>
  </si>
  <si>
    <t>契税</t>
  </si>
  <si>
    <r>
      <t>增值税金及附加（</t>
    </r>
    <r>
      <rPr>
        <b/>
        <sz val="10.5"/>
        <color theme="1"/>
        <rFont val="Times New Roman"/>
        <family val="1"/>
      </rPr>
      <t>8=9+10+11+12</t>
    </r>
    <r>
      <rPr>
        <b/>
        <sz val="10.5"/>
        <color theme="1"/>
        <rFont val="仿宋_GB2312"/>
        <family val="3"/>
        <charset val="134"/>
      </rPr>
      <t>）</t>
    </r>
  </si>
  <si>
    <t>印花税</t>
  </si>
  <si>
    <t>土地增值税</t>
  </si>
  <si>
    <t>-</t>
  </si>
  <si>
    <r>
      <t>期间费用（</t>
    </r>
    <r>
      <rPr>
        <b/>
        <sz val="10.5"/>
        <color theme="1"/>
        <rFont val="Times New Roman"/>
        <family val="1"/>
      </rPr>
      <t>13=14+15+16</t>
    </r>
    <r>
      <rPr>
        <b/>
        <sz val="10.5"/>
        <color theme="1"/>
        <rFont val="仿宋_GB2312"/>
        <family val="3"/>
        <charset val="134"/>
      </rPr>
      <t>）</t>
    </r>
  </si>
  <si>
    <t>其中：销售费用</t>
  </si>
  <si>
    <t>资产减值损失</t>
  </si>
  <si>
    <t>投资收益</t>
  </si>
  <si>
    <t>其中：对联营企业和合营企业的投资收益</t>
  </si>
  <si>
    <r>
      <t>二、营业利润（</t>
    </r>
    <r>
      <rPr>
        <b/>
        <sz val="10.5"/>
        <color theme="1"/>
        <rFont val="Times New Roman"/>
        <family val="1"/>
      </rPr>
      <t>21=1-2-8-13-17+18+19</t>
    </r>
    <r>
      <rPr>
        <b/>
        <sz val="10.5"/>
        <color theme="1"/>
        <rFont val="仿宋_GB2312"/>
        <family val="3"/>
        <charset val="134"/>
      </rPr>
      <t>）</t>
    </r>
  </si>
  <si>
    <t>其中：非流动资产处置损失</t>
  </si>
  <si>
    <r>
      <t>三、利润总额（</t>
    </r>
    <r>
      <rPr>
        <b/>
        <sz val="10.5"/>
        <color theme="1"/>
        <rFont val="Times New Roman"/>
        <family val="1"/>
      </rPr>
      <t>25=21+22-23</t>
    </r>
    <r>
      <rPr>
        <b/>
        <sz val="10.5"/>
        <color theme="1"/>
        <rFont val="仿宋_GB2312"/>
        <family val="3"/>
        <charset val="134"/>
      </rPr>
      <t>）</t>
    </r>
  </si>
  <si>
    <r>
      <t>四、净利润（</t>
    </r>
    <r>
      <rPr>
        <b/>
        <sz val="10.5"/>
        <color theme="1"/>
        <rFont val="Times New Roman"/>
        <family val="1"/>
      </rPr>
      <t>27=25-26</t>
    </r>
    <r>
      <rPr>
        <b/>
        <sz val="10.5"/>
        <color theme="1"/>
        <rFont val="仿宋_GB2312"/>
        <family val="3"/>
        <charset val="134"/>
      </rPr>
      <t>）</t>
    </r>
  </si>
  <si>
    <t xml:space="preserve">   3.房地产开发费用　</t>
    <phoneticPr fontId="15" type="noConversion"/>
  </si>
  <si>
    <t>　 1.取得土地使用权所支付的金额（出让金及契税、土地印花税）</t>
    <phoneticPr fontId="15" type="noConversion"/>
  </si>
  <si>
    <r>
      <t>减：营业成本（</t>
    </r>
    <r>
      <rPr>
        <b/>
        <sz val="10.5"/>
        <color theme="1"/>
        <rFont val="Times New Roman"/>
        <family val="1"/>
      </rPr>
      <t>2=3+4+5+6+7</t>
    </r>
    <r>
      <rPr>
        <b/>
        <sz val="10.5"/>
        <color theme="1"/>
        <rFont val="仿宋_GB2312"/>
        <family val="3"/>
        <charset val="134"/>
      </rPr>
      <t>）（不含税）</t>
    </r>
    <phoneticPr fontId="15" type="noConversion"/>
  </si>
  <si>
    <t>印花税</t>
    <phoneticPr fontId="15" type="noConversion"/>
  </si>
  <si>
    <t>其中：附加税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</si>
</sst>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76" formatCode="_ * #,##0.00_ ;_ * \-#,##0.00_ ;_ * &quot;-&quot;??_ ;_ @_ "/>
    <numFmt numFmtId="177" formatCode="#,##0.00_ "/>
    <numFmt numFmtId="178" formatCode="#,##0.00_);[Red]\(#,##0.00\)"/>
    <numFmt numFmtId="179" formatCode="_(* #,##0.00_);_(* \(#,##0.00\);_(* &quot;-&quot;??_);_(@_)"/>
    <numFmt numFmtId="180" formatCode="#,##0_);[Red]\(#,##0\)"/>
    <numFmt numFmtId="181" formatCode="0_);[Red]\(0\)"/>
  </numFmts>
  <fonts count="4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MS Sans Serif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Malgun Gothic Semilight"/>
      <family val="2"/>
      <charset val="134"/>
    </font>
    <font>
      <b/>
      <sz val="10"/>
      <color theme="1"/>
      <name val="Malgun Gothic Semilight"/>
      <family val="2"/>
      <charset val="134"/>
    </font>
    <font>
      <sz val="10"/>
      <name val="Malgun Gothic Semilight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.5"/>
      <name val="仿宋_GB2312"/>
      <family val="3"/>
      <charset val="134"/>
    </font>
    <font>
      <sz val="11"/>
      <name val="宋体"/>
      <family val="3"/>
      <charset val="134"/>
      <scheme val="minor"/>
    </font>
    <font>
      <i/>
      <sz val="10.5"/>
      <name val="仿宋_GB2312"/>
      <family val="3"/>
      <charset val="134"/>
    </font>
    <font>
      <sz val="10.5"/>
      <name val="仿宋_GB2312"/>
      <family val="3"/>
      <charset val="134"/>
    </font>
    <font>
      <b/>
      <i/>
      <sz val="10.5"/>
      <name val="仿宋_GB2312"/>
      <family val="3"/>
      <charset val="134"/>
    </font>
    <font>
      <sz val="10.5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4"/>
      <name val="黑体"/>
      <family val="3"/>
      <charset val="134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8"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6" fontId="10" fillId="0" borderId="0" applyFont="0" applyFill="0" applyBorder="0" applyAlignment="0" applyProtection="0">
      <alignment vertical="center"/>
    </xf>
    <xf numFmtId="3" fontId="12" fillId="0" borderId="15"/>
    <xf numFmtId="3" fontId="12" fillId="0" borderId="15"/>
    <xf numFmtId="0" fontId="13" fillId="0" borderId="0"/>
    <xf numFmtId="0" fontId="1" fillId="0" borderId="0"/>
    <xf numFmtId="176" fontId="1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0" fillId="0" borderId="0">
      <alignment vertical="center"/>
    </xf>
    <xf numFmtId="0" fontId="10" fillId="0" borderId="0"/>
    <xf numFmtId="179" fontId="11" fillId="0" borderId="0" applyFont="0" applyFill="0" applyBorder="0" applyAlignment="0" applyProtection="0"/>
    <xf numFmtId="0" fontId="10" fillId="0" borderId="0">
      <alignment vertical="center"/>
    </xf>
    <xf numFmtId="176" fontId="1" fillId="0" borderId="0" applyFont="0" applyFill="0" applyBorder="0" applyAlignment="0" applyProtection="0"/>
    <xf numFmtId="0" fontId="14" fillId="0" borderId="0">
      <alignment vertical="center"/>
    </xf>
    <xf numFmtId="9" fontId="21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0" fillId="0" borderId="15" xfId="0" applyBorder="1">
      <alignment vertical="center"/>
    </xf>
    <xf numFmtId="0" fontId="3" fillId="0" borderId="11" xfId="1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center" wrapText="1"/>
    </xf>
    <xf numFmtId="176" fontId="3" fillId="0" borderId="12" xfId="11" applyNumberFormat="1" applyFont="1" applyBorder="1" applyAlignment="1">
      <alignment horizontal="center" vertical="center" wrapText="1"/>
    </xf>
    <xf numFmtId="0" fontId="3" fillId="0" borderId="12" xfId="11" applyFont="1" applyFill="1" applyBorder="1" applyAlignment="1">
      <alignment horizontal="center" vertical="center" wrapText="1"/>
    </xf>
    <xf numFmtId="0" fontId="3" fillId="0" borderId="13" xfId="11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9" fillId="0" borderId="14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0" fillId="0" borderId="15" xfId="0" applyFont="1" applyBorder="1" applyAlignment="1">
      <alignment horizontal="center" vertical="center"/>
    </xf>
    <xf numFmtId="176" fontId="0" fillId="0" borderId="15" xfId="1" applyFont="1" applyBorder="1">
      <alignment vertical="center"/>
    </xf>
    <xf numFmtId="0" fontId="0" fillId="0" borderId="24" xfId="0" applyBorder="1">
      <alignment vertical="center"/>
    </xf>
    <xf numFmtId="176" fontId="0" fillId="4" borderId="0" xfId="0" applyNumberFormat="1" applyFill="1">
      <alignment vertical="center"/>
    </xf>
    <xf numFmtId="0" fontId="0" fillId="0" borderId="24" xfId="0" applyFont="1" applyFill="1" applyBorder="1">
      <alignment vertical="center"/>
    </xf>
    <xf numFmtId="0" fontId="0" fillId="0" borderId="0" xfId="0" applyBorder="1">
      <alignment vertical="center"/>
    </xf>
    <xf numFmtId="176" fontId="0" fillId="3" borderId="15" xfId="1" applyFont="1" applyFill="1" applyBorder="1">
      <alignment vertical="center"/>
    </xf>
    <xf numFmtId="176" fontId="0" fillId="3" borderId="0" xfId="0" applyNumberFormat="1" applyFill="1">
      <alignment vertical="center"/>
    </xf>
    <xf numFmtId="176" fontId="0" fillId="3" borderId="24" xfId="0" applyNumberFormat="1" applyFill="1" applyBorder="1">
      <alignment vertical="center"/>
    </xf>
    <xf numFmtId="0" fontId="9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/>
    </xf>
    <xf numFmtId="176" fontId="18" fillId="0" borderId="26" xfId="0" applyNumberFormat="1" applyFont="1" applyBorder="1">
      <alignment vertical="center"/>
    </xf>
    <xf numFmtId="176" fontId="18" fillId="0" borderId="26" xfId="1" applyFont="1" applyBorder="1">
      <alignment vertical="center"/>
    </xf>
    <xf numFmtId="176" fontId="18" fillId="3" borderId="26" xfId="1" applyFont="1" applyFill="1" applyBorder="1">
      <alignment vertical="center"/>
    </xf>
    <xf numFmtId="0" fontId="3" fillId="0" borderId="26" xfId="0" applyFont="1" applyFill="1" applyBorder="1">
      <alignment vertical="center"/>
    </xf>
    <xf numFmtId="176" fontId="19" fillId="0" borderId="26" xfId="0" applyNumberFormat="1" applyFont="1" applyBorder="1">
      <alignment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26" xfId="1" applyFont="1" applyBorder="1">
      <alignment vertical="center"/>
    </xf>
    <xf numFmtId="0" fontId="4" fillId="0" borderId="28" xfId="11" applyFont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/>
    </xf>
    <xf numFmtId="0" fontId="4" fillId="0" borderId="26" xfId="11" applyFont="1" applyBorder="1">
      <alignment vertical="center"/>
    </xf>
    <xf numFmtId="176" fontId="4" fillId="0" borderId="26" xfId="11" applyNumberFormat="1" applyFont="1" applyBorder="1">
      <alignment vertical="center"/>
    </xf>
    <xf numFmtId="14" fontId="4" fillId="0" borderId="26" xfId="0" applyNumberFormat="1" applyFont="1" applyBorder="1" applyAlignment="1">
      <alignment horizontal="center" vertical="center"/>
    </xf>
    <xf numFmtId="181" fontId="5" fillId="0" borderId="26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77" fontId="5" fillId="0" borderId="26" xfId="0" applyNumberFormat="1" applyFont="1" applyBorder="1">
      <alignment vertical="center"/>
    </xf>
    <xf numFmtId="0" fontId="3" fillId="0" borderId="27" xfId="11" applyFont="1" applyFill="1" applyBorder="1" applyAlignment="1">
      <alignment horizontal="center" vertical="center" wrapText="1"/>
    </xf>
    <xf numFmtId="0" fontId="6" fillId="6" borderId="28" xfId="11" applyFont="1" applyFill="1" applyBorder="1" applyAlignment="1">
      <alignment horizontal="center" vertical="center"/>
    </xf>
    <xf numFmtId="14" fontId="6" fillId="6" borderId="26" xfId="0" applyNumberFormat="1" applyFont="1" applyFill="1" applyBorder="1" applyAlignment="1">
      <alignment horizontal="center" vertical="center"/>
    </xf>
    <xf numFmtId="0" fontId="6" fillId="6" borderId="26" xfId="11" applyFont="1" applyFill="1" applyBorder="1">
      <alignment vertical="center"/>
    </xf>
    <xf numFmtId="176" fontId="6" fillId="6" borderId="26" xfId="1" applyFont="1" applyFill="1" applyBorder="1">
      <alignment vertical="center"/>
    </xf>
    <xf numFmtId="176" fontId="6" fillId="6" borderId="26" xfId="11" applyNumberFormat="1" applyFont="1" applyFill="1" applyBorder="1">
      <alignment vertical="center"/>
    </xf>
    <xf numFmtId="181" fontId="6" fillId="6" borderId="26" xfId="0" applyNumberFormat="1" applyFont="1" applyFill="1" applyBorder="1" applyAlignment="1">
      <alignment horizontal="center" vertical="center"/>
    </xf>
    <xf numFmtId="10" fontId="6" fillId="6" borderId="26" xfId="0" applyNumberFormat="1" applyFont="1" applyFill="1" applyBorder="1" applyAlignment="1">
      <alignment horizontal="center" vertical="center"/>
    </xf>
    <xf numFmtId="177" fontId="6" fillId="6" borderId="26" xfId="0" applyNumberFormat="1" applyFont="1" applyFill="1" applyBorder="1">
      <alignment vertical="center"/>
    </xf>
    <xf numFmtId="0" fontId="4" fillId="6" borderId="27" xfId="0" applyFont="1" applyFill="1" applyBorder="1" applyAlignment="1">
      <alignment vertical="center" wrapText="1"/>
    </xf>
    <xf numFmtId="0" fontId="6" fillId="6" borderId="29" xfId="11" applyFont="1" applyFill="1" applyBorder="1" applyAlignment="1">
      <alignment horizontal="center" vertical="center"/>
    </xf>
    <xf numFmtId="14" fontId="6" fillId="6" borderId="30" xfId="0" applyNumberFormat="1" applyFont="1" applyFill="1" applyBorder="1" applyAlignment="1">
      <alignment horizontal="center" vertical="center"/>
    </xf>
    <xf numFmtId="0" fontId="6" fillId="6" borderId="30" xfId="11" applyFont="1" applyFill="1" applyBorder="1">
      <alignment vertical="center"/>
    </xf>
    <xf numFmtId="176" fontId="6" fillId="6" borderId="30" xfId="11" applyNumberFormat="1" applyFont="1" applyFill="1" applyBorder="1">
      <alignment vertical="center"/>
    </xf>
    <xf numFmtId="181" fontId="6" fillId="6" borderId="30" xfId="0" applyNumberFormat="1" applyFont="1" applyFill="1" applyBorder="1" applyAlignment="1">
      <alignment horizontal="center" vertical="center"/>
    </xf>
    <xf numFmtId="10" fontId="6" fillId="6" borderId="30" xfId="0" applyNumberFormat="1" applyFont="1" applyFill="1" applyBorder="1" applyAlignment="1">
      <alignment horizontal="center" vertical="center"/>
    </xf>
    <xf numFmtId="177" fontId="6" fillId="6" borderId="30" xfId="0" applyNumberFormat="1" applyFont="1" applyFill="1" applyBorder="1">
      <alignment vertical="center"/>
    </xf>
    <xf numFmtId="0" fontId="3" fillId="6" borderId="31" xfId="1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7" fillId="0" borderId="15" xfId="1" applyFont="1" applyBorder="1" applyAlignment="1">
      <alignment horizontal="right" vertical="center"/>
    </xf>
    <xf numFmtId="0" fontId="7" fillId="0" borderId="26" xfId="0" applyFont="1" applyBorder="1">
      <alignment vertical="center"/>
    </xf>
    <xf numFmtId="176" fontId="7" fillId="0" borderId="26" xfId="1" applyFont="1" applyBorder="1" applyAlignment="1">
      <alignment horizontal="right" vertical="center"/>
    </xf>
    <xf numFmtId="0" fontId="7" fillId="0" borderId="26" xfId="0" applyFont="1" applyBorder="1" applyAlignment="1">
      <alignment vertical="center" wrapText="1"/>
    </xf>
    <xf numFmtId="14" fontId="7" fillId="0" borderId="15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right" vertical="center"/>
    </xf>
    <xf numFmtId="176" fontId="20" fillId="3" borderId="26" xfId="1" applyFont="1" applyFill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176" fontId="9" fillId="0" borderId="0" xfId="1" applyFont="1">
      <alignment vertical="center"/>
    </xf>
    <xf numFmtId="43" fontId="9" fillId="0" borderId="0" xfId="0" applyNumberFormat="1" applyFont="1">
      <alignment vertical="center"/>
    </xf>
    <xf numFmtId="43" fontId="23" fillId="0" borderId="0" xfId="0" applyNumberFormat="1" applyFont="1">
      <alignment vertical="center"/>
    </xf>
    <xf numFmtId="0" fontId="22" fillId="0" borderId="2" xfId="8" applyFont="1" applyFill="1" applyBorder="1" applyAlignment="1">
      <alignment horizontal="center" vertical="center"/>
    </xf>
    <xf numFmtId="0" fontId="22" fillId="0" borderId="2" xfId="8" applyNumberFormat="1" applyFont="1" applyFill="1" applyBorder="1" applyAlignment="1">
      <alignment horizontal="center" vertical="center"/>
    </xf>
    <xf numFmtId="176" fontId="22" fillId="0" borderId="2" xfId="8" applyNumberFormat="1" applyFont="1" applyBorder="1" applyAlignment="1">
      <alignment vertical="center"/>
    </xf>
    <xf numFmtId="0" fontId="22" fillId="0" borderId="2" xfId="8" applyNumberFormat="1" applyFont="1" applyBorder="1" applyAlignment="1">
      <alignment horizontal="center" vertical="center"/>
    </xf>
    <xf numFmtId="178" fontId="22" fillId="0" borderId="2" xfId="8" applyNumberFormat="1" applyFont="1" applyBorder="1" applyAlignment="1">
      <alignment horizontal="right" vertical="center" wrapText="1"/>
    </xf>
    <xf numFmtId="178" fontId="9" fillId="0" borderId="0" xfId="0" applyNumberFormat="1" applyFont="1">
      <alignment vertical="center"/>
    </xf>
    <xf numFmtId="176" fontId="22" fillId="0" borderId="2" xfId="8" applyNumberFormat="1" applyFont="1" applyBorder="1" applyAlignment="1">
      <alignment horizontal="left" vertical="center"/>
    </xf>
    <xf numFmtId="178" fontId="22" fillId="0" borderId="2" xfId="15" applyNumberFormat="1" applyFont="1" applyBorder="1" applyAlignment="1">
      <alignment horizontal="right" vertical="center" wrapText="1"/>
    </xf>
    <xf numFmtId="176" fontId="22" fillId="2" borderId="2" xfId="8" applyNumberFormat="1" applyFont="1" applyFill="1" applyBorder="1" applyAlignment="1">
      <alignment vertical="center"/>
    </xf>
    <xf numFmtId="0" fontId="22" fillId="2" borderId="2" xfId="8" applyNumberFormat="1" applyFont="1" applyFill="1" applyBorder="1" applyAlignment="1">
      <alignment horizontal="center" vertical="center"/>
    </xf>
    <xf numFmtId="178" fontId="22" fillId="2" borderId="2" xfId="15" applyNumberFormat="1" applyFont="1" applyFill="1" applyBorder="1" applyAlignment="1">
      <alignment horizontal="right" vertical="center" wrapText="1"/>
    </xf>
    <xf numFmtId="178" fontId="22" fillId="2" borderId="2" xfId="8" applyNumberFormat="1" applyFont="1" applyFill="1" applyBorder="1" applyAlignment="1">
      <alignment horizontal="right" vertical="center" wrapText="1"/>
    </xf>
    <xf numFmtId="9" fontId="9" fillId="0" borderId="0" xfId="17" applyFont="1">
      <alignment vertical="center"/>
    </xf>
    <xf numFmtId="0" fontId="9" fillId="0" borderId="0" xfId="0" applyFont="1" applyAlignment="1">
      <alignment horizontal="center" vertical="center"/>
    </xf>
    <xf numFmtId="176" fontId="23" fillId="0" borderId="0" xfId="1" applyFont="1" applyFill="1">
      <alignment vertical="center"/>
    </xf>
    <xf numFmtId="0" fontId="22" fillId="0" borderId="0" xfId="0" applyFont="1">
      <alignment vertical="center"/>
    </xf>
    <xf numFmtId="176" fontId="22" fillId="0" borderId="15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6" fontId="9" fillId="0" borderId="15" xfId="1" applyFont="1" applyFill="1" applyBorder="1" applyAlignment="1">
      <alignment horizontal="center" vertical="center" wrapText="1"/>
    </xf>
    <xf numFmtId="176" fontId="9" fillId="5" borderId="15" xfId="1" applyFont="1" applyFill="1" applyBorder="1" applyAlignment="1">
      <alignment horizontal="center" vertical="center" wrapText="1"/>
    </xf>
    <xf numFmtId="176" fontId="23" fillId="0" borderId="15" xfId="1" applyFont="1" applyBorder="1" applyAlignment="1">
      <alignment horizontal="center" vertical="center" wrapText="1"/>
    </xf>
    <xf numFmtId="176" fontId="9" fillId="5" borderId="16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3" fillId="0" borderId="18" xfId="1" applyFont="1" applyFill="1" applyBorder="1" applyAlignment="1">
      <alignment horizontal="center" vertical="center" wrapText="1"/>
    </xf>
    <xf numFmtId="176" fontId="3" fillId="5" borderId="18" xfId="1" applyFont="1" applyFill="1" applyBorder="1" applyAlignment="1">
      <alignment horizontal="center" vertical="center" wrapText="1"/>
    </xf>
    <xf numFmtId="176" fontId="25" fillId="0" borderId="18" xfId="1" applyFont="1" applyBorder="1" applyAlignment="1">
      <alignment horizontal="center" vertical="center" wrapText="1"/>
    </xf>
    <xf numFmtId="176" fontId="26" fillId="0" borderId="18" xfId="1" applyFont="1" applyBorder="1" applyAlignment="1">
      <alignment horizontal="right" vertical="center" wrapText="1"/>
    </xf>
    <xf numFmtId="0" fontId="9" fillId="0" borderId="0" xfId="0" applyFont="1" applyFill="1" applyBorder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5" xfId="0" applyFont="1" applyFill="1" applyBorder="1">
      <alignment vertical="center"/>
    </xf>
    <xf numFmtId="0" fontId="26" fillId="0" borderId="15" xfId="0" applyFont="1" applyFill="1" applyBorder="1" applyAlignment="1">
      <alignment vertical="center" wrapText="1"/>
    </xf>
    <xf numFmtId="176" fontId="26" fillId="0" borderId="15" xfId="1" applyFont="1" applyFill="1" applyBorder="1">
      <alignment vertical="center"/>
    </xf>
    <xf numFmtId="0" fontId="26" fillId="0" borderId="15" xfId="0" applyFont="1" applyFill="1" applyBorder="1" applyAlignment="1">
      <alignment horizontal="center" vertical="center"/>
    </xf>
    <xf numFmtId="176" fontId="22" fillId="0" borderId="0" xfId="0" applyNumberFormat="1" applyFont="1" applyFill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>
      <alignment vertical="center"/>
    </xf>
    <xf numFmtId="0" fontId="22" fillId="0" borderId="15" xfId="0" applyFont="1" applyFill="1" applyBorder="1" applyAlignment="1">
      <alignment vertical="center" wrapText="1"/>
    </xf>
    <xf numFmtId="176" fontId="22" fillId="0" borderId="15" xfId="1" applyFont="1" applyFill="1" applyBorder="1">
      <alignment vertical="center"/>
    </xf>
    <xf numFmtId="0" fontId="22" fillId="0" borderId="15" xfId="0" applyFont="1" applyFill="1" applyBorder="1" applyAlignment="1">
      <alignment horizontal="center" vertical="center"/>
    </xf>
    <xf numFmtId="176" fontId="22" fillId="0" borderId="15" xfId="0" applyNumberFormat="1" applyFont="1" applyFill="1" applyBorder="1" applyAlignment="1">
      <alignment horizontal="center" vertical="center"/>
    </xf>
    <xf numFmtId="9" fontId="22" fillId="0" borderId="15" xfId="0" applyNumberFormat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176" fontId="26" fillId="0" borderId="15" xfId="1" applyFont="1" applyFill="1" applyBorder="1" applyAlignment="1">
      <alignment horizontal="right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18" xfId="0" applyFont="1" applyFill="1" applyBorder="1">
      <alignment vertical="center"/>
    </xf>
    <xf numFmtId="0" fontId="26" fillId="0" borderId="18" xfId="0" applyFont="1" applyFill="1" applyBorder="1" applyAlignment="1">
      <alignment vertical="center" wrapText="1"/>
    </xf>
    <xf numFmtId="176" fontId="26" fillId="0" borderId="18" xfId="1" applyFont="1" applyFill="1" applyBorder="1">
      <alignment vertical="center"/>
    </xf>
    <xf numFmtId="9" fontId="26" fillId="0" borderId="18" xfId="0" applyNumberFormat="1" applyFont="1" applyFill="1" applyBorder="1" applyAlignment="1">
      <alignment horizontal="center" vertical="center"/>
    </xf>
    <xf numFmtId="176" fontId="26" fillId="0" borderId="18" xfId="0" applyNumberFormat="1" applyFont="1" applyFill="1" applyBorder="1">
      <alignment vertical="center"/>
    </xf>
    <xf numFmtId="4" fontId="22" fillId="0" borderId="0" xfId="0" applyNumberFormat="1" applyFont="1" applyFill="1">
      <alignment vertical="center"/>
    </xf>
    <xf numFmtId="0" fontId="22" fillId="0" borderId="25" xfId="14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26" fillId="0" borderId="34" xfId="0" applyFont="1" applyFill="1" applyBorder="1" applyAlignment="1">
      <alignment horizontal="center" vertical="center"/>
    </xf>
    <xf numFmtId="176" fontId="26" fillId="0" borderId="23" xfId="1" applyFont="1" applyFill="1" applyBorder="1">
      <alignment vertical="center"/>
    </xf>
    <xf numFmtId="176" fontId="22" fillId="0" borderId="23" xfId="1" applyFont="1" applyFill="1" applyBorder="1">
      <alignment vertical="center"/>
    </xf>
    <xf numFmtId="176" fontId="26" fillId="0" borderId="35" xfId="1" applyFont="1" applyFill="1" applyBorder="1">
      <alignment vertical="center"/>
    </xf>
    <xf numFmtId="176" fontId="22" fillId="0" borderId="32" xfId="0" applyNumberFormat="1" applyFont="1" applyFill="1" applyBorder="1">
      <alignment vertical="center"/>
    </xf>
    <xf numFmtId="0" fontId="22" fillId="0" borderId="32" xfId="0" applyFont="1" applyFill="1" applyBorder="1">
      <alignment vertical="center"/>
    </xf>
    <xf numFmtId="43" fontId="22" fillId="0" borderId="32" xfId="0" applyNumberFormat="1" applyFont="1" applyFill="1" applyBorder="1">
      <alignment vertical="center"/>
    </xf>
    <xf numFmtId="0" fontId="22" fillId="0" borderId="36" xfId="0" applyFont="1" applyFill="1" applyBorder="1">
      <alignment vertical="center"/>
    </xf>
    <xf numFmtId="0" fontId="22" fillId="0" borderId="41" xfId="14" applyFont="1" applyFill="1" applyBorder="1" applyAlignment="1">
      <alignment horizontal="center" vertical="center" wrapText="1"/>
    </xf>
    <xf numFmtId="176" fontId="9" fillId="0" borderId="0" xfId="1" applyFont="1" applyAlignment="1">
      <alignment horizontal="right" vertical="center"/>
    </xf>
    <xf numFmtId="176" fontId="26" fillId="0" borderId="33" xfId="1" applyFont="1" applyFill="1" applyBorder="1">
      <alignment vertical="center"/>
    </xf>
    <xf numFmtId="176" fontId="22" fillId="0" borderId="33" xfId="1" applyFont="1" applyFill="1" applyBorder="1">
      <alignment vertical="center"/>
    </xf>
    <xf numFmtId="176" fontId="26" fillId="0" borderId="33" xfId="1" applyFont="1" applyFill="1" applyBorder="1" applyAlignment="1">
      <alignment horizontal="right" vertical="center"/>
    </xf>
    <xf numFmtId="176" fontId="26" fillId="0" borderId="30" xfId="1" applyFont="1" applyFill="1" applyBorder="1">
      <alignment vertical="center"/>
    </xf>
    <xf numFmtId="0" fontId="31" fillId="0" borderId="46" xfId="0" applyFont="1" applyBorder="1" applyAlignment="1">
      <alignment horizontal="left" vertical="center"/>
    </xf>
    <xf numFmtId="0" fontId="31" fillId="0" borderId="47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1" fillId="0" borderId="48" xfId="0" applyFont="1" applyBorder="1" applyAlignment="1">
      <alignment horizontal="left" vertical="center"/>
    </xf>
    <xf numFmtId="0" fontId="31" fillId="0" borderId="49" xfId="0" applyFont="1" applyBorder="1" applyAlignment="1">
      <alignment horizontal="center" vertical="center"/>
    </xf>
    <xf numFmtId="4" fontId="31" fillId="0" borderId="49" xfId="0" applyNumberFormat="1" applyFont="1" applyBorder="1" applyAlignment="1">
      <alignment horizontal="right" vertical="center"/>
    </xf>
    <xf numFmtId="0" fontId="33" fillId="0" borderId="49" xfId="0" applyFont="1" applyBorder="1" applyAlignment="1">
      <alignment horizontal="center" vertical="center"/>
    </xf>
    <xf numFmtId="0" fontId="34" fillId="0" borderId="48" xfId="0" applyFont="1" applyBorder="1" applyAlignment="1">
      <alignment horizontal="left" vertical="center" indent="2"/>
    </xf>
    <xf numFmtId="0" fontId="34" fillId="0" borderId="48" xfId="0" applyFont="1" applyBorder="1" applyAlignment="1">
      <alignment vertical="center"/>
    </xf>
    <xf numFmtId="0" fontId="34" fillId="0" borderId="48" xfId="0" applyFont="1" applyBorder="1" applyAlignment="1">
      <alignment horizontal="left" vertical="center"/>
    </xf>
    <xf numFmtId="176" fontId="33" fillId="0" borderId="49" xfId="1" applyFont="1" applyBorder="1" applyAlignment="1">
      <alignment horizontal="right" vertical="center"/>
    </xf>
    <xf numFmtId="176" fontId="31" fillId="0" borderId="49" xfId="1" applyFont="1" applyBorder="1" applyAlignment="1">
      <alignment horizontal="right" vertical="center"/>
    </xf>
    <xf numFmtId="176" fontId="34" fillId="0" borderId="49" xfId="1" applyFont="1" applyBorder="1" applyAlignment="1">
      <alignment horizontal="right" vertical="center"/>
    </xf>
    <xf numFmtId="9" fontId="32" fillId="0" borderId="0" xfId="17" applyFont="1">
      <alignment vertical="center"/>
    </xf>
    <xf numFmtId="43" fontId="32" fillId="0" borderId="0" xfId="0" applyNumberFormat="1" applyFont="1">
      <alignment vertical="center"/>
    </xf>
    <xf numFmtId="0" fontId="35" fillId="0" borderId="49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176" fontId="32" fillId="0" borderId="0" xfId="1" applyFont="1">
      <alignment vertical="center"/>
    </xf>
    <xf numFmtId="176" fontId="36" fillId="0" borderId="49" xfId="1" applyFont="1" applyBorder="1" applyAlignment="1">
      <alignment horizontal="right" vertical="center" wrapText="1"/>
    </xf>
    <xf numFmtId="176" fontId="36" fillId="0" borderId="49" xfId="1" applyFont="1" applyBorder="1" applyAlignment="1">
      <alignment horizontal="right" vertical="center"/>
    </xf>
    <xf numFmtId="176" fontId="36" fillId="7" borderId="49" xfId="1" applyFont="1" applyFill="1" applyBorder="1" applyAlignment="1">
      <alignment horizontal="right" vertical="center"/>
    </xf>
    <xf numFmtId="176" fontId="22" fillId="7" borderId="49" xfId="1" applyFont="1" applyFill="1" applyBorder="1">
      <alignment vertical="center"/>
    </xf>
    <xf numFmtId="0" fontId="31" fillId="0" borderId="52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4" fontId="31" fillId="0" borderId="56" xfId="0" applyNumberFormat="1" applyFont="1" applyBorder="1" applyAlignment="1">
      <alignment horizontal="right" vertical="center" wrapText="1"/>
    </xf>
    <xf numFmtId="0" fontId="31" fillId="0" borderId="56" xfId="0" applyFont="1" applyBorder="1" applyAlignment="1">
      <alignment horizontal="right" vertical="center" wrapText="1"/>
    </xf>
    <xf numFmtId="0" fontId="34" fillId="0" borderId="57" xfId="0" applyFont="1" applyBorder="1" applyAlignment="1">
      <alignment horizontal="center" vertical="center" wrapText="1"/>
    </xf>
    <xf numFmtId="4" fontId="34" fillId="0" borderId="56" xfId="0" applyNumberFormat="1" applyFont="1" applyBorder="1" applyAlignment="1">
      <alignment horizontal="right" vertical="center" wrapText="1"/>
    </xf>
    <xf numFmtId="0" fontId="34" fillId="0" borderId="56" xfId="0" applyFont="1" applyBorder="1" applyAlignment="1">
      <alignment horizontal="right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left" vertical="center" wrapText="1"/>
    </xf>
    <xf numFmtId="9" fontId="31" fillId="0" borderId="56" xfId="0" applyNumberFormat="1" applyFont="1" applyBorder="1" applyAlignment="1">
      <alignment horizontal="right" vertical="center" wrapText="1"/>
    </xf>
    <xf numFmtId="176" fontId="22" fillId="0" borderId="15" xfId="1" applyFont="1" applyBorder="1" applyAlignment="1">
      <alignment horizontal="center" vertical="center" wrapText="1"/>
    </xf>
    <xf numFmtId="176" fontId="25" fillId="5" borderId="19" xfId="1" applyFont="1" applyFill="1" applyBorder="1" applyAlignment="1">
      <alignment horizontal="center" vertical="center" wrapText="1"/>
    </xf>
    <xf numFmtId="0" fontId="22" fillId="0" borderId="40" xfId="14" applyFont="1" applyFill="1" applyBorder="1" applyAlignment="1">
      <alignment horizontal="left" vertical="center" wrapText="1"/>
    </xf>
    <xf numFmtId="176" fontId="22" fillId="0" borderId="0" xfId="1" applyFont="1">
      <alignment vertical="center"/>
    </xf>
    <xf numFmtId="176" fontId="23" fillId="0" borderId="0" xfId="1" applyFont="1">
      <alignment vertical="center"/>
    </xf>
    <xf numFmtId="0" fontId="23" fillId="0" borderId="32" xfId="0" applyFont="1" applyFill="1" applyBorder="1">
      <alignment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33" xfId="0" applyFont="1" applyFill="1" applyBorder="1">
      <alignment vertical="center"/>
    </xf>
    <xf numFmtId="0" fontId="22" fillId="0" borderId="33" xfId="0" applyFont="1" applyFill="1" applyBorder="1" applyAlignment="1">
      <alignment vertical="center" wrapText="1"/>
    </xf>
    <xf numFmtId="176" fontId="23" fillId="0" borderId="33" xfId="1" applyFont="1" applyFill="1" applyBorder="1">
      <alignment vertical="center"/>
    </xf>
    <xf numFmtId="176" fontId="22" fillId="0" borderId="33" xfId="0" applyNumberFormat="1" applyFont="1" applyFill="1" applyBorder="1" applyAlignment="1">
      <alignment horizontal="center" vertical="center"/>
    </xf>
    <xf numFmtId="9" fontId="23" fillId="0" borderId="15" xfId="0" applyNumberFormat="1" applyFont="1" applyFill="1" applyBorder="1" applyAlignment="1">
      <alignment horizontal="center" vertical="center"/>
    </xf>
    <xf numFmtId="176" fontId="23" fillId="0" borderId="15" xfId="0" applyNumberFormat="1" applyFont="1" applyFill="1" applyBorder="1">
      <alignment vertical="center"/>
    </xf>
    <xf numFmtId="176" fontId="23" fillId="0" borderId="23" xfId="1" applyFont="1" applyFill="1" applyBorder="1">
      <alignment vertical="center"/>
    </xf>
    <xf numFmtId="176" fontId="23" fillId="0" borderId="16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176" fontId="26" fillId="0" borderId="18" xfId="1" applyFont="1" applyFill="1" applyBorder="1" applyAlignment="1">
      <alignment horizontal="center" vertical="center"/>
    </xf>
    <xf numFmtId="9" fontId="26" fillId="0" borderId="15" xfId="17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3" fontId="37" fillId="0" borderId="49" xfId="0" applyNumberFormat="1" applyFont="1" applyBorder="1" applyAlignment="1">
      <alignment horizontal="center" vertical="center"/>
    </xf>
    <xf numFmtId="176" fontId="37" fillId="0" borderId="49" xfId="1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9" fillId="0" borderId="46" xfId="0" applyFont="1" applyBorder="1" applyAlignment="1">
      <alignment horizontal="justify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justify" vertical="center"/>
    </xf>
    <xf numFmtId="0" fontId="9" fillId="0" borderId="49" xfId="0" applyFont="1" applyBorder="1">
      <alignment vertical="center"/>
    </xf>
    <xf numFmtId="0" fontId="9" fillId="0" borderId="48" xfId="0" applyFont="1" applyFill="1" applyBorder="1" applyAlignment="1">
      <alignment horizontal="justify" vertical="center"/>
    </xf>
    <xf numFmtId="10" fontId="9" fillId="0" borderId="49" xfId="0" applyNumberFormat="1" applyFont="1" applyBorder="1" applyAlignment="1">
      <alignment horizontal="center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9" fontId="22" fillId="0" borderId="15" xfId="0" applyNumberFormat="1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vertical="center" wrapText="1"/>
    </xf>
    <xf numFmtId="176" fontId="26" fillId="0" borderId="15" xfId="0" applyNumberFormat="1" applyFont="1" applyFill="1" applyBorder="1">
      <alignment vertical="center"/>
    </xf>
    <xf numFmtId="176" fontId="22" fillId="0" borderId="16" xfId="0" applyNumberFormat="1" applyFont="1" applyFill="1" applyBorder="1">
      <alignment vertical="center"/>
    </xf>
    <xf numFmtId="176" fontId="22" fillId="0" borderId="23" xfId="0" applyNumberFormat="1" applyFont="1" applyFill="1" applyBorder="1">
      <alignment vertical="center"/>
    </xf>
    <xf numFmtId="176" fontId="22" fillId="0" borderId="0" xfId="0" applyNumberFormat="1" applyFont="1">
      <alignment vertical="center"/>
    </xf>
    <xf numFmtId="0" fontId="22" fillId="0" borderId="20" xfId="0" applyFont="1" applyFill="1" applyBorder="1" applyAlignment="1">
      <alignment horizontal="center" vertical="center"/>
    </xf>
    <xf numFmtId="9" fontId="22" fillId="0" borderId="21" xfId="0" applyNumberFormat="1" applyFont="1" applyFill="1" applyBorder="1" applyAlignment="1">
      <alignment horizontal="center" vertical="center"/>
    </xf>
    <xf numFmtId="176" fontId="22" fillId="0" borderId="21" xfId="0" applyNumberFormat="1" applyFont="1" applyFill="1" applyBorder="1">
      <alignment vertical="center"/>
    </xf>
    <xf numFmtId="176" fontId="22" fillId="0" borderId="21" xfId="1" applyFont="1" applyFill="1" applyBorder="1">
      <alignment vertical="center"/>
    </xf>
    <xf numFmtId="0" fontId="22" fillId="0" borderId="21" xfId="0" applyFont="1" applyFill="1" applyBorder="1">
      <alignment vertical="center"/>
    </xf>
    <xf numFmtId="10" fontId="22" fillId="0" borderId="21" xfId="0" applyNumberFormat="1" applyFont="1" applyFill="1" applyBorder="1" applyAlignment="1">
      <alignment horizontal="center" vertical="center"/>
    </xf>
    <xf numFmtId="176" fontId="22" fillId="0" borderId="22" xfId="0" applyNumberFormat="1" applyFont="1" applyFill="1" applyBorder="1">
      <alignment vertical="center"/>
    </xf>
    <xf numFmtId="43" fontId="22" fillId="0" borderId="0" xfId="0" applyNumberFormat="1" applyFont="1">
      <alignment vertical="center"/>
    </xf>
    <xf numFmtId="176" fontId="22" fillId="0" borderId="0" xfId="1" applyFont="1" applyFill="1">
      <alignment vertical="center"/>
    </xf>
    <xf numFmtId="10" fontId="22" fillId="0" borderId="33" xfId="0" applyNumberFormat="1" applyFont="1" applyFill="1" applyBorder="1" applyAlignment="1">
      <alignment horizontal="center" vertical="center" wrapText="1"/>
    </xf>
    <xf numFmtId="176" fontId="26" fillId="0" borderId="41" xfId="1" applyFont="1" applyFill="1" applyBorder="1" applyAlignment="1">
      <alignment horizontal="right" vertical="center" wrapText="1"/>
    </xf>
    <xf numFmtId="0" fontId="41" fillId="0" borderId="46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48" xfId="0" applyFont="1" applyBorder="1" applyAlignment="1">
      <alignment horizontal="justify" vertical="center"/>
    </xf>
    <xf numFmtId="0" fontId="40" fillId="0" borderId="49" xfId="0" applyFont="1" applyBorder="1" applyAlignment="1">
      <alignment horizontal="center" vertical="center"/>
    </xf>
    <xf numFmtId="0" fontId="42" fillId="0" borderId="48" xfId="0" applyFont="1" applyBorder="1" applyAlignment="1">
      <alignment horizontal="justify" vertical="center"/>
    </xf>
    <xf numFmtId="0" fontId="39" fillId="0" borderId="49" xfId="0" applyFont="1" applyBorder="1" applyAlignment="1">
      <alignment horizontal="center" vertical="center"/>
    </xf>
    <xf numFmtId="0" fontId="27" fillId="0" borderId="3" xfId="14" applyFont="1" applyFill="1" applyBorder="1" applyAlignment="1">
      <alignment horizontal="center" vertical="center"/>
    </xf>
    <xf numFmtId="0" fontId="26" fillId="0" borderId="5" xfId="14" applyFont="1" applyFill="1" applyBorder="1" applyAlignment="1">
      <alignment horizontal="center" vertical="center" wrapText="1"/>
    </xf>
    <xf numFmtId="0" fontId="26" fillId="0" borderId="6" xfId="14" applyFont="1" applyFill="1" applyBorder="1" applyAlignment="1">
      <alignment horizontal="center" vertical="center" wrapText="1"/>
    </xf>
    <xf numFmtId="176" fontId="26" fillId="0" borderId="42" xfId="1" applyFont="1" applyFill="1" applyBorder="1" applyAlignment="1">
      <alignment horizontal="right" vertical="center" wrapText="1"/>
    </xf>
    <xf numFmtId="176" fontId="9" fillId="0" borderId="0" xfId="0" applyNumberFormat="1" applyFont="1" applyFill="1">
      <alignment vertical="center"/>
    </xf>
    <xf numFmtId="0" fontId="22" fillId="0" borderId="40" xfId="14" applyFont="1" applyFill="1" applyBorder="1" applyAlignment="1">
      <alignment horizontal="center" vertical="center" wrapText="1"/>
    </xf>
    <xf numFmtId="176" fontId="22" fillId="0" borderId="41" xfId="1" applyFont="1" applyFill="1" applyBorder="1" applyAlignment="1">
      <alignment horizontal="right" vertical="center" wrapText="1"/>
    </xf>
    <xf numFmtId="176" fontId="22" fillId="0" borderId="41" xfId="1" applyFont="1" applyFill="1" applyBorder="1" applyAlignment="1">
      <alignment horizontal="left" vertical="center" wrapText="1"/>
    </xf>
    <xf numFmtId="176" fontId="22" fillId="0" borderId="42" xfId="1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176" fontId="22" fillId="0" borderId="42" xfId="1" applyFont="1" applyFill="1" applyBorder="1" applyAlignment="1">
      <alignment horizontal="right" vertical="center" wrapText="1"/>
    </xf>
    <xf numFmtId="43" fontId="9" fillId="0" borderId="0" xfId="0" applyNumberFormat="1" applyFont="1" applyFill="1">
      <alignment vertical="center"/>
    </xf>
    <xf numFmtId="10" fontId="26" fillId="0" borderId="41" xfId="3" applyNumberFormat="1" applyFont="1" applyFill="1" applyBorder="1" applyAlignment="1">
      <alignment horizontal="right" vertical="center" wrapText="1"/>
    </xf>
    <xf numFmtId="9" fontId="26" fillId="0" borderId="41" xfId="3" applyNumberFormat="1" applyFont="1" applyFill="1" applyBorder="1" applyAlignment="1">
      <alignment horizontal="right" vertical="center" wrapText="1"/>
    </xf>
    <xf numFmtId="9" fontId="26" fillId="0" borderId="42" xfId="3" applyNumberFormat="1" applyFont="1" applyFill="1" applyBorder="1" applyAlignment="1">
      <alignment horizontal="right" vertical="center" wrapText="1"/>
    </xf>
    <xf numFmtId="0" fontId="22" fillId="0" borderId="44" xfId="14" applyFont="1" applyFill="1" applyBorder="1" applyAlignment="1">
      <alignment horizontal="center" vertical="center" wrapText="1"/>
    </xf>
    <xf numFmtId="180" fontId="26" fillId="0" borderId="44" xfId="14" applyNumberFormat="1" applyFont="1" applyFill="1" applyBorder="1" applyAlignment="1">
      <alignment horizontal="right" vertical="center" wrapText="1"/>
    </xf>
    <xf numFmtId="180" fontId="26" fillId="0" borderId="45" xfId="14" applyNumberFormat="1" applyFont="1" applyFill="1" applyBorder="1" applyAlignment="1">
      <alignment horizontal="right" vertical="center" wrapText="1"/>
    </xf>
    <xf numFmtId="0" fontId="22" fillId="0" borderId="38" xfId="14" applyFont="1" applyFill="1" applyBorder="1" applyAlignment="1">
      <alignment horizontal="center" vertical="center" wrapText="1"/>
    </xf>
    <xf numFmtId="180" fontId="26" fillId="0" borderId="38" xfId="14" applyNumberFormat="1" applyFont="1" applyFill="1" applyBorder="1" applyAlignment="1">
      <alignment horizontal="right" vertical="center" wrapText="1"/>
    </xf>
    <xf numFmtId="180" fontId="26" fillId="0" borderId="39" xfId="14" applyNumberFormat="1" applyFont="1" applyFill="1" applyBorder="1" applyAlignment="1">
      <alignment horizontal="right" vertical="center" wrapText="1"/>
    </xf>
    <xf numFmtId="0" fontId="22" fillId="0" borderId="8" xfId="14" applyFont="1" applyFill="1" applyBorder="1" applyAlignment="1">
      <alignment horizontal="center" vertical="center" wrapText="1"/>
    </xf>
    <xf numFmtId="180" fontId="26" fillId="0" borderId="8" xfId="14" applyNumberFormat="1" applyFont="1" applyFill="1" applyBorder="1" applyAlignment="1">
      <alignment horizontal="right" vertical="center" wrapText="1"/>
    </xf>
    <xf numFmtId="180" fontId="26" fillId="0" borderId="9" xfId="14" applyNumberFormat="1" applyFont="1" applyFill="1" applyBorder="1" applyAlignment="1">
      <alignment horizontal="right" vertical="center" wrapText="1"/>
    </xf>
    <xf numFmtId="176" fontId="40" fillId="0" borderId="49" xfId="1" applyFont="1" applyBorder="1" applyAlignment="1">
      <alignment horizontal="right" vertical="center"/>
    </xf>
    <xf numFmtId="176" fontId="39" fillId="0" borderId="49" xfId="1" applyFont="1" applyBorder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9" fillId="0" borderId="16" xfId="0" applyFont="1" applyFill="1" applyBorder="1">
      <alignment vertical="center"/>
    </xf>
    <xf numFmtId="0" fontId="9" fillId="0" borderId="14" xfId="0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22" fillId="0" borderId="33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>
      <alignment vertical="center"/>
    </xf>
    <xf numFmtId="176" fontId="9" fillId="0" borderId="33" xfId="1" applyFont="1" applyFill="1" applyBorder="1" applyAlignment="1">
      <alignment horizontal="center" vertical="center" wrapText="1"/>
    </xf>
    <xf numFmtId="176" fontId="9" fillId="0" borderId="16" xfId="1" applyFont="1" applyFill="1" applyBorder="1" applyAlignment="1">
      <alignment horizontal="center" vertical="center" wrapText="1"/>
    </xf>
    <xf numFmtId="176" fontId="9" fillId="0" borderId="33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176" fontId="3" fillId="0" borderId="18" xfId="1" applyFont="1" applyFill="1" applyBorder="1">
      <alignment vertical="center"/>
    </xf>
    <xf numFmtId="176" fontId="3" fillId="0" borderId="30" xfId="1" applyFont="1" applyFill="1" applyBorder="1">
      <alignment vertical="center"/>
    </xf>
    <xf numFmtId="176" fontId="3" fillId="0" borderId="18" xfId="1" applyFont="1" applyFill="1" applyBorder="1" applyAlignment="1">
      <alignment horizontal="center" vertical="center"/>
    </xf>
    <xf numFmtId="176" fontId="9" fillId="0" borderId="0" xfId="1" applyFont="1" applyFill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>
      <alignment vertical="center"/>
    </xf>
    <xf numFmtId="176" fontId="3" fillId="0" borderId="15" xfId="1" applyFont="1" applyFill="1" applyBorder="1">
      <alignment vertical="center"/>
    </xf>
    <xf numFmtId="176" fontId="3" fillId="0" borderId="15" xfId="0" applyNumberFormat="1" applyFont="1" applyFill="1" applyBorder="1">
      <alignment vertical="center"/>
    </xf>
    <xf numFmtId="0" fontId="3" fillId="0" borderId="16" xfId="0" applyFont="1" applyFill="1" applyBorder="1">
      <alignment vertical="center"/>
    </xf>
    <xf numFmtId="43" fontId="3" fillId="0" borderId="16" xfId="0" applyNumberFormat="1" applyFont="1" applyFill="1" applyBorder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>
      <alignment vertical="center"/>
    </xf>
    <xf numFmtId="176" fontId="9" fillId="0" borderId="15" xfId="1" applyFont="1" applyFill="1" applyBorder="1">
      <alignment vertical="center"/>
    </xf>
    <xf numFmtId="0" fontId="3" fillId="0" borderId="16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left" vertical="center" wrapText="1"/>
    </xf>
    <xf numFmtId="176" fontId="9" fillId="0" borderId="15" xfId="0" applyNumberFormat="1" applyFont="1" applyFill="1" applyBorder="1">
      <alignment vertical="center"/>
    </xf>
    <xf numFmtId="0" fontId="3" fillId="0" borderId="18" xfId="0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23" fillId="0" borderId="15" xfId="0" applyFont="1" applyFill="1" applyBorder="1">
      <alignment vertical="center"/>
    </xf>
    <xf numFmtId="4" fontId="9" fillId="0" borderId="0" xfId="0" applyNumberFormat="1" applyFont="1" applyFill="1">
      <alignment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22" fillId="0" borderId="7" xfId="14" applyFont="1" applyFill="1" applyBorder="1" applyAlignment="1">
      <alignment horizontal="left" vertical="center" wrapText="1"/>
    </xf>
    <xf numFmtId="0" fontId="22" fillId="0" borderId="8" xfId="14" applyFont="1" applyFill="1" applyBorder="1" applyAlignment="1">
      <alignment horizontal="left" vertical="center" wrapText="1"/>
    </xf>
    <xf numFmtId="0" fontId="28" fillId="0" borderId="0" xfId="14" applyFont="1" applyFill="1" applyBorder="1" applyAlignment="1">
      <alignment horizontal="center" vertical="center"/>
    </xf>
    <xf numFmtId="0" fontId="26" fillId="0" borderId="4" xfId="14" applyFont="1" applyFill="1" applyBorder="1" applyAlignment="1">
      <alignment horizontal="center" vertical="center" wrapText="1"/>
    </xf>
    <xf numFmtId="0" fontId="26" fillId="0" borderId="5" xfId="14" applyFont="1" applyFill="1" applyBorder="1" applyAlignment="1">
      <alignment horizontal="center" vertical="center" wrapText="1"/>
    </xf>
    <xf numFmtId="0" fontId="22" fillId="0" borderId="40" xfId="14" applyFont="1" applyFill="1" applyBorder="1" applyAlignment="1">
      <alignment horizontal="left" vertical="center" wrapText="1"/>
    </xf>
    <xf numFmtId="0" fontId="22" fillId="0" borderId="41" xfId="14" applyFont="1" applyFill="1" applyBorder="1" applyAlignment="1">
      <alignment horizontal="left" vertical="center" wrapText="1"/>
    </xf>
    <xf numFmtId="0" fontId="22" fillId="0" borderId="43" xfId="14" applyFont="1" applyFill="1" applyBorder="1" applyAlignment="1">
      <alignment horizontal="left" vertical="center" wrapText="1"/>
    </xf>
    <xf numFmtId="0" fontId="22" fillId="0" borderId="44" xfId="14" applyFont="1" applyFill="1" applyBorder="1" applyAlignment="1">
      <alignment horizontal="left" vertical="center" wrapText="1"/>
    </xf>
    <xf numFmtId="0" fontId="22" fillId="0" borderId="40" xfId="14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2" fillId="0" borderId="37" xfId="14" applyFont="1" applyFill="1" applyBorder="1" applyAlignment="1">
      <alignment horizontal="left" vertical="center" wrapText="1"/>
    </xf>
    <xf numFmtId="0" fontId="22" fillId="0" borderId="38" xfId="14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4" fillId="0" borderId="50" xfId="0" applyFont="1" applyBorder="1" applyAlignment="1">
      <alignment horizontal="left" vertical="center" wrapText="1"/>
    </xf>
    <xf numFmtId="0" fontId="34" fillId="0" borderId="51" xfId="0" applyFont="1" applyBorder="1" applyAlignment="1">
      <alignment horizontal="left" vertical="center" wrapText="1"/>
    </xf>
    <xf numFmtId="0" fontId="34" fillId="0" borderId="52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left" vertical="center" wrapText="1"/>
    </xf>
    <xf numFmtId="0" fontId="31" fillId="0" borderId="51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 wrapText="1"/>
    </xf>
    <xf numFmtId="0" fontId="31" fillId="0" borderId="60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55" xfId="0" applyFont="1" applyBorder="1" applyAlignment="1">
      <alignment horizontal="left" vertical="center" wrapText="1"/>
    </xf>
    <xf numFmtId="0" fontId="31" fillId="0" borderId="56" xfId="0" applyFont="1" applyBorder="1" applyAlignment="1">
      <alignment horizontal="left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4" fontId="31" fillId="0" borderId="63" xfId="0" applyNumberFormat="1" applyFont="1" applyBorder="1" applyAlignment="1">
      <alignment horizontal="right" vertical="center" wrapText="1"/>
    </xf>
    <xf numFmtId="4" fontId="31" fillId="0" borderId="53" xfId="0" applyNumberFormat="1" applyFont="1" applyBorder="1" applyAlignment="1">
      <alignment horizontal="right" vertical="center" wrapText="1"/>
    </xf>
    <xf numFmtId="0" fontId="31" fillId="0" borderId="63" xfId="0" applyFont="1" applyBorder="1" applyAlignment="1">
      <alignment horizontal="right" vertical="center" wrapText="1"/>
    </xf>
    <xf numFmtId="0" fontId="31" fillId="0" borderId="53" xfId="0" applyFont="1" applyBorder="1" applyAlignment="1">
      <alignment horizontal="right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1" xfId="0" applyFont="1" applyBorder="1" applyAlignment="1">
      <alignment horizontal="left" vertical="center" wrapText="1"/>
    </xf>
    <xf numFmtId="0" fontId="34" fillId="0" borderId="62" xfId="0" applyFont="1" applyBorder="1" applyAlignment="1">
      <alignment horizontal="left" vertical="center" wrapText="1"/>
    </xf>
    <xf numFmtId="0" fontId="34" fillId="0" borderId="54" xfId="0" applyFont="1" applyBorder="1" applyAlignment="1">
      <alignment horizontal="left" vertical="center" wrapText="1"/>
    </xf>
    <xf numFmtId="0" fontId="34" fillId="0" borderId="55" xfId="0" applyFont="1" applyBorder="1" applyAlignment="1">
      <alignment horizontal="left" vertical="center" wrapText="1"/>
    </xf>
    <xf numFmtId="0" fontId="34" fillId="0" borderId="56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2" fillId="0" borderId="54" xfId="0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10" fontId="31" fillId="0" borderId="63" xfId="0" applyNumberFormat="1" applyFont="1" applyBorder="1" applyAlignment="1">
      <alignment horizontal="right" vertical="center" wrapText="1"/>
    </xf>
    <xf numFmtId="10" fontId="31" fillId="0" borderId="53" xfId="0" applyNumberFormat="1" applyFont="1" applyBorder="1" applyAlignment="1">
      <alignment horizontal="right" vertical="center" wrapText="1"/>
    </xf>
    <xf numFmtId="3" fontId="31" fillId="0" borderId="63" xfId="0" applyNumberFormat="1" applyFont="1" applyBorder="1" applyAlignment="1">
      <alignment horizontal="right" vertical="center" wrapText="1"/>
    </xf>
    <xf numFmtId="3" fontId="31" fillId="0" borderId="53" xfId="0" applyNumberFormat="1" applyFont="1" applyBorder="1" applyAlignment="1">
      <alignment horizontal="right" vertical="center" wrapText="1"/>
    </xf>
  </cellXfs>
  <cellStyles count="18">
    <cellStyle name="Change A&amp;ll" xfId="6"/>
    <cellStyle name="Change A&amp;ll 2" xfId="5"/>
    <cellStyle name="百分比" xfId="17" builtinId="5"/>
    <cellStyle name="百分比 2" xfId="3"/>
    <cellStyle name="百分比 3" xfId="10"/>
    <cellStyle name="常规" xfId="0" builtinId="0"/>
    <cellStyle name="常规 2" xfId="11"/>
    <cellStyle name="常规 2 2" xfId="7"/>
    <cellStyle name="常规 2 3" xfId="8"/>
    <cellStyle name="常规 3" xfId="12"/>
    <cellStyle name="常规 4" xfId="14"/>
    <cellStyle name="常规 5" xfId="16"/>
    <cellStyle name="千位分隔" xfId="1" builtinId="3"/>
    <cellStyle name="千位分隔 2" xfId="13"/>
    <cellStyle name="千位分隔 3" xfId="15"/>
    <cellStyle name="千位分隔 4" xfId="2"/>
    <cellStyle name="千位分隔 5" xfId="9"/>
    <cellStyle name="千位分隔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616;&#37329;&#27969;&#27979;&#31639;-&#23487;&#36801;&#23613;&#35843;0625-&#19968;&#234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616;&#37329;&#27969;&#27979;&#31639;-&#23487;&#36801;&#23613;&#35843;&#21021;&#31295;06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56;&#30422;&#31456;&#36164;&#26009;&#21450;&#28165;&#21333;/6-&#30446;&#26631;&#25104;&#26412;&#34920;&#65288;&#27979;&#31639;&#20540;&#26411;&#32423;&#31185;&#30446;&#65289;/&#25104;&#26412;&#34920;&#26684;&#27169;&#26495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基础数据"/>
      <sheetName val="规划指标"/>
      <sheetName val="结论表"/>
      <sheetName val="底表1（销售）"/>
      <sheetName val="底表1（销售计划）"/>
      <sheetName val="底表2（增值税、土地增值税）"/>
      <sheetName val="主表1（成本）"/>
      <sheetName val="主表2（现金流量表）"/>
      <sheetName val="主表3（损益表）"/>
      <sheetName val="主表4（敏感性分析）"/>
      <sheetName val="主表5（资金来源与运用）"/>
      <sheetName val="主表3 （敏感性分析 销售-5%）"/>
      <sheetName val="主表4-1（敏感性分析 销售-5%）"/>
      <sheetName val="主表3 （敏感性分析 销售-10%）"/>
      <sheetName val="主表4-1（敏感性分析 销售-10%）"/>
      <sheetName val="主表3 （敏感性分析 销售+5%） "/>
      <sheetName val="主表4-1（敏感性分析 销售+5%）"/>
      <sheetName val="主表3 （敏感性分析 销售+10%）"/>
      <sheetName val="主表4-1（敏感性分析 销售+10%）"/>
      <sheetName val="主表3 （敏感性分析 成本+5%）"/>
      <sheetName val="主表3 （敏感性分析 成本+10%）"/>
      <sheetName val="主表4-1（敏感性分析 成本+10%）"/>
      <sheetName val="主表3 （敏感性分析 成本-5%）"/>
      <sheetName val="主表4-1（敏感性分析 成本-5%）"/>
      <sheetName val="主表3 （敏感性分析 成本-10%）"/>
      <sheetName val="主表4-1（敏感性分析 成本-10%）"/>
      <sheetName val="主表6（负债偿还预测）"/>
      <sheetName val="模拟清算"/>
      <sheetName val="底表1（销售计划）(模拟清算)"/>
      <sheetName val="底表2（增值税、土地增值税）（模拟清算）"/>
      <sheetName val="主表5（负债偿还预测表）"/>
    </sheetNames>
    <sheetDataSet>
      <sheetData sheetId="0"/>
      <sheetData sheetId="1"/>
      <sheetData sheetId="2"/>
      <sheetData sheetId="3"/>
      <sheetData sheetId="4"/>
      <sheetData sheetId="5">
        <row r="9">
          <cell r="C9">
            <v>13700</v>
          </cell>
        </row>
        <row r="16">
          <cell r="C16">
            <v>14700</v>
          </cell>
        </row>
        <row r="23">
          <cell r="C23">
            <v>15003</v>
          </cell>
        </row>
        <row r="105">
          <cell r="C105">
            <v>46795</v>
          </cell>
        </row>
        <row r="107">
          <cell r="C107">
            <v>2429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基础数据"/>
      <sheetName val="规划指标"/>
      <sheetName val="结论表"/>
      <sheetName val="底表1（销售）"/>
      <sheetName val="底表1（销售计划）"/>
      <sheetName val="底表2（增值税、土地增值税）"/>
      <sheetName val="主表1（成本）"/>
      <sheetName val="主表2（现金流量表）"/>
      <sheetName val="主表3（损益表）"/>
      <sheetName val="主表4（敏感性分析）"/>
      <sheetName val="主表5（资金来源与运用）"/>
      <sheetName val="主表3 （敏感性分析 销售-5%）"/>
      <sheetName val="主表4-1（敏感性分析 销售-5%）"/>
      <sheetName val="主表3 （敏感性分析 销售-10%）"/>
      <sheetName val="主表4-1（敏感性分析 销售-10%）"/>
      <sheetName val="主表3 （敏感性分析 销售+5%） "/>
      <sheetName val="主表4-1（敏感性分析 销售+5%）"/>
      <sheetName val="主表3 （敏感性分析 销售+10%）"/>
      <sheetName val="主表4-1（敏感性分析 销售+10%）"/>
      <sheetName val="主表3 （敏感性分析 成本+5%）"/>
      <sheetName val="主表3 （敏感性分析 成本+10%）"/>
      <sheetName val="主表4-1（敏感性分析 成本+10%）"/>
      <sheetName val="主表3 （敏感性分析 成本-5%）"/>
      <sheetName val="主表4-1（敏感性分析 成本-5%）"/>
      <sheetName val="主表3 （敏感性分析 成本-10%）"/>
      <sheetName val="主表4-1（敏感性分析 成本-10%）"/>
      <sheetName val="主表6（负债偿还预测）"/>
      <sheetName val="模拟清算"/>
      <sheetName val="底表1（销售计划）(模拟清算)"/>
      <sheetName val="底表2（增值税、土地增值税）（模拟清算）"/>
      <sheetName val="主表5（负债偿还预测表）"/>
    </sheetNames>
    <sheetDataSet>
      <sheetData sheetId="0"/>
      <sheetData sheetId="1"/>
      <sheetData sheetId="2">
        <row r="18">
          <cell r="G18">
            <v>46795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项目面积统计"/>
      <sheetName val="1.项目动态成本分析表（科目）"/>
      <sheetName val="合同台账"/>
      <sheetName val="x"/>
    </sheetNames>
    <sheetDataSet>
      <sheetData sheetId="0" refreshError="1"/>
      <sheetData sheetId="1">
        <row r="8">
          <cell r="J8">
            <v>190622.55</v>
          </cell>
        </row>
        <row r="14">
          <cell r="J14">
            <v>35009138.230000004</v>
          </cell>
          <cell r="K14">
            <v>22469557.23</v>
          </cell>
        </row>
        <row r="49">
          <cell r="J49">
            <v>26812163.850000001</v>
          </cell>
          <cell r="K49">
            <v>8154274.29</v>
          </cell>
        </row>
        <row r="63">
          <cell r="J63">
            <v>933081209.25999999</v>
          </cell>
          <cell r="K63">
            <v>583167873.77999997</v>
          </cell>
        </row>
        <row r="94">
          <cell r="J94">
            <v>0</v>
          </cell>
          <cell r="K94">
            <v>48986146.440000005</v>
          </cell>
        </row>
        <row r="119">
          <cell r="K119">
            <v>13711520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16" sqref="F16:F17"/>
    </sheetView>
  </sheetViews>
  <sheetFormatPr defaultColWidth="9" defaultRowHeight="12"/>
  <cols>
    <col min="1" max="1" width="14.125" style="72" bestFit="1" customWidth="1"/>
    <col min="2" max="2" width="15.625" style="72" bestFit="1" customWidth="1"/>
    <col min="3" max="3" width="17.875" style="72" bestFit="1" customWidth="1"/>
    <col min="4" max="4" width="18" style="72" bestFit="1" customWidth="1"/>
    <col min="5" max="5" width="10.25" style="72" bestFit="1" customWidth="1"/>
    <col min="6" max="6" width="9" style="72"/>
    <col min="7" max="7" width="11.25" style="72" bestFit="1" customWidth="1"/>
    <col min="8" max="16384" width="9" style="72"/>
  </cols>
  <sheetData>
    <row r="1" spans="1:6" ht="12.75" thickBot="1">
      <c r="A1" s="202" t="s">
        <v>5</v>
      </c>
      <c r="B1" s="203" t="s">
        <v>306</v>
      </c>
      <c r="C1" s="203" t="s">
        <v>307</v>
      </c>
      <c r="D1" s="203" t="s">
        <v>74</v>
      </c>
    </row>
    <row r="2" spans="1:6" ht="12.75" thickBot="1">
      <c r="A2" s="204" t="s">
        <v>259</v>
      </c>
      <c r="B2" s="205">
        <v>149520</v>
      </c>
      <c r="C2" s="205">
        <f>'[1]底表1（销售计划）'!$C$9</f>
        <v>13700</v>
      </c>
      <c r="D2" s="206">
        <f>B2*C2</f>
        <v>2048424000</v>
      </c>
    </row>
    <row r="3" spans="1:6" ht="12.75" thickBot="1">
      <c r="A3" s="204" t="s">
        <v>260</v>
      </c>
      <c r="B3" s="205">
        <v>58100</v>
      </c>
      <c r="C3" s="205">
        <f>'[1]底表1（销售计划）'!$C$16</f>
        <v>14700</v>
      </c>
      <c r="D3" s="206">
        <f t="shared" ref="D3:D5" si="0">B3*C3</f>
        <v>854070000</v>
      </c>
    </row>
    <row r="4" spans="1:6" ht="12.75" thickBot="1">
      <c r="A4" s="204" t="s">
        <v>261</v>
      </c>
      <c r="B4" s="205">
        <v>3180</v>
      </c>
      <c r="C4" s="205">
        <f>'[1]底表1（销售计划）'!$C$23</f>
        <v>15003</v>
      </c>
      <c r="D4" s="206">
        <f t="shared" si="0"/>
        <v>47709540</v>
      </c>
    </row>
    <row r="5" spans="1:6" ht="12.75" thickBot="1">
      <c r="A5" s="204" t="s">
        <v>262</v>
      </c>
      <c r="B5" s="205">
        <f>'[1]底表1（销售计划）'!$C$105</f>
        <v>46795</v>
      </c>
      <c r="C5" s="205">
        <f>'[1]底表1（销售计划）'!$C$107</f>
        <v>2429</v>
      </c>
      <c r="D5" s="206">
        <f t="shared" si="0"/>
        <v>113665055</v>
      </c>
      <c r="E5" s="72">
        <f>B23</f>
        <v>1337</v>
      </c>
      <c r="F5" s="72" t="s">
        <v>308</v>
      </c>
    </row>
    <row r="6" spans="1:6" ht="12.75" thickBot="1">
      <c r="A6" s="204" t="s">
        <v>3</v>
      </c>
      <c r="B6" s="207"/>
      <c r="C6" s="207"/>
      <c r="D6" s="206">
        <f>SUM(D2:D5)</f>
        <v>3063868595</v>
      </c>
    </row>
    <row r="9" spans="1:6" ht="12.75" thickBot="1"/>
    <row r="10" spans="1:6" ht="12.75" thickBot="1">
      <c r="A10" s="208" t="s">
        <v>263</v>
      </c>
      <c r="B10" s="209" t="s">
        <v>2</v>
      </c>
      <c r="C10" s="209" t="s">
        <v>264</v>
      </c>
    </row>
    <row r="11" spans="1:6" ht="12.75" thickBot="1">
      <c r="A11" s="210" t="s">
        <v>265</v>
      </c>
      <c r="B11" s="205">
        <v>92697</v>
      </c>
      <c r="C11" s="211"/>
    </row>
    <row r="12" spans="1:6" ht="12.75" thickBot="1">
      <c r="A12" s="210" t="s">
        <v>266</v>
      </c>
      <c r="B12" s="205">
        <v>294368</v>
      </c>
      <c r="C12" s="211"/>
    </row>
    <row r="13" spans="1:6" ht="12.75" thickBot="1">
      <c r="A13" s="212" t="s">
        <v>267</v>
      </c>
      <c r="B13" s="205">
        <v>2.2999999999999998</v>
      </c>
      <c r="C13" s="211"/>
    </row>
    <row r="14" spans="1:6" ht="12.75" thickBot="1">
      <c r="A14" s="212" t="s">
        <v>268</v>
      </c>
      <c r="B14" s="205">
        <v>216700</v>
      </c>
      <c r="C14" s="211"/>
    </row>
    <row r="15" spans="1:6" ht="12.75" thickBot="1">
      <c r="A15" s="212" t="s">
        <v>269</v>
      </c>
      <c r="B15" s="205">
        <v>210800</v>
      </c>
      <c r="C15" s="211"/>
    </row>
    <row r="16" spans="1:6" ht="12.75" thickBot="1">
      <c r="A16" s="212" t="s">
        <v>270</v>
      </c>
      <c r="B16" s="205">
        <v>207620</v>
      </c>
      <c r="C16" s="211"/>
    </row>
    <row r="17" spans="1:5" ht="12.75" thickBot="1">
      <c r="A17" s="212" t="s">
        <v>271</v>
      </c>
      <c r="B17" s="205">
        <v>149520</v>
      </c>
      <c r="C17" s="213">
        <v>0.69</v>
      </c>
    </row>
    <row r="18" spans="1:5" ht="12.75" thickBot="1">
      <c r="A18" s="210" t="s">
        <v>272</v>
      </c>
      <c r="B18" s="205">
        <v>58100</v>
      </c>
      <c r="C18" s="213">
        <v>0.2681</v>
      </c>
    </row>
    <row r="19" spans="1:5" ht="12.75" thickBot="1">
      <c r="A19" s="210" t="s">
        <v>261</v>
      </c>
      <c r="B19" s="205">
        <v>3180</v>
      </c>
      <c r="C19" s="213">
        <v>1.47E-2</v>
      </c>
    </row>
    <row r="20" spans="1:5" ht="12.75" thickBot="1">
      <c r="A20" s="210" t="s">
        <v>273</v>
      </c>
      <c r="B20" s="205">
        <v>2400</v>
      </c>
      <c r="C20" s="213">
        <v>1.11E-2</v>
      </c>
    </row>
    <row r="21" spans="1:5" ht="12.75" thickBot="1">
      <c r="A21" s="210" t="s">
        <v>274</v>
      </c>
      <c r="B21" s="205">
        <v>3500</v>
      </c>
      <c r="C21" s="213">
        <v>1.6199999999999999E-2</v>
      </c>
    </row>
    <row r="22" spans="1:5" ht="12.75" thickBot="1">
      <c r="A22" s="210" t="s">
        <v>275</v>
      </c>
      <c r="B22" s="205"/>
      <c r="C22" s="211"/>
      <c r="D22" s="144" t="s">
        <v>305</v>
      </c>
    </row>
    <row r="23" spans="1:5" ht="12.75" thickBot="1">
      <c r="A23" s="210" t="s">
        <v>276</v>
      </c>
      <c r="B23" s="205">
        <v>1337</v>
      </c>
      <c r="C23" s="211"/>
      <c r="D23" s="188">
        <f>[2]规划指标!$G$18</f>
        <v>46795</v>
      </c>
      <c r="E23" s="72">
        <f>D23/B23</f>
        <v>35</v>
      </c>
    </row>
    <row r="24" spans="1:5" ht="12.75" thickBot="1">
      <c r="A24" s="210" t="s">
        <v>277</v>
      </c>
      <c r="B24" s="205">
        <v>5930</v>
      </c>
      <c r="C24" s="211"/>
    </row>
    <row r="25" spans="1:5" ht="12.75" thickBot="1">
      <c r="A25" s="210" t="s">
        <v>278</v>
      </c>
      <c r="B25" s="205">
        <v>8055</v>
      </c>
      <c r="C25" s="211"/>
    </row>
    <row r="26" spans="1:5" ht="12.75" thickBot="1">
      <c r="A26" s="210" t="s">
        <v>279</v>
      </c>
      <c r="B26" s="205">
        <v>8280</v>
      </c>
      <c r="C26" s="211"/>
    </row>
    <row r="27" spans="1:5" ht="12.75" thickBot="1">
      <c r="B27" s="205"/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16"/>
  <sheetViews>
    <sheetView workbookViewId="0">
      <selection activeCell="H10" sqref="H10:H11"/>
    </sheetView>
  </sheetViews>
  <sheetFormatPr defaultColWidth="9" defaultRowHeight="12"/>
  <cols>
    <col min="1" max="1" width="10" style="90" customWidth="1"/>
    <col min="2" max="2" width="25.5" style="90" bestFit="1" customWidth="1"/>
    <col min="3" max="3" width="10.125" style="90" customWidth="1"/>
    <col min="4" max="4" width="23" style="90" customWidth="1"/>
    <col min="5" max="5" width="23.25" style="90" bestFit="1" customWidth="1"/>
    <col min="6" max="7" width="20.625" style="90" customWidth="1"/>
    <col min="8" max="8" width="21.5" style="90" bestFit="1" customWidth="1"/>
    <col min="9" max="16384" width="9" style="90"/>
  </cols>
  <sheetData>
    <row r="1" spans="1:8" ht="29.45" customHeight="1">
      <c r="A1" s="319" t="s">
        <v>257</v>
      </c>
      <c r="B1" s="319"/>
      <c r="C1" s="319"/>
      <c r="D1" s="319"/>
      <c r="E1" s="319"/>
      <c r="F1" s="319"/>
      <c r="G1" s="319"/>
    </row>
    <row r="2" spans="1:8" ht="25.15" customHeight="1">
      <c r="A2" s="108" t="s">
        <v>4</v>
      </c>
      <c r="B2" s="109" t="s">
        <v>5</v>
      </c>
      <c r="C2" s="109" t="s">
        <v>14</v>
      </c>
      <c r="D2" s="109" t="s">
        <v>31</v>
      </c>
      <c r="E2" s="109" t="s">
        <v>86</v>
      </c>
      <c r="F2" s="109" t="s">
        <v>87</v>
      </c>
      <c r="G2" s="110" t="s">
        <v>88</v>
      </c>
    </row>
    <row r="3" spans="1:8" ht="25.15" customHeight="1">
      <c r="A3" s="117">
        <v>1</v>
      </c>
      <c r="B3" s="118" t="s">
        <v>32</v>
      </c>
      <c r="C3" s="123">
        <v>0.09</v>
      </c>
      <c r="D3" s="196">
        <f>SUM(E3:G3)</f>
        <v>37538425.399098761</v>
      </c>
      <c r="E3" s="91">
        <f>E4-E5</f>
        <v>23578946.578407794</v>
      </c>
      <c r="F3" s="91">
        <f>F4-F5</f>
        <v>13959478.820690967</v>
      </c>
      <c r="G3" s="91">
        <v>0</v>
      </c>
    </row>
    <row r="4" spans="1:8" ht="25.15" customHeight="1">
      <c r="A4" s="117">
        <v>1.1000000000000001</v>
      </c>
      <c r="B4" s="118" t="s">
        <v>33</v>
      </c>
      <c r="C4" s="123">
        <v>0.09</v>
      </c>
      <c r="D4" s="196">
        <f>SUM(E4:G4)</f>
        <v>108857402.33944951</v>
      </c>
      <c r="E4" s="91">
        <f>销售收入!C9</f>
        <v>66910086.121894725</v>
      </c>
      <c r="F4" s="222">
        <f>销售收入!D9</f>
        <v>30796953.456034672</v>
      </c>
      <c r="G4" s="198">
        <f>销售收入!E9+销售收入!G9</f>
        <v>11150362.761520114</v>
      </c>
    </row>
    <row r="5" spans="1:8" ht="25.15" customHeight="1">
      <c r="A5" s="117">
        <v>1.2</v>
      </c>
      <c r="B5" s="118" t="s">
        <v>34</v>
      </c>
      <c r="C5" s="121" t="s">
        <v>35</v>
      </c>
      <c r="D5" s="196">
        <f>SUM(E5:G5)</f>
        <v>74651450.579885736</v>
      </c>
      <c r="E5" s="91">
        <f>可售面积参数!C4/可售面积参数!I8*成本!I23</f>
        <v>43331139.54348693</v>
      </c>
      <c r="F5" s="222">
        <f>可售面积参数!D5/可售面积参数!I8*成本!I23</f>
        <v>16837474.635343704</v>
      </c>
      <c r="G5" s="198">
        <f>(可售面积参数!E6+可售面积参数!H7)/可售面积参数!I8*成本!I23</f>
        <v>14482836.401055103</v>
      </c>
      <c r="H5" s="223" t="s">
        <v>313</v>
      </c>
    </row>
    <row r="6" spans="1:8" ht="25.15" customHeight="1">
      <c r="A6" s="117">
        <v>2</v>
      </c>
      <c r="B6" s="118" t="s">
        <v>36</v>
      </c>
      <c r="C6" s="123">
        <v>7.0000000000000007E-2</v>
      </c>
      <c r="D6" s="91">
        <f>SUM(E6:G6)</f>
        <v>2627689.7779369135</v>
      </c>
      <c r="E6" s="91">
        <f>E3*$C$6</f>
        <v>1650526.2604885458</v>
      </c>
      <c r="F6" s="91">
        <f>F3*$C$6</f>
        <v>977163.51744836778</v>
      </c>
      <c r="G6" s="221">
        <f>G3*$C$6</f>
        <v>0</v>
      </c>
      <c r="H6" s="223"/>
    </row>
    <row r="7" spans="1:8" ht="25.15" customHeight="1">
      <c r="A7" s="117">
        <v>3</v>
      </c>
      <c r="B7" s="118" t="s">
        <v>37</v>
      </c>
      <c r="C7" s="123">
        <v>0.03</v>
      </c>
      <c r="D7" s="91">
        <f t="shared" ref="D7:D10" si="0">SUM(E7:G7)</f>
        <v>1126152.7619729629</v>
      </c>
      <c r="E7" s="91">
        <f t="shared" ref="E7:G7" si="1">E3*$C$7</f>
        <v>707368.39735223376</v>
      </c>
      <c r="F7" s="91">
        <f t="shared" si="1"/>
        <v>418784.364620729</v>
      </c>
      <c r="G7" s="221">
        <f t="shared" si="1"/>
        <v>0</v>
      </c>
    </row>
    <row r="8" spans="1:8" ht="25.15" customHeight="1">
      <c r="A8" s="117">
        <v>4</v>
      </c>
      <c r="B8" s="118" t="s">
        <v>38</v>
      </c>
      <c r="C8" s="123">
        <v>0.02</v>
      </c>
      <c r="D8" s="91">
        <f t="shared" si="0"/>
        <v>750768.50798197521</v>
      </c>
      <c r="E8" s="91">
        <f t="shared" ref="E8:G8" si="2">E3*$C$8</f>
        <v>471578.93156815588</v>
      </c>
      <c r="F8" s="91">
        <f t="shared" si="2"/>
        <v>279189.57641381933</v>
      </c>
      <c r="G8" s="221">
        <f t="shared" si="2"/>
        <v>0</v>
      </c>
    </row>
    <row r="9" spans="1:8" ht="25.15" customHeight="1">
      <c r="A9" s="224">
        <v>5</v>
      </c>
      <c r="B9" s="118" t="s">
        <v>141</v>
      </c>
      <c r="C9" s="225" t="s">
        <v>191</v>
      </c>
      <c r="D9" s="91">
        <f t="shared" si="0"/>
        <v>0</v>
      </c>
      <c r="E9" s="227">
        <f>土地增值税!E23</f>
        <v>0</v>
      </c>
      <c r="F9" s="227">
        <f>土地增值税!F23</f>
        <v>0</v>
      </c>
      <c r="G9" s="227">
        <f>土地增值税!G23</f>
        <v>0</v>
      </c>
    </row>
    <row r="10" spans="1:8" ht="25.15" customHeight="1">
      <c r="A10" s="224">
        <v>6</v>
      </c>
      <c r="B10" s="228" t="s">
        <v>317</v>
      </c>
      <c r="C10" s="229">
        <v>5.0000000000000001E-4</v>
      </c>
      <c r="D10" s="91">
        <f t="shared" si="0"/>
        <v>1531934.2975000001</v>
      </c>
      <c r="E10" s="226">
        <f>清算价格及货值!D9*税金及附加!C10</f>
        <v>1024212</v>
      </c>
      <c r="F10" s="226">
        <f>清算价格及货值!G9*税金及附加!C10</f>
        <v>427035</v>
      </c>
      <c r="G10" s="230">
        <f>(清算价格及货值!J9+清算价格及货值!M9)*税金及附加!C10</f>
        <v>80687.297500000001</v>
      </c>
    </row>
    <row r="11" spans="1:8" ht="25.15" customHeight="1">
      <c r="A11" s="126">
        <v>7</v>
      </c>
      <c r="B11" s="127" t="s">
        <v>39</v>
      </c>
      <c r="C11" s="127"/>
      <c r="D11" s="131">
        <f>D10+D9+D6+D7+D8</f>
        <v>6036545.3453918518</v>
      </c>
      <c r="E11" s="131">
        <f>E10+E9+E6+E7+E8</f>
        <v>3853685.589408935</v>
      </c>
      <c r="F11" s="131">
        <f>F10+F9+F6+F7+F8</f>
        <v>2102172.4584829165</v>
      </c>
      <c r="G11" s="131">
        <f>G10+G9+G6+G7+G8</f>
        <v>80687.297500000001</v>
      </c>
      <c r="H11" s="187"/>
    </row>
    <row r="12" spans="1:8">
      <c r="A12" s="92"/>
      <c r="B12" s="92"/>
      <c r="C12" s="92"/>
      <c r="D12" s="124"/>
      <c r="E12" s="124"/>
      <c r="F12" s="124"/>
      <c r="G12" s="124"/>
    </row>
    <row r="13" spans="1:8">
      <c r="A13" s="92"/>
      <c r="B13" s="92"/>
      <c r="C13" s="92"/>
      <c r="D13" s="124"/>
      <c r="E13" s="92"/>
      <c r="F13" s="92"/>
      <c r="G13" s="92"/>
      <c r="H13" s="231"/>
    </row>
    <row r="14" spans="1:8">
      <c r="A14" s="92"/>
      <c r="B14" s="92"/>
      <c r="C14" s="92"/>
      <c r="D14" s="116"/>
      <c r="E14" s="116"/>
      <c r="F14" s="116"/>
      <c r="G14" s="116"/>
    </row>
    <row r="15" spans="1:8">
      <c r="A15" s="92"/>
      <c r="B15" s="92"/>
      <c r="C15" s="92"/>
      <c r="D15" s="124"/>
      <c r="E15" s="124"/>
      <c r="F15" s="92"/>
      <c r="G15" s="92"/>
    </row>
    <row r="16" spans="1:8">
      <c r="A16" s="92"/>
      <c r="B16" s="92"/>
      <c r="C16" s="92"/>
      <c r="D16" s="232"/>
      <c r="E16" s="92"/>
      <c r="F16" s="92"/>
      <c r="G16" s="92"/>
    </row>
  </sheetData>
  <mergeCells count="1">
    <mergeCell ref="A1:G1"/>
  </mergeCells>
  <phoneticPr fontId="1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J35"/>
  <sheetViews>
    <sheetView topLeftCell="A10" zoomScaleNormal="100" workbookViewId="0">
      <selection activeCell="F26" sqref="F26"/>
    </sheetView>
  </sheetViews>
  <sheetFormatPr defaultColWidth="9" defaultRowHeight="12"/>
  <cols>
    <col min="1" max="1" width="4.75" style="199" bestFit="1" customWidth="1"/>
    <col min="2" max="2" width="15.625" style="199" customWidth="1"/>
    <col min="3" max="3" width="23.625" style="199" customWidth="1"/>
    <col min="4" max="4" width="5" style="199" bestFit="1" customWidth="1"/>
    <col min="5" max="5" width="20.5" style="199" bestFit="1" customWidth="1"/>
    <col min="6" max="6" width="20.625" style="199" bestFit="1" customWidth="1"/>
    <col min="7" max="7" width="19.5" style="199" bestFit="1" customWidth="1"/>
    <col min="8" max="8" width="20.5" style="199" bestFit="1" customWidth="1"/>
    <col min="9" max="9" width="19" style="199" bestFit="1" customWidth="1"/>
    <col min="10" max="10" width="12.25" style="199" bestFit="1" customWidth="1"/>
    <col min="11" max="16384" width="9" style="199"/>
  </cols>
  <sheetData>
    <row r="1" spans="1:10" ht="28.9" customHeight="1">
      <c r="A1" s="322" t="s">
        <v>258</v>
      </c>
      <c r="B1" s="322"/>
      <c r="C1" s="322"/>
      <c r="D1" s="322"/>
      <c r="E1" s="322"/>
      <c r="F1" s="322"/>
      <c r="G1" s="322"/>
      <c r="H1" s="322"/>
    </row>
    <row r="2" spans="1:10" ht="12.75" thickBot="1">
      <c r="A2" s="241"/>
      <c r="B2" s="241"/>
      <c r="C2" s="241"/>
      <c r="D2" s="241"/>
      <c r="E2" s="241"/>
      <c r="F2" s="241"/>
      <c r="G2" s="241"/>
      <c r="H2" s="241"/>
    </row>
    <row r="3" spans="1:10" ht="27.6" customHeight="1">
      <c r="A3" s="323" t="s">
        <v>40</v>
      </c>
      <c r="B3" s="324"/>
      <c r="C3" s="324"/>
      <c r="D3" s="242" t="s">
        <v>41</v>
      </c>
      <c r="E3" s="242" t="s">
        <v>42</v>
      </c>
      <c r="F3" s="242" t="s">
        <v>43</v>
      </c>
      <c r="G3" s="242" t="s">
        <v>44</v>
      </c>
      <c r="H3" s="243" t="s">
        <v>76</v>
      </c>
      <c r="I3" s="133" t="s">
        <v>142</v>
      </c>
    </row>
    <row r="4" spans="1:10" ht="30" customHeight="1">
      <c r="A4" s="325" t="s">
        <v>192</v>
      </c>
      <c r="B4" s="326"/>
      <c r="C4" s="326"/>
      <c r="D4" s="143">
        <v>1</v>
      </c>
      <c r="E4" s="234">
        <f>SUM(E5:E6)</f>
        <v>1981513913.8781052</v>
      </c>
      <c r="F4" s="234">
        <f t="shared" ref="F4:H4" si="0">SUM(F5:F6)</f>
        <v>823273046.54396534</v>
      </c>
      <c r="G4" s="234">
        <f>SUM(G5:G6)</f>
        <v>150224232.23847988</v>
      </c>
      <c r="H4" s="244">
        <f t="shared" si="0"/>
        <v>2955011192.6605506</v>
      </c>
      <c r="I4" s="245">
        <f>销售收入!H10-H4</f>
        <v>0</v>
      </c>
    </row>
    <row r="5" spans="1:10" ht="30" customHeight="1">
      <c r="A5" s="246" t="s">
        <v>45</v>
      </c>
      <c r="B5" s="326" t="s">
        <v>46</v>
      </c>
      <c r="C5" s="326"/>
      <c r="D5" s="143">
        <v>2</v>
      </c>
      <c r="E5" s="247">
        <f>销售收入!C10</f>
        <v>1981513913.8781052</v>
      </c>
      <c r="F5" s="247">
        <f>销售收入!D10</f>
        <v>823273046.54396534</v>
      </c>
      <c r="G5" s="247">
        <f>销售收入!E10+销售收入!G10</f>
        <v>150224232.23847988</v>
      </c>
      <c r="H5" s="244">
        <f>SUM(E5:G5)</f>
        <v>2955011192.6605506</v>
      </c>
    </row>
    <row r="6" spans="1:10" ht="30" customHeight="1">
      <c r="A6" s="246" t="s">
        <v>47</v>
      </c>
      <c r="B6" s="326" t="s">
        <v>48</v>
      </c>
      <c r="C6" s="326"/>
      <c r="D6" s="143">
        <v>3</v>
      </c>
      <c r="E6" s="248"/>
      <c r="F6" s="248"/>
      <c r="G6" s="248"/>
      <c r="H6" s="249"/>
    </row>
    <row r="7" spans="1:10" ht="30" customHeight="1">
      <c r="A7" s="325" t="s">
        <v>49</v>
      </c>
      <c r="B7" s="326"/>
      <c r="C7" s="326"/>
      <c r="D7" s="143">
        <v>4</v>
      </c>
      <c r="E7" s="234">
        <f>E8+E9+E13+E18+E10</f>
        <v>2281175741.6894031</v>
      </c>
      <c r="F7" s="234">
        <f t="shared" ref="F7" si="1">F8+F9+F13+F18+F10</f>
        <v>887016641.82318091</v>
      </c>
      <c r="G7" s="234">
        <f>G8+G9+G13+G18+G10</f>
        <v>242161944.99452287</v>
      </c>
      <c r="H7" s="244">
        <f t="shared" ref="H7:H12" si="2">SUM(E7:G7)</f>
        <v>3410354328.5071068</v>
      </c>
    </row>
    <row r="8" spans="1:10" s="250" customFormat="1" ht="30" customHeight="1">
      <c r="A8" s="325" t="s">
        <v>335</v>
      </c>
      <c r="B8" s="326"/>
      <c r="C8" s="326"/>
      <c r="D8" s="143">
        <v>5</v>
      </c>
      <c r="E8" s="234">
        <f>销售收入!C8+销售收入!C13</f>
        <v>1275829602.1556928</v>
      </c>
      <c r="F8" s="234">
        <f>销售收入!D8+销售收入!D13</f>
        <v>495757757.39195925</v>
      </c>
      <c r="G8" s="234">
        <f>销售收入!E8+销售收入!G8+销售收入!E13+销售收入!G13</f>
        <v>27134417.702348195</v>
      </c>
      <c r="H8" s="244">
        <f t="shared" si="2"/>
        <v>1798721777.2500002</v>
      </c>
      <c r="I8" s="245">
        <f>销售收入!H8+销售收入!H13-H8</f>
        <v>0</v>
      </c>
    </row>
    <row r="9" spans="1:10" s="92" customFormat="1" ht="30" customHeight="1">
      <c r="A9" s="325" t="s">
        <v>197</v>
      </c>
      <c r="B9" s="326"/>
      <c r="C9" s="326"/>
      <c r="D9" s="143">
        <v>6</v>
      </c>
      <c r="E9" s="234">
        <f>销售收入!C14</f>
        <v>475956594.84430259</v>
      </c>
      <c r="F9" s="234">
        <f>销售收入!D14</f>
        <v>184945680.58088535</v>
      </c>
      <c r="G9" s="234">
        <f>销售收入!E14+销售收入!G14</f>
        <v>159081934.37228477</v>
      </c>
      <c r="H9" s="244">
        <f t="shared" si="2"/>
        <v>819984209.79747272</v>
      </c>
      <c r="I9" s="116">
        <f>H9-成本!J7</f>
        <v>0</v>
      </c>
    </row>
    <row r="10" spans="1:10" ht="30" customHeight="1">
      <c r="A10" s="325" t="s">
        <v>334</v>
      </c>
      <c r="B10" s="326"/>
      <c r="C10" s="326"/>
      <c r="D10" s="143">
        <v>7</v>
      </c>
      <c r="E10" s="247">
        <f>SUM(E11:E12)</f>
        <v>175178619.69999957</v>
      </c>
      <c r="F10" s="247">
        <f t="shared" ref="F10:G10" si="3">SUM(F11:F12)</f>
        <v>68070343.797284469</v>
      </c>
      <c r="G10" s="247">
        <f t="shared" si="3"/>
        <v>18621635.207463298</v>
      </c>
      <c r="H10" s="251">
        <f t="shared" si="2"/>
        <v>261870598.70474735</v>
      </c>
    </row>
    <row r="11" spans="1:10" ht="30" customHeight="1">
      <c r="A11" s="329" t="s">
        <v>50</v>
      </c>
      <c r="B11" s="326" t="s">
        <v>193</v>
      </c>
      <c r="C11" s="326"/>
      <c r="D11" s="143">
        <v>8</v>
      </c>
      <c r="E11" s="247">
        <f>(E8+E9)*5%</f>
        <v>87589309.849999785</v>
      </c>
      <c r="F11" s="247">
        <f>(F8+F9)*5%</f>
        <v>34035171.898642235</v>
      </c>
      <c r="G11" s="247">
        <f>(G8+G9)*5%</f>
        <v>9310817.603731649</v>
      </c>
      <c r="H11" s="251">
        <f t="shared" si="2"/>
        <v>130935299.35237367</v>
      </c>
    </row>
    <row r="12" spans="1:10" ht="30" customHeight="1">
      <c r="A12" s="329"/>
      <c r="B12" s="326" t="s">
        <v>51</v>
      </c>
      <c r="C12" s="326"/>
      <c r="D12" s="143">
        <v>9</v>
      </c>
      <c r="E12" s="247">
        <f>(E8+E9)*5%</f>
        <v>87589309.849999785</v>
      </c>
      <c r="F12" s="247">
        <f>(F8+F9)*5%</f>
        <v>34035171.898642235</v>
      </c>
      <c r="G12" s="247">
        <f>(G8+G9)*5%</f>
        <v>9310817.603731649</v>
      </c>
      <c r="H12" s="251">
        <f t="shared" si="2"/>
        <v>130935299.35237367</v>
      </c>
    </row>
    <row r="13" spans="1:10" ht="34.9" customHeight="1">
      <c r="A13" s="325" t="s">
        <v>52</v>
      </c>
      <c r="B13" s="326"/>
      <c r="C13" s="326"/>
      <c r="D13" s="143">
        <v>10</v>
      </c>
      <c r="E13" s="234">
        <f>SUM(E14:E17)</f>
        <v>3853685.5894089355</v>
      </c>
      <c r="F13" s="234">
        <f t="shared" ref="F13:G13" si="4">SUM(F14:F17)</f>
        <v>2102172.4584829165</v>
      </c>
      <c r="G13" s="234">
        <f t="shared" si="4"/>
        <v>80687.297500000001</v>
      </c>
      <c r="H13" s="244">
        <f>SUM(H14:H17)</f>
        <v>6036545.3453918518</v>
      </c>
      <c r="I13" s="245">
        <f>税金及附加!D11-税金及附加!D9-H13</f>
        <v>0</v>
      </c>
      <c r="J13" s="252"/>
    </row>
    <row r="14" spans="1:10" ht="30" customHeight="1">
      <c r="A14" s="246" t="s">
        <v>45</v>
      </c>
      <c r="B14" s="326" t="s">
        <v>53</v>
      </c>
      <c r="C14" s="326"/>
      <c r="D14" s="143">
        <v>11</v>
      </c>
      <c r="E14" s="247">
        <f>税金及附加!E6</f>
        <v>1650526.2604885458</v>
      </c>
      <c r="F14" s="247">
        <f>税金及附加!F6</f>
        <v>977163.51744836778</v>
      </c>
      <c r="G14" s="247">
        <f>税金及附加!G6</f>
        <v>0</v>
      </c>
      <c r="H14" s="251">
        <f t="shared" ref="H14:H19" si="5">SUM(E14:G14)</f>
        <v>2627689.7779369135</v>
      </c>
      <c r="J14" s="252"/>
    </row>
    <row r="15" spans="1:10" ht="30" customHeight="1">
      <c r="A15" s="246" t="s">
        <v>47</v>
      </c>
      <c r="B15" s="326" t="s">
        <v>54</v>
      </c>
      <c r="C15" s="326"/>
      <c r="D15" s="143">
        <v>12</v>
      </c>
      <c r="E15" s="247">
        <f>税金及附加!E7</f>
        <v>707368.39735223376</v>
      </c>
      <c r="F15" s="247">
        <f>税金及附加!F7</f>
        <v>418784.364620729</v>
      </c>
      <c r="G15" s="247">
        <f>税金及附加!G7</f>
        <v>0</v>
      </c>
      <c r="H15" s="251">
        <f t="shared" si="5"/>
        <v>1126152.7619729629</v>
      </c>
      <c r="J15" s="252"/>
    </row>
    <row r="16" spans="1:10" ht="30" customHeight="1">
      <c r="A16" s="186"/>
      <c r="B16" s="326" t="s">
        <v>38</v>
      </c>
      <c r="C16" s="326"/>
      <c r="D16" s="143">
        <v>13</v>
      </c>
      <c r="E16" s="247">
        <f>税金及附加!E8</f>
        <v>471578.93156815588</v>
      </c>
      <c r="F16" s="247">
        <f>税金及附加!F8</f>
        <v>279189.57641381933</v>
      </c>
      <c r="G16" s="247">
        <f>税金及附加!G8</f>
        <v>0</v>
      </c>
      <c r="H16" s="251">
        <f t="shared" si="5"/>
        <v>750768.50798197521</v>
      </c>
    </row>
    <row r="17" spans="1:8" s="92" customFormat="1" ht="30" customHeight="1">
      <c r="A17" s="186"/>
      <c r="B17" s="326" t="s">
        <v>316</v>
      </c>
      <c r="C17" s="326"/>
      <c r="D17" s="143">
        <v>14</v>
      </c>
      <c r="E17" s="247">
        <f>税金及附加!E10</f>
        <v>1024212</v>
      </c>
      <c r="F17" s="247">
        <f>税金及附加!F10</f>
        <v>427035</v>
      </c>
      <c r="G17" s="247">
        <f>税金及附加!G10</f>
        <v>80687.297500000001</v>
      </c>
      <c r="H17" s="251">
        <f t="shared" si="5"/>
        <v>1531934.2975000001</v>
      </c>
    </row>
    <row r="18" spans="1:8" ht="30" customHeight="1">
      <c r="A18" s="325" t="s">
        <v>194</v>
      </c>
      <c r="B18" s="326"/>
      <c r="C18" s="326"/>
      <c r="D18" s="143">
        <v>15</v>
      </c>
      <c r="E18" s="234">
        <f>(E8+E9)*20%</f>
        <v>350357239.39999914</v>
      </c>
      <c r="F18" s="234">
        <f>(F8+F9)*20%</f>
        <v>136140687.59456894</v>
      </c>
      <c r="G18" s="234">
        <f>(G8+G9)*20%</f>
        <v>37243270.414926596</v>
      </c>
      <c r="H18" s="244">
        <f t="shared" si="5"/>
        <v>523741197.4094947</v>
      </c>
    </row>
    <row r="19" spans="1:8" ht="30" customHeight="1">
      <c r="A19" s="325" t="s">
        <v>55</v>
      </c>
      <c r="B19" s="326"/>
      <c r="C19" s="326"/>
      <c r="D19" s="143">
        <v>16</v>
      </c>
      <c r="E19" s="234">
        <f>E4-E7</f>
        <v>-299661827.81129789</v>
      </c>
      <c r="F19" s="234">
        <f>F4-F7</f>
        <v>-63743595.279215574</v>
      </c>
      <c r="G19" s="234">
        <f>G4-G7</f>
        <v>-91937712.756042987</v>
      </c>
      <c r="H19" s="244">
        <f t="shared" si="5"/>
        <v>-455343135.84655643</v>
      </c>
    </row>
    <row r="20" spans="1:8" ht="30" customHeight="1">
      <c r="A20" s="325" t="s">
        <v>56</v>
      </c>
      <c r="B20" s="326"/>
      <c r="C20" s="326"/>
      <c r="D20" s="143">
        <v>17</v>
      </c>
      <c r="E20" s="253">
        <f>E19/E7</f>
        <v>-0.13136288552208303</v>
      </c>
      <c r="F20" s="253">
        <f t="shared" ref="F20:H20" si="6">F19/F7</f>
        <v>-7.186290794747266E-2</v>
      </c>
      <c r="G20" s="253">
        <f t="shared" si="6"/>
        <v>-0.37965384180459238</v>
      </c>
      <c r="H20" s="253">
        <f t="shared" si="6"/>
        <v>-0.13351783773326695</v>
      </c>
    </row>
    <row r="21" spans="1:8" ht="30" customHeight="1">
      <c r="A21" s="325" t="s">
        <v>57</v>
      </c>
      <c r="B21" s="326"/>
      <c r="C21" s="326"/>
      <c r="D21" s="143">
        <v>18</v>
      </c>
      <c r="E21" s="254">
        <v>0</v>
      </c>
      <c r="F21" s="254">
        <v>0</v>
      </c>
      <c r="G21" s="254">
        <v>0</v>
      </c>
      <c r="H21" s="255"/>
    </row>
    <row r="22" spans="1:8" ht="30" customHeight="1">
      <c r="A22" s="325" t="s">
        <v>58</v>
      </c>
      <c r="B22" s="326"/>
      <c r="C22" s="326"/>
      <c r="D22" s="143">
        <v>19</v>
      </c>
      <c r="E22" s="254">
        <v>0</v>
      </c>
      <c r="F22" s="254">
        <v>0</v>
      </c>
      <c r="G22" s="254">
        <v>0</v>
      </c>
      <c r="H22" s="255"/>
    </row>
    <row r="23" spans="1:8" ht="30" customHeight="1" thickBot="1">
      <c r="A23" s="327" t="s">
        <v>59</v>
      </c>
      <c r="B23" s="328"/>
      <c r="C23" s="328"/>
      <c r="D23" s="256">
        <v>20</v>
      </c>
      <c r="E23" s="257">
        <f>E19*E21-E13*E22</f>
        <v>0</v>
      </c>
      <c r="F23" s="257">
        <f t="shared" ref="F23:G23" si="7">F19*F21-F13*F22</f>
        <v>0</v>
      </c>
      <c r="G23" s="257">
        <f t="shared" si="7"/>
        <v>0</v>
      </c>
      <c r="H23" s="258">
        <f>SUM(E23:G23)</f>
        <v>0</v>
      </c>
    </row>
    <row r="24" spans="1:8" ht="30" hidden="1" customHeight="1">
      <c r="A24" s="332" t="s">
        <v>172</v>
      </c>
      <c r="B24" s="333"/>
      <c r="C24" s="333"/>
      <c r="D24" s="259"/>
      <c r="E24" s="260">
        <f>E4*1.5%</f>
        <v>29722708.708171576</v>
      </c>
      <c r="F24" s="260">
        <f>F4*3.5%</f>
        <v>28814556.629038788</v>
      </c>
      <c r="G24" s="260">
        <f>G4*4.5%</f>
        <v>6760090.4507315941</v>
      </c>
      <c r="H24" s="261">
        <f>SUM(E24:G24)</f>
        <v>65297355.787941962</v>
      </c>
    </row>
    <row r="25" spans="1:8" ht="30" hidden="1" customHeight="1" thickBot="1">
      <c r="A25" s="320" t="s">
        <v>173</v>
      </c>
      <c r="B25" s="321"/>
      <c r="C25" s="321"/>
      <c r="D25" s="262"/>
      <c r="E25" s="263">
        <f>E23-E24</f>
        <v>-29722708.708171576</v>
      </c>
      <c r="F25" s="263">
        <f t="shared" ref="F25:G25" si="8">F23-F24</f>
        <v>-28814556.629038788</v>
      </c>
      <c r="G25" s="263">
        <f t="shared" si="8"/>
        <v>-6760090.4507315941</v>
      </c>
      <c r="H25" s="264">
        <f>SUM(E25:G25)</f>
        <v>-65297355.787941962</v>
      </c>
    </row>
    <row r="31" spans="1:8" ht="48" customHeight="1">
      <c r="A31" s="330" t="s">
        <v>302</v>
      </c>
      <c r="B31" s="330"/>
      <c r="C31" s="330"/>
      <c r="D31" s="330"/>
      <c r="E31" s="330"/>
      <c r="F31" s="330"/>
      <c r="G31" s="330"/>
      <c r="H31" s="330"/>
    </row>
    <row r="32" spans="1:8" ht="48" customHeight="1">
      <c r="A32" s="330" t="s">
        <v>303</v>
      </c>
      <c r="B32" s="330"/>
      <c r="C32" s="330"/>
      <c r="D32" s="330"/>
      <c r="E32" s="330"/>
      <c r="F32" s="330"/>
      <c r="G32" s="330"/>
      <c r="H32" s="330"/>
    </row>
    <row r="33" spans="1:8" ht="48" customHeight="1">
      <c r="A33" s="330" t="s">
        <v>304</v>
      </c>
      <c r="B33" s="330"/>
      <c r="C33" s="330"/>
      <c r="D33" s="330"/>
      <c r="E33" s="330"/>
      <c r="F33" s="330"/>
      <c r="G33" s="330"/>
      <c r="H33" s="330"/>
    </row>
    <row r="34" spans="1:8" ht="48" customHeight="1">
      <c r="A34" s="330" t="s">
        <v>180</v>
      </c>
      <c r="B34" s="330"/>
      <c r="C34" s="330"/>
      <c r="D34" s="330"/>
      <c r="E34" s="330"/>
      <c r="F34" s="330"/>
      <c r="G34" s="330"/>
      <c r="H34" s="330"/>
    </row>
    <row r="35" spans="1:8">
      <c r="A35" s="331"/>
      <c r="B35" s="331"/>
      <c r="C35" s="331"/>
      <c r="D35" s="331"/>
      <c r="E35" s="331"/>
      <c r="F35" s="331"/>
      <c r="G35" s="331"/>
      <c r="H35" s="331"/>
    </row>
  </sheetData>
  <mergeCells count="30">
    <mergeCell ref="A10:C10"/>
    <mergeCell ref="B14:C14"/>
    <mergeCell ref="B15:C15"/>
    <mergeCell ref="B16:C16"/>
    <mergeCell ref="A24:C24"/>
    <mergeCell ref="A18:C18"/>
    <mergeCell ref="A19:C19"/>
    <mergeCell ref="A20:C20"/>
    <mergeCell ref="A21:C21"/>
    <mergeCell ref="A31:H31"/>
    <mergeCell ref="A32:H32"/>
    <mergeCell ref="A33:H33"/>
    <mergeCell ref="A35:H35"/>
    <mergeCell ref="A34:H34"/>
    <mergeCell ref="A25:C25"/>
    <mergeCell ref="A1:H1"/>
    <mergeCell ref="A3:C3"/>
    <mergeCell ref="A4:C4"/>
    <mergeCell ref="B5:C5"/>
    <mergeCell ref="B6:C6"/>
    <mergeCell ref="A7:C7"/>
    <mergeCell ref="A8:C8"/>
    <mergeCell ref="B11:C11"/>
    <mergeCell ref="A22:C22"/>
    <mergeCell ref="A23:C23"/>
    <mergeCell ref="A11:A12"/>
    <mergeCell ref="B17:C17"/>
    <mergeCell ref="A9:C9"/>
    <mergeCell ref="B12:C12"/>
    <mergeCell ref="A13:C13"/>
  </mergeCells>
  <phoneticPr fontId="15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25"/>
  <sheetViews>
    <sheetView tabSelected="1" workbookViewId="0">
      <selection activeCell="F19" sqref="F19"/>
    </sheetView>
  </sheetViews>
  <sheetFormatPr defaultColWidth="9" defaultRowHeight="12"/>
  <cols>
    <col min="1" max="1" width="46.75" style="70" customWidth="1"/>
    <col min="2" max="2" width="4.75" style="70" bestFit="1" customWidth="1"/>
    <col min="3" max="4" width="17.125" style="70" bestFit="1" customWidth="1"/>
    <col min="5" max="5" width="13.5" style="70" customWidth="1"/>
    <col min="6" max="16384" width="9" style="70"/>
  </cols>
  <sheetData>
    <row r="1" spans="1:5" ht="28.15" customHeight="1">
      <c r="A1" s="334" t="s">
        <v>252</v>
      </c>
      <c r="B1" s="334"/>
      <c r="C1" s="334"/>
      <c r="D1" s="134"/>
      <c r="E1" s="134"/>
    </row>
    <row r="2" spans="1:5" ht="28.15" customHeight="1">
      <c r="A2" s="75" t="s">
        <v>143</v>
      </c>
      <c r="B2" s="76" t="s">
        <v>41</v>
      </c>
      <c r="C2" s="76" t="s">
        <v>31</v>
      </c>
    </row>
    <row r="3" spans="1:5" ht="25.15" customHeight="1">
      <c r="A3" s="77" t="s">
        <v>187</v>
      </c>
      <c r="B3" s="78">
        <v>1</v>
      </c>
      <c r="C3" s="79">
        <f>销售收入!H10</f>
        <v>2955011192.6605501</v>
      </c>
      <c r="E3" s="80"/>
    </row>
    <row r="4" spans="1:5" ht="25.15" customHeight="1">
      <c r="A4" s="81" t="s">
        <v>189</v>
      </c>
      <c r="B4" s="78">
        <v>2</v>
      </c>
      <c r="C4" s="79">
        <f>成本!J3+成本!J7</f>
        <v>2618705987.047473</v>
      </c>
      <c r="D4" s="80">
        <f>C4+C5+C6+C7+C8</f>
        <v>2852626872.0155063</v>
      </c>
      <c r="E4" s="80">
        <f>D4/10000</f>
        <v>285262.68720155064</v>
      </c>
    </row>
    <row r="5" spans="1:5" ht="24.95" customHeight="1">
      <c r="A5" s="77" t="s">
        <v>144</v>
      </c>
      <c r="B5" s="78">
        <v>3</v>
      </c>
      <c r="C5" s="79">
        <f>税金及附加!D11</f>
        <v>6036545.3453918518</v>
      </c>
      <c r="E5" s="80"/>
    </row>
    <row r="6" spans="1:5" ht="25.15" customHeight="1">
      <c r="A6" s="77" t="s">
        <v>145</v>
      </c>
      <c r="B6" s="78">
        <v>4</v>
      </c>
      <c r="C6" s="79">
        <f>成本!J21</f>
        <v>28905660.377358489</v>
      </c>
      <c r="E6" s="80"/>
    </row>
    <row r="7" spans="1:5" ht="25.15" customHeight="1">
      <c r="A7" s="77" t="s">
        <v>146</v>
      </c>
      <c r="B7" s="78">
        <v>5</v>
      </c>
      <c r="C7" s="79">
        <f>成本!J20</f>
        <v>32188679.245283019</v>
      </c>
      <c r="E7" s="80"/>
    </row>
    <row r="8" spans="1:5" ht="25.15" customHeight="1">
      <c r="A8" s="77" t="s">
        <v>147</v>
      </c>
      <c r="B8" s="78">
        <v>6</v>
      </c>
      <c r="C8" s="79">
        <f>成本!J19</f>
        <v>166790000</v>
      </c>
      <c r="D8" s="80"/>
      <c r="E8" s="80"/>
    </row>
    <row r="9" spans="1:5" ht="25.15" customHeight="1">
      <c r="A9" s="77" t="s">
        <v>148</v>
      </c>
      <c r="B9" s="78">
        <v>7</v>
      </c>
      <c r="C9" s="82"/>
      <c r="E9" s="80"/>
    </row>
    <row r="10" spans="1:5" ht="25.15" customHeight="1">
      <c r="A10" s="77" t="s">
        <v>149</v>
      </c>
      <c r="B10" s="78">
        <v>8</v>
      </c>
      <c r="C10" s="79"/>
      <c r="E10" s="80"/>
    </row>
    <row r="11" spans="1:5" ht="25.15" customHeight="1">
      <c r="A11" s="77" t="s">
        <v>150</v>
      </c>
      <c r="B11" s="78">
        <v>9</v>
      </c>
      <c r="C11" s="79"/>
      <c r="E11" s="80"/>
    </row>
    <row r="12" spans="1:5" ht="25.15" customHeight="1">
      <c r="A12" s="77" t="s">
        <v>151</v>
      </c>
      <c r="B12" s="78">
        <v>10</v>
      </c>
      <c r="C12" s="79"/>
      <c r="E12" s="80"/>
    </row>
    <row r="13" spans="1:5" ht="25.15" customHeight="1">
      <c r="A13" s="83" t="s">
        <v>60</v>
      </c>
      <c r="B13" s="84">
        <v>11</v>
      </c>
      <c r="C13" s="85">
        <f>C3-C4-C5-C6-C7-C8-C9+C10+C11</f>
        <v>102384320.64504379</v>
      </c>
      <c r="D13" s="80"/>
      <c r="E13" s="80"/>
    </row>
    <row r="14" spans="1:5" ht="25.15" customHeight="1">
      <c r="A14" s="77" t="s">
        <v>152</v>
      </c>
      <c r="B14" s="78">
        <v>12</v>
      </c>
      <c r="C14" s="82"/>
      <c r="E14" s="80"/>
    </row>
    <row r="15" spans="1:5" ht="25.15" customHeight="1">
      <c r="A15" s="77" t="s">
        <v>153</v>
      </c>
      <c r="B15" s="78">
        <v>13</v>
      </c>
      <c r="C15" s="82"/>
      <c r="E15" s="80"/>
    </row>
    <row r="16" spans="1:5" ht="25.15" customHeight="1">
      <c r="A16" s="77" t="s">
        <v>154</v>
      </c>
      <c r="B16" s="78">
        <v>14</v>
      </c>
      <c r="C16" s="79"/>
      <c r="E16" s="80"/>
    </row>
    <row r="17" spans="1:5" ht="25.15" customHeight="1">
      <c r="A17" s="83" t="s">
        <v>155</v>
      </c>
      <c r="B17" s="84">
        <v>15</v>
      </c>
      <c r="C17" s="86">
        <f>C13+C14-C15</f>
        <v>102384320.64504379</v>
      </c>
      <c r="E17" s="80"/>
    </row>
    <row r="18" spans="1:5" ht="25.15" customHeight="1">
      <c r="A18" s="77" t="s">
        <v>156</v>
      </c>
      <c r="B18" s="78">
        <v>16</v>
      </c>
      <c r="C18" s="79">
        <f>C17*25%</f>
        <v>25596080.161260948</v>
      </c>
      <c r="E18" s="80"/>
    </row>
    <row r="19" spans="1:5" ht="25.15" customHeight="1">
      <c r="A19" s="83" t="s">
        <v>61</v>
      </c>
      <c r="B19" s="84">
        <v>17</v>
      </c>
      <c r="C19" s="86">
        <f>C17-C18</f>
        <v>76788240.483782843</v>
      </c>
      <c r="E19" s="80"/>
    </row>
    <row r="20" spans="1:5" ht="24.75" customHeight="1">
      <c r="C20" s="87">
        <v>0.3</v>
      </c>
    </row>
    <row r="21" spans="1:5" s="72" customFormat="1" ht="24.75" customHeight="1">
      <c r="C21" s="72">
        <f>C19*C20</f>
        <v>23036472.145134851</v>
      </c>
    </row>
    <row r="22" spans="1:5">
      <c r="C22" s="72"/>
    </row>
    <row r="24" spans="1:5">
      <c r="C24" s="73"/>
    </row>
    <row r="25" spans="1:5">
      <c r="C25" s="87"/>
    </row>
  </sheetData>
  <mergeCells count="1">
    <mergeCell ref="A1:C1"/>
  </mergeCells>
  <phoneticPr fontId="15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5" zoomScaleNormal="115" workbookViewId="0">
      <selection activeCell="G18" sqref="G18"/>
    </sheetView>
  </sheetViews>
  <sheetFormatPr defaultRowHeight="13.5"/>
  <cols>
    <col min="1" max="1" width="40.5" style="151" bestFit="1" customWidth="1"/>
    <col min="2" max="2" width="5.25" style="151" bestFit="1" customWidth="1"/>
    <col min="3" max="3" width="32.375" style="151" bestFit="1" customWidth="1"/>
    <col min="4" max="16384" width="9" style="151"/>
  </cols>
  <sheetData>
    <row r="1" spans="1:3" ht="14.25" thickBot="1">
      <c r="A1" s="149" t="s">
        <v>5</v>
      </c>
      <c r="B1" s="150" t="s">
        <v>41</v>
      </c>
      <c r="C1" s="150" t="s">
        <v>201</v>
      </c>
    </row>
    <row r="2" spans="1:3" ht="14.25" thickBot="1">
      <c r="A2" s="152" t="s">
        <v>188</v>
      </c>
      <c r="B2" s="153">
        <v>1</v>
      </c>
      <c r="C2" s="154">
        <f>销售收入!H7</f>
        <v>3063868595</v>
      </c>
    </row>
    <row r="3" spans="1:3" ht="14.25" thickBot="1">
      <c r="A3" s="152" t="s">
        <v>208</v>
      </c>
      <c r="B3" s="153">
        <v>2</v>
      </c>
      <c r="C3" s="154" t="e">
        <f>SUM(C4:C8)</f>
        <v>#REF!</v>
      </c>
    </row>
    <row r="4" spans="1:3" ht="14.25" thickBot="1">
      <c r="A4" s="156" t="s">
        <v>213</v>
      </c>
      <c r="B4" s="155">
        <v>3</v>
      </c>
      <c r="C4" s="159">
        <f>成本!D4</f>
        <v>1745484500</v>
      </c>
    </row>
    <row r="5" spans="1:3" ht="14.25" thickBot="1">
      <c r="A5" s="157" t="s">
        <v>209</v>
      </c>
      <c r="B5" s="155">
        <v>4</v>
      </c>
      <c r="C5" s="159">
        <f>成本!D5</f>
        <v>52364535</v>
      </c>
    </row>
    <row r="6" spans="1:3" ht="14.25" thickBot="1">
      <c r="A6" s="157" t="s">
        <v>210</v>
      </c>
      <c r="B6" s="155">
        <v>5</v>
      </c>
      <c r="C6" s="159" t="e">
        <f>成本!#REF!</f>
        <v>#REF!</v>
      </c>
    </row>
    <row r="7" spans="1:3" ht="14.25" thickBot="1">
      <c r="A7" s="157" t="s">
        <v>211</v>
      </c>
      <c r="B7" s="155">
        <v>6</v>
      </c>
      <c r="C7" s="159" t="e">
        <f>成本!#REF!</f>
        <v>#REF!</v>
      </c>
    </row>
    <row r="8" spans="1:3" ht="14.25" thickBot="1">
      <c r="A8" s="157" t="s">
        <v>212</v>
      </c>
      <c r="B8" s="155">
        <v>7</v>
      </c>
      <c r="C8" s="159">
        <f>成本!D7</f>
        <v>890970000</v>
      </c>
    </row>
    <row r="9" spans="1:3" ht="14.25" thickBot="1">
      <c r="A9" s="152" t="s">
        <v>225</v>
      </c>
      <c r="B9" s="164">
        <v>8</v>
      </c>
      <c r="C9" s="160">
        <f>SUM(C10:C13)</f>
        <v>39070359.696598761</v>
      </c>
    </row>
    <row r="10" spans="1:3" ht="14.25" thickBot="1">
      <c r="A10" s="158" t="s">
        <v>214</v>
      </c>
      <c r="B10" s="155">
        <v>9</v>
      </c>
      <c r="C10" s="161">
        <f>税金及附加!D3</f>
        <v>37538425.399098761</v>
      </c>
    </row>
    <row r="11" spans="1:3" ht="14.25" thickBot="1">
      <c r="A11" s="158" t="s">
        <v>218</v>
      </c>
      <c r="B11" s="155">
        <v>10</v>
      </c>
      <c r="C11" s="159">
        <f>税金及附加!D13</f>
        <v>0</v>
      </c>
    </row>
    <row r="12" spans="1:3" ht="14.25" thickBot="1">
      <c r="A12" s="158" t="s">
        <v>219</v>
      </c>
      <c r="B12" s="155">
        <v>11</v>
      </c>
      <c r="C12" s="159">
        <f>税金及附加!D10</f>
        <v>1531934.2975000001</v>
      </c>
    </row>
    <row r="13" spans="1:3" ht="14.25" thickBot="1">
      <c r="A13" s="158" t="s">
        <v>220</v>
      </c>
      <c r="B13" s="155">
        <v>12</v>
      </c>
      <c r="C13" s="159">
        <f>税金及附加!D9</f>
        <v>0</v>
      </c>
    </row>
    <row r="14" spans="1:3" ht="14.25" thickBot="1">
      <c r="A14" s="152" t="s">
        <v>226</v>
      </c>
      <c r="B14" s="164">
        <v>13</v>
      </c>
      <c r="C14" s="160">
        <f>SUM(C15:C16)</f>
        <v>64760000</v>
      </c>
    </row>
    <row r="15" spans="1:3" ht="14.25" thickBot="1">
      <c r="A15" s="158" t="s">
        <v>215</v>
      </c>
      <c r="B15" s="155">
        <v>14</v>
      </c>
      <c r="C15" s="159">
        <f>成本!D21</f>
        <v>30640000</v>
      </c>
    </row>
    <row r="16" spans="1:3" ht="14.25" thickBot="1">
      <c r="A16" s="158" t="s">
        <v>216</v>
      </c>
      <c r="B16" s="155">
        <v>15</v>
      </c>
      <c r="C16" s="159">
        <f>成本!D20</f>
        <v>34120000</v>
      </c>
    </row>
    <row r="17" spans="1:4" ht="14.25" thickBot="1">
      <c r="A17" s="158" t="s">
        <v>217</v>
      </c>
      <c r="B17" s="155">
        <v>16</v>
      </c>
      <c r="C17" s="159">
        <v>0</v>
      </c>
    </row>
    <row r="18" spans="1:4" ht="14.25" thickBot="1">
      <c r="A18" s="152" t="s">
        <v>224</v>
      </c>
      <c r="B18" s="164">
        <v>17</v>
      </c>
      <c r="C18" s="160">
        <v>0</v>
      </c>
    </row>
    <row r="19" spans="1:4" ht="14.25" thickBot="1">
      <c r="A19" s="152" t="s">
        <v>204</v>
      </c>
      <c r="B19" s="164">
        <v>18</v>
      </c>
      <c r="C19" s="160">
        <v>0</v>
      </c>
    </row>
    <row r="20" spans="1:4" ht="14.25" thickBot="1">
      <c r="A20" s="152" t="s">
        <v>221</v>
      </c>
      <c r="B20" s="164">
        <v>19</v>
      </c>
      <c r="C20" s="160">
        <v>0</v>
      </c>
    </row>
    <row r="21" spans="1:4" ht="14.25" thickBot="1">
      <c r="A21" s="158" t="s">
        <v>222</v>
      </c>
      <c r="B21" s="155">
        <v>20</v>
      </c>
      <c r="C21" s="159">
        <v>0</v>
      </c>
    </row>
    <row r="22" spans="1:4" ht="14.25" thickBot="1">
      <c r="A22" s="152" t="s">
        <v>227</v>
      </c>
      <c r="B22" s="164">
        <v>21</v>
      </c>
      <c r="C22" s="160" t="e">
        <f>C2-C3-C9-C14-C18+C19+C20</f>
        <v>#REF!</v>
      </c>
    </row>
    <row r="23" spans="1:4" ht="14.25" thickBot="1">
      <c r="A23" s="152" t="s">
        <v>205</v>
      </c>
      <c r="B23" s="164">
        <v>22</v>
      </c>
      <c r="C23" s="160">
        <v>0</v>
      </c>
    </row>
    <row r="24" spans="1:4" ht="14.25" thickBot="1">
      <c r="A24" s="152" t="s">
        <v>206</v>
      </c>
      <c r="B24" s="164">
        <v>23</v>
      </c>
      <c r="C24" s="160">
        <v>0</v>
      </c>
    </row>
    <row r="25" spans="1:4" ht="14.25" thickBot="1">
      <c r="A25" s="158" t="s">
        <v>223</v>
      </c>
      <c r="B25" s="155">
        <v>24</v>
      </c>
      <c r="C25" s="159">
        <v>0</v>
      </c>
    </row>
    <row r="26" spans="1:4" ht="14.25" thickBot="1">
      <c r="A26" s="152" t="s">
        <v>228</v>
      </c>
      <c r="B26" s="164">
        <v>25</v>
      </c>
      <c r="C26" s="160" t="e">
        <f>C22+C23-C24</f>
        <v>#REF!</v>
      </c>
    </row>
    <row r="27" spans="1:4" ht="14.25" thickBot="1">
      <c r="A27" s="152" t="s">
        <v>207</v>
      </c>
      <c r="B27" s="164">
        <v>26</v>
      </c>
      <c r="C27" s="160" t="e">
        <f>C26*0.25</f>
        <v>#REF!</v>
      </c>
    </row>
    <row r="28" spans="1:4" ht="14.25" thickBot="1">
      <c r="A28" s="152" t="s">
        <v>229</v>
      </c>
      <c r="B28" s="164">
        <v>27</v>
      </c>
      <c r="C28" s="160" t="e">
        <f>C26-C27</f>
        <v>#REF!</v>
      </c>
    </row>
    <row r="29" spans="1:4">
      <c r="D29" s="162">
        <v>0.35</v>
      </c>
    </row>
    <row r="30" spans="1:4">
      <c r="C30" s="163" t="e">
        <f>C28*D29</f>
        <v>#REF!</v>
      </c>
    </row>
  </sheetData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3" sqref="E3"/>
    </sheetView>
  </sheetViews>
  <sheetFormatPr defaultRowHeight="13.5"/>
  <cols>
    <col min="1" max="1" width="5" style="151" bestFit="1" customWidth="1"/>
    <col min="2" max="3" width="18" style="151" bestFit="1" customWidth="1"/>
    <col min="4" max="4" width="33.75" style="151" bestFit="1" customWidth="1"/>
    <col min="5" max="5" width="18" style="151" bestFit="1" customWidth="1"/>
    <col min="6" max="6" width="37.5" style="151" bestFit="1" customWidth="1"/>
    <col min="7" max="7" width="18.375" style="151" bestFit="1" customWidth="1"/>
    <col min="8" max="8" width="20.5" style="151" bestFit="1" customWidth="1"/>
    <col min="9" max="16384" width="9" style="151"/>
  </cols>
  <sheetData>
    <row r="1" spans="1:8" ht="27" customHeight="1" thickBot="1">
      <c r="A1" s="167" t="s">
        <v>4</v>
      </c>
      <c r="B1" s="168" t="s">
        <v>5</v>
      </c>
      <c r="C1" s="168" t="s">
        <v>230</v>
      </c>
      <c r="D1" s="168" t="s">
        <v>231</v>
      </c>
      <c r="E1" s="168" t="s">
        <v>232</v>
      </c>
      <c r="F1" s="168" t="s">
        <v>233</v>
      </c>
    </row>
    <row r="2" spans="1:8" ht="27" customHeight="1" thickBot="1">
      <c r="A2" s="165">
        <v>1</v>
      </c>
      <c r="B2" s="166" t="s">
        <v>17</v>
      </c>
      <c r="C2" s="170">
        <f>成本!D3</f>
        <v>1798721777.25</v>
      </c>
      <c r="D2" s="171">
        <f>190622.55*10000</f>
        <v>1906225500</v>
      </c>
      <c r="E2" s="171">
        <f>D2</f>
        <v>1906225500</v>
      </c>
      <c r="F2" s="171">
        <f>D2-E2</f>
        <v>0</v>
      </c>
      <c r="H2" s="169"/>
    </row>
    <row r="3" spans="1:8" ht="27" customHeight="1" thickBot="1">
      <c r="A3" s="165">
        <v>2</v>
      </c>
      <c r="B3" s="166" t="s">
        <v>18</v>
      </c>
      <c r="C3" s="171">
        <f>成本!D7</f>
        <v>890970000</v>
      </c>
      <c r="D3" s="171">
        <f>SUM(D4:D11)</f>
        <v>1962113520.1399996</v>
      </c>
      <c r="E3" s="171">
        <f t="shared" ref="E3:F3" si="0">SUM(E4:E11)</f>
        <v>994902511.34000003</v>
      </c>
      <c r="F3" s="171">
        <f t="shared" si="0"/>
        <v>967211008.79999971</v>
      </c>
      <c r="H3" s="169"/>
    </row>
    <row r="4" spans="1:8" ht="27" customHeight="1" thickBot="1">
      <c r="A4" s="165">
        <v>2.1</v>
      </c>
      <c r="B4" s="166" t="s">
        <v>19</v>
      </c>
      <c r="C4" s="170"/>
      <c r="D4" s="171">
        <v>57478695.459999993</v>
      </c>
      <c r="E4" s="172">
        <v>35009138.230000004</v>
      </c>
      <c r="F4" s="172">
        <f>D4-E4</f>
        <v>22469557.229999989</v>
      </c>
      <c r="H4" s="169"/>
    </row>
    <row r="5" spans="1:8" ht="27" customHeight="1" thickBot="1">
      <c r="A5" s="165">
        <v>2.2000000000000002</v>
      </c>
      <c r="B5" s="166" t="s">
        <v>234</v>
      </c>
      <c r="C5" s="170"/>
      <c r="D5" s="171">
        <v>34966438.140000001</v>
      </c>
      <c r="E5" s="173">
        <v>26812163.850000001</v>
      </c>
      <c r="F5" s="172">
        <f t="shared" ref="F5:F11" si="1">D5-E5</f>
        <v>8154274.2899999991</v>
      </c>
      <c r="H5" s="169"/>
    </row>
    <row r="6" spans="1:8" ht="27" customHeight="1" thickBot="1">
      <c r="A6" s="165">
        <v>2.2999999999999998</v>
      </c>
      <c r="B6" s="166" t="s">
        <v>235</v>
      </c>
      <c r="C6" s="170"/>
      <c r="D6" s="171">
        <v>1516249083.0399997</v>
      </c>
      <c r="E6" s="172">
        <v>933081209.25999999</v>
      </c>
      <c r="F6" s="172">
        <f t="shared" si="1"/>
        <v>583167873.77999973</v>
      </c>
      <c r="H6" s="169"/>
    </row>
    <row r="7" spans="1:8" ht="27" customHeight="1" thickBot="1">
      <c r="A7" s="165">
        <v>2.4</v>
      </c>
      <c r="B7" s="166" t="s">
        <v>236</v>
      </c>
      <c r="C7" s="170"/>
      <c r="D7" s="171">
        <v>88772387.640000001</v>
      </c>
      <c r="E7" s="173">
        <v>0</v>
      </c>
      <c r="F7" s="172">
        <f t="shared" si="1"/>
        <v>88772387.640000001</v>
      </c>
      <c r="H7" s="169"/>
    </row>
    <row r="8" spans="1:8" ht="27" customHeight="1" thickBot="1">
      <c r="A8" s="165">
        <v>2.5</v>
      </c>
      <c r="B8" s="166" t="s">
        <v>237</v>
      </c>
      <c r="C8" s="170"/>
      <c r="D8" s="171">
        <v>48986146.440000005</v>
      </c>
      <c r="E8" s="173">
        <v>0</v>
      </c>
      <c r="F8" s="172">
        <f t="shared" si="1"/>
        <v>48986146.440000005</v>
      </c>
      <c r="H8" s="169"/>
    </row>
    <row r="9" spans="1:8" ht="27" customHeight="1" thickBot="1">
      <c r="A9" s="165">
        <v>2.6</v>
      </c>
      <c r="B9" s="166" t="s">
        <v>202</v>
      </c>
      <c r="C9" s="170"/>
      <c r="D9" s="171">
        <v>98686664.120000005</v>
      </c>
      <c r="E9" s="173">
        <v>0</v>
      </c>
      <c r="F9" s="172">
        <f t="shared" si="1"/>
        <v>98686664.120000005</v>
      </c>
      <c r="H9" s="169"/>
    </row>
    <row r="10" spans="1:8" ht="27" customHeight="1" thickBot="1">
      <c r="A10" s="165">
        <v>2.7</v>
      </c>
      <c r="B10" s="166" t="s">
        <v>238</v>
      </c>
      <c r="C10" s="170"/>
      <c r="D10" s="171">
        <v>13711520</v>
      </c>
      <c r="E10" s="173">
        <v>0</v>
      </c>
      <c r="F10" s="172">
        <f t="shared" si="1"/>
        <v>13711520</v>
      </c>
      <c r="H10" s="169"/>
    </row>
    <row r="11" spans="1:8" ht="27" customHeight="1" thickBot="1">
      <c r="A11" s="165">
        <v>2.8</v>
      </c>
      <c r="B11" s="166" t="s">
        <v>203</v>
      </c>
      <c r="C11" s="170"/>
      <c r="D11" s="171">
        <v>103262585.3</v>
      </c>
      <c r="E11" s="173">
        <v>0</v>
      </c>
      <c r="F11" s="172">
        <f t="shared" si="1"/>
        <v>103262585.3</v>
      </c>
    </row>
    <row r="12" spans="1:8" ht="27" customHeight="1" thickBot="1">
      <c r="A12" s="165">
        <v>3</v>
      </c>
      <c r="B12" s="166" t="s">
        <v>20</v>
      </c>
      <c r="C12" s="170"/>
      <c r="D12" s="171"/>
      <c r="E12" s="173"/>
      <c r="F12" s="171"/>
    </row>
    <row r="13" spans="1:8" ht="27" customHeight="1" thickBot="1">
      <c r="A13" s="165">
        <v>4</v>
      </c>
      <c r="B13" s="166" t="s">
        <v>22</v>
      </c>
      <c r="C13" s="170">
        <f>成本!D21</f>
        <v>30640000</v>
      </c>
      <c r="D13" s="172"/>
      <c r="E13" s="173"/>
      <c r="F13" s="171"/>
    </row>
    <row r="14" spans="1:8" ht="27" customHeight="1" thickBot="1">
      <c r="A14" s="165">
        <v>5</v>
      </c>
      <c r="B14" s="166" t="s">
        <v>21</v>
      </c>
      <c r="C14" s="170">
        <f>成本!D20</f>
        <v>34120000</v>
      </c>
      <c r="D14" s="172"/>
      <c r="E14" s="172"/>
      <c r="F14" s="171"/>
    </row>
    <row r="15" spans="1:8" ht="27" customHeight="1" thickBot="1">
      <c r="A15" s="165">
        <v>6</v>
      </c>
      <c r="B15" s="166" t="s">
        <v>3</v>
      </c>
      <c r="C15" s="171">
        <f>C2+C3+C12+C13+C14</f>
        <v>2754451777.25</v>
      </c>
      <c r="D15" s="171">
        <f t="shared" ref="D15:F15" si="2">D2+D3+D12+D13+D14</f>
        <v>3868339020.1399994</v>
      </c>
      <c r="E15" s="171">
        <f t="shared" si="2"/>
        <v>2901128011.3400002</v>
      </c>
      <c r="F15" s="171">
        <f t="shared" si="2"/>
        <v>967211008.79999971</v>
      </c>
      <c r="G15" s="163"/>
    </row>
  </sheetData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XFD1048576"/>
    </sheetView>
  </sheetViews>
  <sheetFormatPr defaultRowHeight="13.5"/>
  <cols>
    <col min="1" max="1" width="3.25" style="151" bestFit="1" customWidth="1"/>
    <col min="2" max="2" width="9" style="151"/>
    <col min="3" max="3" width="8.5" style="151" bestFit="1" customWidth="1"/>
    <col min="4" max="4" width="5.25" style="151" bestFit="1" customWidth="1"/>
    <col min="5" max="5" width="18.375" style="151" bestFit="1" customWidth="1"/>
    <col min="6" max="6" width="9" style="151"/>
    <col min="7" max="7" width="16.125" style="151" bestFit="1" customWidth="1"/>
    <col min="8" max="16384" width="9" style="151"/>
  </cols>
  <sheetData>
    <row r="1" spans="1:7" ht="26.25" thickBot="1">
      <c r="A1" s="338" t="s">
        <v>40</v>
      </c>
      <c r="B1" s="339"/>
      <c r="C1" s="340"/>
      <c r="D1" s="174" t="s">
        <v>41</v>
      </c>
      <c r="E1" s="174" t="s">
        <v>42</v>
      </c>
      <c r="F1" s="174" t="s">
        <v>43</v>
      </c>
      <c r="G1" s="174" t="s">
        <v>44</v>
      </c>
    </row>
    <row r="2" spans="1:7" ht="25.5" customHeight="1" thickBot="1">
      <c r="A2" s="341" t="s">
        <v>192</v>
      </c>
      <c r="B2" s="342"/>
      <c r="C2" s="343"/>
      <c r="D2" s="175">
        <v>1</v>
      </c>
      <c r="E2" s="176">
        <v>1322671473.97</v>
      </c>
      <c r="F2" s="177">
        <v>0</v>
      </c>
      <c r="G2" s="176">
        <v>544515506.10000002</v>
      </c>
    </row>
    <row r="3" spans="1:7" ht="14.25" thickBot="1">
      <c r="A3" s="178" t="s">
        <v>45</v>
      </c>
      <c r="B3" s="335" t="s">
        <v>46</v>
      </c>
      <c r="C3" s="337"/>
      <c r="D3" s="175">
        <v>2</v>
      </c>
      <c r="E3" s="179">
        <v>1322671473.97</v>
      </c>
      <c r="F3" s="180"/>
      <c r="G3" s="179">
        <v>544515506.10000002</v>
      </c>
    </row>
    <row r="4" spans="1:7" ht="14.25" thickBot="1">
      <c r="A4" s="181" t="s">
        <v>47</v>
      </c>
      <c r="B4" s="335" t="s">
        <v>48</v>
      </c>
      <c r="C4" s="337"/>
      <c r="D4" s="175">
        <v>3</v>
      </c>
      <c r="E4" s="180"/>
      <c r="F4" s="180"/>
      <c r="G4" s="180"/>
    </row>
    <row r="5" spans="1:7">
      <c r="A5" s="344" t="s">
        <v>239</v>
      </c>
      <c r="B5" s="345"/>
      <c r="C5" s="346"/>
      <c r="D5" s="350">
        <v>4</v>
      </c>
      <c r="E5" s="352">
        <v>1013651399.51</v>
      </c>
      <c r="F5" s="354"/>
      <c r="G5" s="352">
        <v>144910775.27000001</v>
      </c>
    </row>
    <row r="6" spans="1:7" ht="14.25" thickBot="1">
      <c r="A6" s="347" t="s">
        <v>240</v>
      </c>
      <c r="B6" s="348"/>
      <c r="C6" s="349"/>
      <c r="D6" s="351"/>
      <c r="E6" s="353"/>
      <c r="F6" s="355"/>
      <c r="G6" s="353"/>
    </row>
    <row r="7" spans="1:7" ht="25.5" customHeight="1" thickBot="1">
      <c r="A7" s="335" t="s">
        <v>241</v>
      </c>
      <c r="B7" s="336"/>
      <c r="C7" s="337"/>
      <c r="D7" s="175">
        <v>5</v>
      </c>
      <c r="E7" s="179">
        <v>289867130.88</v>
      </c>
      <c r="F7" s="180"/>
      <c r="G7" s="179">
        <v>40325773.93</v>
      </c>
    </row>
    <row r="8" spans="1:7" ht="14.25" thickBot="1">
      <c r="A8" s="335" t="s">
        <v>242</v>
      </c>
      <c r="B8" s="336"/>
      <c r="C8" s="337"/>
      <c r="D8" s="175">
        <v>6</v>
      </c>
      <c r="E8" s="179">
        <v>441228220.63</v>
      </c>
      <c r="F8" s="180"/>
      <c r="G8" s="179">
        <v>61382846.07</v>
      </c>
    </row>
    <row r="9" spans="1:7" ht="14.25" thickBot="1">
      <c r="A9" s="335" t="s">
        <v>243</v>
      </c>
      <c r="B9" s="336"/>
      <c r="C9" s="337"/>
      <c r="D9" s="175">
        <v>7</v>
      </c>
      <c r="E9" s="179">
        <v>129609207.65000001</v>
      </c>
      <c r="F9" s="180">
        <v>0</v>
      </c>
      <c r="G9" s="179">
        <v>18030990.93</v>
      </c>
    </row>
    <row r="10" spans="1:7" ht="14.25" thickBot="1">
      <c r="A10" s="356" t="s">
        <v>50</v>
      </c>
      <c r="B10" s="357"/>
      <c r="C10" s="182" t="s">
        <v>193</v>
      </c>
      <c r="D10" s="175">
        <v>8</v>
      </c>
      <c r="E10" s="179">
        <v>93054440.069999993</v>
      </c>
      <c r="F10" s="180"/>
      <c r="G10" s="179">
        <v>12945559.93</v>
      </c>
    </row>
    <row r="11" spans="1:7" ht="39" thickBot="1">
      <c r="A11" s="358"/>
      <c r="B11" s="359"/>
      <c r="C11" s="182" t="s">
        <v>51</v>
      </c>
      <c r="D11" s="175">
        <v>9</v>
      </c>
      <c r="E11" s="179">
        <v>36554767.579999998</v>
      </c>
      <c r="F11" s="180"/>
      <c r="G11" s="179">
        <v>5085431</v>
      </c>
    </row>
    <row r="12" spans="1:7">
      <c r="A12" s="360" t="s">
        <v>244</v>
      </c>
      <c r="B12" s="361"/>
      <c r="C12" s="362"/>
      <c r="D12" s="350">
        <v>10</v>
      </c>
      <c r="E12" s="352">
        <v>6727770.0499999998</v>
      </c>
      <c r="F12" s="354">
        <v>0</v>
      </c>
      <c r="G12" s="352">
        <v>4829440.3499999996</v>
      </c>
    </row>
    <row r="13" spans="1:7" ht="14.25" thickBot="1">
      <c r="A13" s="363" t="s">
        <v>245</v>
      </c>
      <c r="B13" s="364"/>
      <c r="C13" s="365"/>
      <c r="D13" s="351"/>
      <c r="E13" s="353"/>
      <c r="F13" s="355"/>
      <c r="G13" s="353"/>
    </row>
    <row r="14" spans="1:7" ht="26.25" thickBot="1">
      <c r="A14" s="356" t="s">
        <v>45</v>
      </c>
      <c r="B14" s="357"/>
      <c r="C14" s="182" t="s">
        <v>53</v>
      </c>
      <c r="D14" s="175">
        <v>11</v>
      </c>
      <c r="E14" s="179">
        <v>3924532.53</v>
      </c>
      <c r="F14" s="180"/>
      <c r="G14" s="179">
        <v>2817173.54</v>
      </c>
    </row>
    <row r="15" spans="1:7" ht="26.25" thickBot="1">
      <c r="A15" s="366" t="s">
        <v>47</v>
      </c>
      <c r="B15" s="367"/>
      <c r="C15" s="182" t="s">
        <v>54</v>
      </c>
      <c r="D15" s="175">
        <v>12</v>
      </c>
      <c r="E15" s="179">
        <v>1681942.51</v>
      </c>
      <c r="F15" s="180"/>
      <c r="G15" s="179">
        <v>1207360.0900000001</v>
      </c>
    </row>
    <row r="16" spans="1:7" ht="26.25" thickBot="1">
      <c r="A16" s="368"/>
      <c r="B16" s="369"/>
      <c r="C16" s="182" t="s">
        <v>38</v>
      </c>
      <c r="D16" s="175">
        <v>13</v>
      </c>
      <c r="E16" s="179">
        <v>1121295.01</v>
      </c>
      <c r="F16" s="180"/>
      <c r="G16" s="179">
        <v>804906.72</v>
      </c>
    </row>
    <row r="17" spans="1:7" ht="14.25" thickBot="1">
      <c r="A17" s="335" t="s">
        <v>194</v>
      </c>
      <c r="B17" s="336"/>
      <c r="C17" s="337"/>
      <c r="D17" s="175">
        <v>15</v>
      </c>
      <c r="E17" s="179">
        <v>146219070.30000001</v>
      </c>
      <c r="F17" s="180"/>
      <c r="G17" s="179">
        <v>20341724</v>
      </c>
    </row>
    <row r="18" spans="1:7" ht="14.25" thickBot="1">
      <c r="A18" s="341" t="s">
        <v>55</v>
      </c>
      <c r="B18" s="342"/>
      <c r="C18" s="343"/>
      <c r="D18" s="175">
        <v>16</v>
      </c>
      <c r="E18" s="176">
        <v>309020074.45999998</v>
      </c>
      <c r="F18" s="177">
        <v>0</v>
      </c>
      <c r="G18" s="176">
        <v>399604730.83999997</v>
      </c>
    </row>
    <row r="19" spans="1:7" ht="25.5" customHeight="1">
      <c r="A19" s="344" t="s">
        <v>246</v>
      </c>
      <c r="B19" s="345"/>
      <c r="C19" s="346"/>
      <c r="D19" s="350">
        <v>17</v>
      </c>
      <c r="E19" s="370">
        <v>0.3049</v>
      </c>
      <c r="F19" s="354"/>
      <c r="G19" s="370">
        <v>2.7576000000000001</v>
      </c>
    </row>
    <row r="20" spans="1:7" ht="14.25" thickBot="1">
      <c r="A20" s="347" t="s">
        <v>247</v>
      </c>
      <c r="B20" s="348"/>
      <c r="C20" s="349"/>
      <c r="D20" s="351"/>
      <c r="E20" s="371"/>
      <c r="F20" s="355"/>
      <c r="G20" s="371"/>
    </row>
    <row r="21" spans="1:7" ht="14.25" thickBot="1">
      <c r="A21" s="341" t="s">
        <v>57</v>
      </c>
      <c r="B21" s="342"/>
      <c r="C21" s="343"/>
      <c r="D21" s="175">
        <v>18</v>
      </c>
      <c r="E21" s="183">
        <v>0.3</v>
      </c>
      <c r="F21" s="183">
        <v>0.3</v>
      </c>
      <c r="G21" s="183">
        <v>0.6</v>
      </c>
    </row>
    <row r="22" spans="1:7" ht="14.25" thickBot="1">
      <c r="A22" s="341" t="s">
        <v>58</v>
      </c>
      <c r="B22" s="342"/>
      <c r="C22" s="343"/>
      <c r="D22" s="175">
        <v>19</v>
      </c>
      <c r="E22" s="183">
        <v>0</v>
      </c>
      <c r="F22" s="183">
        <v>0</v>
      </c>
      <c r="G22" s="183">
        <v>0.35</v>
      </c>
    </row>
    <row r="23" spans="1:7">
      <c r="A23" s="344" t="s">
        <v>248</v>
      </c>
      <c r="B23" s="345"/>
      <c r="C23" s="346"/>
      <c r="D23" s="350">
        <v>20</v>
      </c>
      <c r="E23" s="372">
        <v>94207344</v>
      </c>
      <c r="F23" s="354">
        <v>0</v>
      </c>
      <c r="G23" s="372">
        <v>189044067</v>
      </c>
    </row>
    <row r="24" spans="1:7" ht="14.25" thickBot="1">
      <c r="A24" s="347" t="s">
        <v>249</v>
      </c>
      <c r="B24" s="348"/>
      <c r="C24" s="349"/>
      <c r="D24" s="351"/>
      <c r="E24" s="373"/>
      <c r="F24" s="355"/>
      <c r="G24" s="373"/>
    </row>
  </sheetData>
  <mergeCells count="39">
    <mergeCell ref="G19:G20"/>
    <mergeCell ref="A21:C21"/>
    <mergeCell ref="A22:C22"/>
    <mergeCell ref="A23:C23"/>
    <mergeCell ref="A24:C24"/>
    <mergeCell ref="D23:D24"/>
    <mergeCell ref="E23:E24"/>
    <mergeCell ref="F23:F24"/>
    <mergeCell ref="G23:G24"/>
    <mergeCell ref="F19:F20"/>
    <mergeCell ref="A18:C18"/>
    <mergeCell ref="A19:C19"/>
    <mergeCell ref="A20:C20"/>
    <mergeCell ref="D19:D20"/>
    <mergeCell ref="E19:E20"/>
    <mergeCell ref="F12:F13"/>
    <mergeCell ref="G12:G13"/>
    <mergeCell ref="A14:B14"/>
    <mergeCell ref="A15:B15"/>
    <mergeCell ref="A16:B16"/>
    <mergeCell ref="D12:D13"/>
    <mergeCell ref="E12:E13"/>
    <mergeCell ref="A17:C17"/>
    <mergeCell ref="A9:C9"/>
    <mergeCell ref="A10:B11"/>
    <mergeCell ref="A12:C12"/>
    <mergeCell ref="A13:C13"/>
    <mergeCell ref="D5:D6"/>
    <mergeCell ref="E5:E6"/>
    <mergeCell ref="F5:F6"/>
    <mergeCell ref="G5:G6"/>
    <mergeCell ref="A7:C7"/>
    <mergeCell ref="A8:C8"/>
    <mergeCell ref="A1:C1"/>
    <mergeCell ref="A2:C2"/>
    <mergeCell ref="B3:C3"/>
    <mergeCell ref="B4:C4"/>
    <mergeCell ref="A5:C5"/>
    <mergeCell ref="A6:C6"/>
  </mergeCells>
  <phoneticPr fontId="15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9" sqref="C29"/>
    </sheetView>
  </sheetViews>
  <sheetFormatPr defaultRowHeight="13.5"/>
  <cols>
    <col min="1" max="1" width="45.875" customWidth="1"/>
    <col min="2" max="2" width="5.25" bestFit="1" customWidth="1"/>
    <col min="3" max="3" width="32.25" customWidth="1"/>
  </cols>
  <sheetData>
    <row r="1" spans="1:3" ht="16.5" customHeight="1" thickBot="1">
      <c r="A1" s="235" t="s">
        <v>5</v>
      </c>
      <c r="B1" s="236" t="s">
        <v>41</v>
      </c>
      <c r="C1" s="236" t="s">
        <v>201</v>
      </c>
    </row>
    <row r="2" spans="1:3" ht="16.5" customHeight="1" thickBot="1">
      <c r="A2" s="237" t="s">
        <v>187</v>
      </c>
      <c r="B2" s="238">
        <v>1</v>
      </c>
      <c r="C2" s="265">
        <f>利润表!C3</f>
        <v>2955011192.6605501</v>
      </c>
    </row>
    <row r="3" spans="1:3" ht="16.5" customHeight="1" thickBot="1">
      <c r="A3" s="237" t="s">
        <v>336</v>
      </c>
      <c r="B3" s="238">
        <v>2</v>
      </c>
      <c r="C3" s="265">
        <f>C4+C5+C6+C7</f>
        <v>2618705987.047473</v>
      </c>
    </row>
    <row r="4" spans="1:3" ht="16.5" customHeight="1" thickBot="1">
      <c r="A4" s="239" t="s">
        <v>319</v>
      </c>
      <c r="B4" s="240">
        <v>3</v>
      </c>
      <c r="C4" s="266">
        <f>成本!J4</f>
        <v>1745484500</v>
      </c>
    </row>
    <row r="5" spans="1:3" ht="16.5" customHeight="1" thickBot="1">
      <c r="A5" s="239" t="s">
        <v>320</v>
      </c>
      <c r="B5" s="240">
        <v>4</v>
      </c>
      <c r="C5" s="266">
        <f>成本!J5</f>
        <v>52364535</v>
      </c>
    </row>
    <row r="6" spans="1:3" ht="16.5" customHeight="1" thickBot="1">
      <c r="A6" s="239" t="s">
        <v>337</v>
      </c>
      <c r="B6" s="240">
        <v>5</v>
      </c>
      <c r="C6" s="266">
        <f>成本!J6</f>
        <v>872742.25</v>
      </c>
    </row>
    <row r="7" spans="1:3" ht="16.5" customHeight="1" thickBot="1">
      <c r="A7" s="239" t="s">
        <v>18</v>
      </c>
      <c r="B7" s="240">
        <v>6</v>
      </c>
      <c r="C7" s="266">
        <f>成本!J7</f>
        <v>819984209.79747272</v>
      </c>
    </row>
    <row r="8" spans="1:3" ht="16.5" customHeight="1" thickBot="1">
      <c r="A8" s="237" t="s">
        <v>321</v>
      </c>
      <c r="B8" s="240">
        <v>7</v>
      </c>
      <c r="C8" s="265">
        <f>C9+C10</f>
        <v>6036545.3453918518</v>
      </c>
    </row>
    <row r="9" spans="1:3" ht="16.5" customHeight="1" thickBot="1">
      <c r="A9" s="239" t="s">
        <v>338</v>
      </c>
      <c r="B9" s="240">
        <v>8</v>
      </c>
      <c r="C9" s="266">
        <f>税金及附加!D6+税金及附加!D7+税金及附加!D8</f>
        <v>4504611.0478918515</v>
      </c>
    </row>
    <row r="10" spans="1:3" ht="16.5" customHeight="1" thickBot="1">
      <c r="A10" s="239" t="s">
        <v>322</v>
      </c>
      <c r="B10" s="240">
        <v>9</v>
      </c>
      <c r="C10" s="266">
        <f>税金及附加!D10</f>
        <v>1531934.2975000001</v>
      </c>
    </row>
    <row r="11" spans="1:3" ht="16.5" customHeight="1" thickBot="1">
      <c r="A11" s="239" t="s">
        <v>323</v>
      </c>
      <c r="B11" s="240">
        <v>10</v>
      </c>
      <c r="C11" s="266">
        <f>税金及附加!D9</f>
        <v>0</v>
      </c>
    </row>
    <row r="12" spans="1:3" ht="16.5" customHeight="1" thickBot="1">
      <c r="A12" s="237" t="s">
        <v>325</v>
      </c>
      <c r="B12" s="240">
        <v>11</v>
      </c>
      <c r="C12" s="265">
        <f>C13+C14+C15</f>
        <v>227884339.6226415</v>
      </c>
    </row>
    <row r="13" spans="1:3" ht="16.5" customHeight="1" thickBot="1">
      <c r="A13" s="239" t="s">
        <v>326</v>
      </c>
      <c r="B13" s="240">
        <v>12</v>
      </c>
      <c r="C13" s="266">
        <f>成本!J21</f>
        <v>28905660.377358489</v>
      </c>
    </row>
    <row r="14" spans="1:3" ht="16.5" customHeight="1" thickBot="1">
      <c r="A14" s="239" t="s">
        <v>21</v>
      </c>
      <c r="B14" s="240">
        <v>13</v>
      </c>
      <c r="C14" s="266">
        <f>成本!J20</f>
        <v>32188679.245283019</v>
      </c>
    </row>
    <row r="15" spans="1:3" ht="16.5" customHeight="1" thickBot="1">
      <c r="A15" s="239" t="s">
        <v>20</v>
      </c>
      <c r="B15" s="240">
        <v>14</v>
      </c>
      <c r="C15" s="266">
        <f>成本!J19</f>
        <v>166790000</v>
      </c>
    </row>
    <row r="16" spans="1:3" ht="16.5" customHeight="1" thickBot="1">
      <c r="A16" s="237" t="s">
        <v>327</v>
      </c>
      <c r="B16" s="240">
        <v>15</v>
      </c>
      <c r="C16" s="265">
        <v>0</v>
      </c>
    </row>
    <row r="17" spans="1:3" ht="16.5" customHeight="1" thickBot="1">
      <c r="A17" s="237" t="s">
        <v>204</v>
      </c>
      <c r="B17" s="240">
        <v>16</v>
      </c>
      <c r="C17" s="265">
        <f>C18</f>
        <v>0</v>
      </c>
    </row>
    <row r="18" spans="1:3" ht="16.5" customHeight="1" thickBot="1">
      <c r="A18" s="237" t="s">
        <v>328</v>
      </c>
      <c r="B18" s="240">
        <v>17</v>
      </c>
      <c r="C18" s="265">
        <v>0</v>
      </c>
    </row>
    <row r="19" spans="1:3" ht="16.5" customHeight="1" thickBot="1">
      <c r="A19" s="239" t="s">
        <v>329</v>
      </c>
      <c r="B19" s="240">
        <v>18</v>
      </c>
      <c r="C19" s="266" t="s">
        <v>324</v>
      </c>
    </row>
    <row r="20" spans="1:3" ht="16.5" customHeight="1" thickBot="1">
      <c r="A20" s="237" t="s">
        <v>330</v>
      </c>
      <c r="B20" s="240">
        <v>19</v>
      </c>
      <c r="C20" s="265">
        <f>C2-C3-C8-C12-C16+C17</f>
        <v>102384320.64504379</v>
      </c>
    </row>
    <row r="21" spans="1:3" ht="16.5" customHeight="1" thickBot="1">
      <c r="A21" s="237" t="s">
        <v>205</v>
      </c>
      <c r="B21" s="240">
        <v>20</v>
      </c>
      <c r="C21" s="265">
        <v>0</v>
      </c>
    </row>
    <row r="22" spans="1:3" ht="16.5" customHeight="1" thickBot="1">
      <c r="A22" s="237" t="s">
        <v>206</v>
      </c>
      <c r="B22" s="240">
        <v>21</v>
      </c>
      <c r="C22" s="265">
        <v>0</v>
      </c>
    </row>
    <row r="23" spans="1:3" ht="16.5" customHeight="1" thickBot="1">
      <c r="A23" s="239" t="s">
        <v>331</v>
      </c>
      <c r="B23" s="240">
        <v>22</v>
      </c>
      <c r="C23" s="266">
        <v>0</v>
      </c>
    </row>
    <row r="24" spans="1:3" ht="16.5" customHeight="1" thickBot="1">
      <c r="A24" s="237" t="s">
        <v>332</v>
      </c>
      <c r="B24" s="240">
        <v>23</v>
      </c>
      <c r="C24" s="265">
        <f>C20+C21-C22</f>
        <v>102384320.64504379</v>
      </c>
    </row>
    <row r="25" spans="1:3" ht="16.5" customHeight="1" thickBot="1">
      <c r="A25" s="237" t="s">
        <v>207</v>
      </c>
      <c r="B25" s="240">
        <v>24</v>
      </c>
      <c r="C25" s="265">
        <f>C24*0.25</f>
        <v>25596080.161260948</v>
      </c>
    </row>
    <row r="26" spans="1:3" ht="16.5" customHeight="1" thickBot="1">
      <c r="A26" s="237" t="s">
        <v>333</v>
      </c>
      <c r="B26" s="240">
        <v>25</v>
      </c>
      <c r="C26" s="265">
        <f>C24-C25</f>
        <v>76788240.483782843</v>
      </c>
    </row>
    <row r="27" spans="1:3" ht="16.5" customHeight="1"/>
  </sheetData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7"/>
  <sheetViews>
    <sheetView workbookViewId="0">
      <selection activeCell="I8" sqref="I8"/>
    </sheetView>
  </sheetViews>
  <sheetFormatPr defaultColWidth="9" defaultRowHeight="12"/>
  <cols>
    <col min="1" max="1" width="11.375" style="70" bestFit="1" customWidth="1"/>
    <col min="2" max="2" width="13.125" style="70" bestFit="1" customWidth="1"/>
    <col min="3" max="3" width="13.875" style="70" bestFit="1" customWidth="1"/>
    <col min="4" max="4" width="12.75" style="70" bestFit="1" customWidth="1"/>
    <col min="5" max="5" width="11.625" style="70" bestFit="1" customWidth="1"/>
    <col min="6" max="6" width="13.875" style="70" bestFit="1" customWidth="1"/>
    <col min="7" max="7" width="10.25" style="70" bestFit="1" customWidth="1"/>
    <col min="8" max="8" width="12.75" style="70" bestFit="1" customWidth="1"/>
    <col min="9" max="9" width="13.875" style="70" bestFit="1" customWidth="1"/>
    <col min="10" max="16384" width="9" style="70"/>
  </cols>
  <sheetData>
    <row r="1" spans="1:9" ht="26.45" customHeight="1" thickBot="1">
      <c r="A1" s="305" t="s">
        <v>253</v>
      </c>
      <c r="B1" s="305"/>
      <c r="C1" s="305"/>
      <c r="D1" s="305"/>
      <c r="E1" s="305"/>
      <c r="F1" s="305"/>
      <c r="G1" s="305"/>
      <c r="H1" s="305"/>
      <c r="I1" s="305"/>
    </row>
    <row r="2" spans="1:9" ht="19.899999999999999" customHeight="1">
      <c r="A2" s="307" t="s">
        <v>0</v>
      </c>
      <c r="B2" s="306" t="s">
        <v>175</v>
      </c>
      <c r="C2" s="306" t="s">
        <v>65</v>
      </c>
      <c r="D2" s="306" t="s">
        <v>190</v>
      </c>
      <c r="E2" s="306" t="s">
        <v>67</v>
      </c>
      <c r="F2" s="310" t="s">
        <v>68</v>
      </c>
      <c r="G2" s="306" t="s">
        <v>69</v>
      </c>
      <c r="H2" s="306"/>
      <c r="I2" s="93" t="s">
        <v>77</v>
      </c>
    </row>
    <row r="3" spans="1:9" ht="19.899999999999999" customHeight="1">
      <c r="A3" s="308"/>
      <c r="B3" s="309"/>
      <c r="C3" s="309"/>
      <c r="D3" s="309"/>
      <c r="E3" s="309"/>
      <c r="F3" s="311"/>
      <c r="G3" s="94" t="s">
        <v>1</v>
      </c>
      <c r="H3" s="94" t="s">
        <v>2</v>
      </c>
      <c r="I3" s="95" t="s">
        <v>2</v>
      </c>
    </row>
    <row r="4" spans="1:9" ht="19.899999999999999" customHeight="1">
      <c r="A4" s="11" t="str">
        <f>面积数据!A2</f>
        <v>高层</v>
      </c>
      <c r="B4" s="96" t="s">
        <v>281</v>
      </c>
      <c r="C4" s="97">
        <f>面积数据!B2</f>
        <v>149520</v>
      </c>
      <c r="D4" s="97"/>
      <c r="E4" s="97"/>
      <c r="F4" s="98">
        <f>SUM(C4:E4)</f>
        <v>149520</v>
      </c>
      <c r="G4" s="99"/>
      <c r="H4" s="99"/>
      <c r="I4" s="100">
        <f>F4+H4</f>
        <v>149520</v>
      </c>
    </row>
    <row r="5" spans="1:9" ht="19.899999999999999" customHeight="1">
      <c r="A5" s="11" t="str">
        <f>面积数据!A3</f>
        <v>洋房</v>
      </c>
      <c r="B5" s="96" t="s">
        <v>280</v>
      </c>
      <c r="C5" s="97"/>
      <c r="D5" s="97">
        <f>面积数据!B3</f>
        <v>58100</v>
      </c>
      <c r="E5" s="97"/>
      <c r="F5" s="98">
        <f>SUM(C5:E5)</f>
        <v>58100</v>
      </c>
      <c r="G5" s="99"/>
      <c r="H5" s="99"/>
      <c r="I5" s="100">
        <f>F5+H5</f>
        <v>58100</v>
      </c>
    </row>
    <row r="6" spans="1:9" ht="18.75" customHeight="1">
      <c r="A6" s="11" t="str">
        <f>面积数据!A4</f>
        <v>商业</v>
      </c>
      <c r="B6" s="96"/>
      <c r="C6" s="97"/>
      <c r="D6" s="97"/>
      <c r="E6" s="97">
        <f>面积数据!B4</f>
        <v>3180</v>
      </c>
      <c r="F6" s="98">
        <f>SUM(C6:E6)</f>
        <v>3180</v>
      </c>
      <c r="G6" s="99"/>
      <c r="H6" s="99"/>
      <c r="I6" s="100">
        <f>F6+H6</f>
        <v>3180</v>
      </c>
    </row>
    <row r="7" spans="1:9" ht="19.899999999999999" customHeight="1">
      <c r="A7" s="11" t="str">
        <f>面积数据!A5</f>
        <v>车位</v>
      </c>
      <c r="B7" s="96"/>
      <c r="C7" s="97"/>
      <c r="D7" s="97"/>
      <c r="E7" s="97"/>
      <c r="F7" s="98">
        <f>SUM(C7:E7)</f>
        <v>0</v>
      </c>
      <c r="G7" s="184">
        <f>面积数据!B5</f>
        <v>46795</v>
      </c>
      <c r="H7" s="99">
        <f>面积数据!D23</f>
        <v>46795</v>
      </c>
      <c r="I7" s="100">
        <f>F7+H7</f>
        <v>46795</v>
      </c>
    </row>
    <row r="8" spans="1:9" ht="19.899999999999999" customHeight="1" thickBot="1">
      <c r="A8" s="101" t="s">
        <v>3</v>
      </c>
      <c r="B8" s="102"/>
      <c r="C8" s="103">
        <f>SUM(C4:C7)</f>
        <v>149520</v>
      </c>
      <c r="D8" s="103">
        <f>SUM(D4:D7)</f>
        <v>58100</v>
      </c>
      <c r="E8" s="103">
        <f>SUM(E4:E7)</f>
        <v>3180</v>
      </c>
      <c r="F8" s="104">
        <f>SUM(F4:F7)</f>
        <v>210800</v>
      </c>
      <c r="G8" s="105"/>
      <c r="H8" s="106">
        <f>SUM(H4:H7)</f>
        <v>46795</v>
      </c>
      <c r="I8" s="185">
        <f>F8+H8</f>
        <v>257595</v>
      </c>
    </row>
    <row r="9" spans="1:9">
      <c r="C9" s="73"/>
      <c r="D9" s="71"/>
      <c r="E9" s="71"/>
    </row>
    <row r="10" spans="1:9" hidden="1"/>
    <row r="11" spans="1:9" hidden="1">
      <c r="B11" s="70" t="s">
        <v>82</v>
      </c>
      <c r="C11" s="72"/>
      <c r="D11" s="71"/>
    </row>
    <row r="12" spans="1:9" hidden="1">
      <c r="B12" s="70" t="s">
        <v>83</v>
      </c>
      <c r="C12" s="72"/>
      <c r="D12" s="71"/>
    </row>
    <row r="13" spans="1:9" hidden="1">
      <c r="B13" s="70" t="s">
        <v>76</v>
      </c>
      <c r="C13" s="72"/>
      <c r="D13" s="72"/>
    </row>
    <row r="14" spans="1:9" hidden="1">
      <c r="B14" s="70" t="s">
        <v>84</v>
      </c>
      <c r="D14" s="71"/>
    </row>
    <row r="15" spans="1:9" hidden="1">
      <c r="B15" s="70" t="s">
        <v>85</v>
      </c>
      <c r="D15" s="71"/>
    </row>
    <row r="16" spans="1:9" hidden="1">
      <c r="B16" s="70" t="s">
        <v>76</v>
      </c>
      <c r="C16" s="72"/>
      <c r="D16" s="72"/>
    </row>
    <row r="17" spans="1:7" hidden="1">
      <c r="B17" s="70" t="s">
        <v>71</v>
      </c>
    </row>
    <row r="18" spans="1:7" hidden="1"/>
    <row r="19" spans="1:7">
      <c r="C19" s="71"/>
      <c r="D19" s="71"/>
      <c r="F19" s="73"/>
    </row>
    <row r="20" spans="1:7">
      <c r="A20" s="88"/>
      <c r="B20" s="88"/>
      <c r="C20" s="88"/>
      <c r="F20" s="87"/>
      <c r="G20" s="72"/>
    </row>
    <row r="21" spans="1:7">
      <c r="A21" s="72"/>
      <c r="B21" s="72"/>
      <c r="C21" s="72"/>
      <c r="D21" s="71"/>
      <c r="F21" s="87"/>
      <c r="G21" s="72"/>
    </row>
    <row r="22" spans="1:7">
      <c r="B22" s="71"/>
    </row>
    <row r="24" spans="1:7">
      <c r="D24" s="71"/>
    </row>
    <row r="27" spans="1:7">
      <c r="E27" s="72"/>
    </row>
  </sheetData>
  <mergeCells count="8">
    <mergeCell ref="A1:I1"/>
    <mergeCell ref="G2:H2"/>
    <mergeCell ref="A2:A3"/>
    <mergeCell ref="C2:C3"/>
    <mergeCell ref="D2:D3"/>
    <mergeCell ref="F2:F3"/>
    <mergeCell ref="E2:E3"/>
    <mergeCell ref="B2:B3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5"/>
  <sheetViews>
    <sheetView topLeftCell="C1" workbookViewId="0">
      <pane ySplit="4" topLeftCell="A5" activePane="bottomLeft" state="frozen"/>
      <selection pane="bottomLeft" activeCell="G20" sqref="G20"/>
    </sheetView>
  </sheetViews>
  <sheetFormatPr defaultColWidth="9" defaultRowHeight="12"/>
  <cols>
    <col min="1" max="1" width="11.375" style="199" customWidth="1"/>
    <col min="2" max="2" width="11.25" style="199" bestFit="1" customWidth="1"/>
    <col min="3" max="3" width="12.25" style="199" bestFit="1" customWidth="1"/>
    <col min="4" max="4" width="20.5" style="199" bestFit="1" customWidth="1"/>
    <col min="5" max="6" width="11.25" style="199" bestFit="1" customWidth="1"/>
    <col min="7" max="7" width="18.375" style="199" bestFit="1" customWidth="1"/>
    <col min="8" max="8" width="11.25" style="199" bestFit="1" customWidth="1"/>
    <col min="9" max="9" width="10.25" style="199" bestFit="1" customWidth="1"/>
    <col min="10" max="10" width="17.25" style="199" bestFit="1" customWidth="1"/>
    <col min="11" max="11" width="6.75" style="199" bestFit="1" customWidth="1"/>
    <col min="12" max="12" width="5.875" style="199" bestFit="1" customWidth="1"/>
    <col min="13" max="13" width="18.375" style="199" bestFit="1" customWidth="1"/>
    <col min="14" max="14" width="20.5" style="199" bestFit="1" customWidth="1"/>
    <col min="15" max="16384" width="9" style="199"/>
  </cols>
  <sheetData>
    <row r="1" spans="1:15" ht="31.5" customHeight="1">
      <c r="A1" s="267" t="s">
        <v>195</v>
      </c>
    </row>
    <row r="2" spans="1:15" ht="26.45" customHeight="1" thickBot="1">
      <c r="A2" s="315" t="s">
        <v>254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5" ht="19.899999999999999" customHeight="1">
      <c r="A3" s="313" t="s">
        <v>0</v>
      </c>
      <c r="B3" s="312" t="s">
        <v>283</v>
      </c>
      <c r="C3" s="312"/>
      <c r="D3" s="312"/>
      <c r="E3" s="312" t="s">
        <v>284</v>
      </c>
      <c r="F3" s="312"/>
      <c r="G3" s="312"/>
      <c r="H3" s="312" t="s">
        <v>67</v>
      </c>
      <c r="I3" s="312"/>
      <c r="J3" s="312"/>
      <c r="K3" s="312" t="s">
        <v>72</v>
      </c>
      <c r="L3" s="312"/>
      <c r="M3" s="312"/>
      <c r="N3" s="268" t="s">
        <v>78</v>
      </c>
    </row>
    <row r="4" spans="1:15" ht="19.899999999999999" customHeight="1">
      <c r="A4" s="314"/>
      <c r="B4" s="269" t="s">
        <v>73</v>
      </c>
      <c r="C4" s="270" t="s">
        <v>282</v>
      </c>
      <c r="D4" s="269" t="s">
        <v>75</v>
      </c>
      <c r="E4" s="270" t="s">
        <v>73</v>
      </c>
      <c r="F4" s="270" t="s">
        <v>282</v>
      </c>
      <c r="G4" s="270" t="s">
        <v>75</v>
      </c>
      <c r="H4" s="270" t="s">
        <v>8</v>
      </c>
      <c r="I4" s="270" t="s">
        <v>282</v>
      </c>
      <c r="J4" s="270" t="s">
        <v>74</v>
      </c>
      <c r="K4" s="270" t="s">
        <v>8</v>
      </c>
      <c r="L4" s="270" t="s">
        <v>80</v>
      </c>
      <c r="M4" s="269" t="s">
        <v>74</v>
      </c>
      <c r="N4" s="271"/>
    </row>
    <row r="5" spans="1:15" ht="19.899999999999999" customHeight="1">
      <c r="A5" s="272" t="str">
        <f>可售面积参数!A4</f>
        <v>高层</v>
      </c>
      <c r="B5" s="273">
        <f>面积数据!C2</f>
        <v>13700</v>
      </c>
      <c r="C5" s="274">
        <f>可售面积参数!C4</f>
        <v>149520</v>
      </c>
      <c r="D5" s="273">
        <f>B5*C5</f>
        <v>2048424000</v>
      </c>
      <c r="E5" s="275"/>
      <c r="F5" s="275"/>
      <c r="G5" s="275"/>
      <c r="H5" s="275"/>
      <c r="I5" s="275"/>
      <c r="J5" s="275"/>
      <c r="K5" s="276"/>
      <c r="L5" s="276"/>
      <c r="M5" s="97"/>
      <c r="N5" s="277">
        <f>D5+G5+J5+M5</f>
        <v>2048424000</v>
      </c>
    </row>
    <row r="6" spans="1:15" ht="19.899999999999999" customHeight="1">
      <c r="A6" s="272" t="str">
        <f>可售面积参数!A5</f>
        <v>洋房</v>
      </c>
      <c r="B6" s="273"/>
      <c r="C6" s="278"/>
      <c r="D6" s="273"/>
      <c r="E6" s="278">
        <f>面积数据!C3</f>
        <v>14700</v>
      </c>
      <c r="F6" s="278">
        <f>面积数据!B3</f>
        <v>58100</v>
      </c>
      <c r="G6" s="276">
        <f>E6*F6</f>
        <v>854070000</v>
      </c>
      <c r="H6" s="279"/>
      <c r="I6" s="279"/>
      <c r="J6" s="279"/>
      <c r="K6" s="279"/>
      <c r="L6" s="279"/>
      <c r="M6" s="280"/>
      <c r="N6" s="277">
        <f t="shared" ref="N6:N9" si="0">D6+G6+J6+M6</f>
        <v>854070000</v>
      </c>
    </row>
    <row r="7" spans="1:15" ht="19.899999999999999" customHeight="1">
      <c r="A7" s="272" t="str">
        <f>可售面积参数!A6</f>
        <v>商业</v>
      </c>
      <c r="B7" s="273"/>
      <c r="C7" s="278"/>
      <c r="D7" s="273"/>
      <c r="E7" s="278"/>
      <c r="F7" s="278"/>
      <c r="G7" s="276"/>
      <c r="H7" s="276">
        <f>面积数据!C4</f>
        <v>15003</v>
      </c>
      <c r="I7" s="276">
        <f>面积数据!B4</f>
        <v>3180</v>
      </c>
      <c r="J7" s="276">
        <f>H7*I7</f>
        <v>47709540</v>
      </c>
      <c r="K7" s="279"/>
      <c r="L7" s="279"/>
      <c r="M7" s="280"/>
      <c r="N7" s="277">
        <f t="shared" si="0"/>
        <v>47709540</v>
      </c>
    </row>
    <row r="8" spans="1:15" ht="19.899999999999999" customHeight="1">
      <c r="A8" s="272" t="str">
        <f>可售面积参数!A7</f>
        <v>车位</v>
      </c>
      <c r="B8" s="273"/>
      <c r="C8" s="278"/>
      <c r="D8" s="273"/>
      <c r="E8" s="273"/>
      <c r="F8" s="278"/>
      <c r="G8" s="97"/>
      <c r="H8" s="280"/>
      <c r="I8" s="279"/>
      <c r="J8" s="280"/>
      <c r="K8" s="281">
        <f>面积数据!C5</f>
        <v>2429</v>
      </c>
      <c r="L8" s="279">
        <f>可售面积参数!H7</f>
        <v>46795</v>
      </c>
      <c r="M8" s="97">
        <f>K8*L8</f>
        <v>113665055</v>
      </c>
      <c r="N8" s="277">
        <f t="shared" si="0"/>
        <v>113665055</v>
      </c>
    </row>
    <row r="9" spans="1:15" ht="23.45" customHeight="1" thickBot="1">
      <c r="A9" s="14" t="s">
        <v>79</v>
      </c>
      <c r="B9" s="282"/>
      <c r="C9" s="283"/>
      <c r="D9" s="284">
        <f>SUM(D5:D8)</f>
        <v>2048424000</v>
      </c>
      <c r="E9" s="282"/>
      <c r="F9" s="283"/>
      <c r="G9" s="282">
        <f>SUM(G5:G8)</f>
        <v>854070000</v>
      </c>
      <c r="H9" s="282"/>
      <c r="I9" s="283"/>
      <c r="J9" s="282">
        <f>SUM(J5:J8)</f>
        <v>47709540</v>
      </c>
      <c r="K9" s="282"/>
      <c r="L9" s="283"/>
      <c r="M9" s="282">
        <f>SUM(M5:M8)</f>
        <v>113665055</v>
      </c>
      <c r="N9" s="282">
        <f t="shared" si="0"/>
        <v>3063868595</v>
      </c>
    </row>
    <row r="10" spans="1:15" ht="23.45" customHeight="1">
      <c r="A10" s="13"/>
      <c r="D10" s="245"/>
      <c r="J10" s="245"/>
    </row>
    <row r="11" spans="1:15">
      <c r="D11" s="245"/>
    </row>
    <row r="12" spans="1:15">
      <c r="A12" s="107"/>
      <c r="D12" s="245"/>
      <c r="G12" s="245"/>
      <c r="N12" s="285">
        <f>N9*0.05%-税金及附加!D10</f>
        <v>0</v>
      </c>
      <c r="O12" s="199" t="s">
        <v>301</v>
      </c>
    </row>
    <row r="13" spans="1:15">
      <c r="A13" s="107"/>
    </row>
    <row r="24" spans="8:8">
      <c r="H24" s="92"/>
    </row>
    <row r="25" spans="8:8">
      <c r="H25" s="92"/>
    </row>
  </sheetData>
  <mergeCells count="6">
    <mergeCell ref="K3:M3"/>
    <mergeCell ref="A3:A4"/>
    <mergeCell ref="A2:N2"/>
    <mergeCell ref="B3:D3"/>
    <mergeCell ref="E3:G3"/>
    <mergeCell ref="H3:J3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1"/>
  <sheetViews>
    <sheetView workbookViewId="0">
      <selection activeCell="C21" sqref="C21"/>
    </sheetView>
  </sheetViews>
  <sheetFormatPr defaultColWidth="9" defaultRowHeight="12"/>
  <cols>
    <col min="1" max="1" width="5" style="199" bestFit="1" customWidth="1"/>
    <col min="2" max="2" width="20.375" style="199" bestFit="1" customWidth="1"/>
    <col min="3" max="3" width="20.5" style="199" bestFit="1" customWidth="1"/>
    <col min="4" max="4" width="18.375" style="199" bestFit="1" customWidth="1"/>
    <col min="5" max="5" width="17.25" style="199" bestFit="1" customWidth="1"/>
    <col min="6" max="6" width="20.5" style="199" bestFit="1" customWidth="1"/>
    <col min="7" max="7" width="18.375" style="199" bestFit="1" customWidth="1"/>
    <col min="8" max="8" width="20.5" style="199" bestFit="1" customWidth="1"/>
    <col min="9" max="9" width="72.625" style="199" customWidth="1"/>
    <col min="10" max="10" width="37.25" style="199" customWidth="1"/>
    <col min="11" max="16384" width="9" style="199"/>
  </cols>
  <sheetData>
    <row r="1" spans="1:9" ht="28.15" customHeight="1" thickBot="1">
      <c r="A1" s="316" t="s">
        <v>255</v>
      </c>
      <c r="B1" s="316"/>
      <c r="C1" s="316"/>
      <c r="D1" s="316"/>
      <c r="E1" s="316"/>
      <c r="F1" s="316"/>
      <c r="G1" s="316"/>
      <c r="H1" s="316"/>
      <c r="I1" s="316"/>
    </row>
    <row r="2" spans="1:9" ht="25.15" customHeight="1">
      <c r="A2" s="286" t="s">
        <v>4</v>
      </c>
      <c r="B2" s="287" t="s">
        <v>5</v>
      </c>
      <c r="C2" s="287" t="s">
        <v>65</v>
      </c>
      <c r="D2" s="287" t="s">
        <v>66</v>
      </c>
      <c r="E2" s="287" t="s">
        <v>67</v>
      </c>
      <c r="F2" s="287" t="s">
        <v>70</v>
      </c>
      <c r="G2" s="287" t="s">
        <v>69</v>
      </c>
      <c r="H2" s="287" t="s">
        <v>71</v>
      </c>
      <c r="I2" s="268" t="s">
        <v>6</v>
      </c>
    </row>
    <row r="3" spans="1:9" ht="24.95" customHeight="1">
      <c r="A3" s="288">
        <v>1</v>
      </c>
      <c r="B3" s="289" t="s">
        <v>7</v>
      </c>
      <c r="C3" s="290">
        <f>清算价格及货值!C5</f>
        <v>149520</v>
      </c>
      <c r="D3" s="291">
        <f>清算价格及货值!F6</f>
        <v>58100</v>
      </c>
      <c r="E3" s="291">
        <f>清算价格及货值!I7</f>
        <v>3180</v>
      </c>
      <c r="F3" s="291">
        <f>SUM(C3:E3)</f>
        <v>210800</v>
      </c>
      <c r="G3" s="291">
        <f>清算价格及货值!L8</f>
        <v>46795</v>
      </c>
      <c r="H3" s="291">
        <f>F3+G3</f>
        <v>257595</v>
      </c>
      <c r="I3" s="292"/>
    </row>
    <row r="4" spans="1:9" ht="24.95" customHeight="1">
      <c r="A4" s="288">
        <v>2</v>
      </c>
      <c r="B4" s="289" t="s">
        <v>81</v>
      </c>
      <c r="C4" s="290">
        <f>清算价格及货值!D9</f>
        <v>2048424000</v>
      </c>
      <c r="D4" s="290">
        <f>清算价格及货值!G9</f>
        <v>854070000</v>
      </c>
      <c r="E4" s="291">
        <f>清算价格及货值!J9</f>
        <v>47709540</v>
      </c>
      <c r="F4" s="291">
        <f>SUM(C4:E4)</f>
        <v>2950203540</v>
      </c>
      <c r="G4" s="290">
        <f>清算价格及货值!M9</f>
        <v>113665055</v>
      </c>
      <c r="H4" s="291">
        <f>F4+G4</f>
        <v>3063868595</v>
      </c>
      <c r="I4" s="293"/>
    </row>
    <row r="5" spans="1:9" ht="24.95" customHeight="1">
      <c r="A5" s="294">
        <v>2.1</v>
      </c>
      <c r="B5" s="295" t="s">
        <v>80</v>
      </c>
      <c r="C5" s="296">
        <f>C3</f>
        <v>149520</v>
      </c>
      <c r="D5" s="296">
        <f t="shared" ref="D5:H5" si="0">D3</f>
        <v>58100</v>
      </c>
      <c r="E5" s="296">
        <f t="shared" si="0"/>
        <v>3180</v>
      </c>
      <c r="F5" s="296">
        <f t="shared" si="0"/>
        <v>210800</v>
      </c>
      <c r="G5" s="296">
        <f t="shared" si="0"/>
        <v>46795</v>
      </c>
      <c r="H5" s="296">
        <f t="shared" si="0"/>
        <v>257595</v>
      </c>
      <c r="I5" s="271"/>
    </row>
    <row r="6" spans="1:9" ht="24.95" customHeight="1">
      <c r="A6" s="294">
        <v>2.2000000000000002</v>
      </c>
      <c r="B6" s="295" t="s">
        <v>8</v>
      </c>
      <c r="C6" s="296">
        <f>C4/C5</f>
        <v>13700</v>
      </c>
      <c r="D6" s="296">
        <f t="shared" ref="D6:G6" si="1">D4/D5</f>
        <v>14700</v>
      </c>
      <c r="E6" s="296">
        <f t="shared" si="1"/>
        <v>15003</v>
      </c>
      <c r="F6" s="296">
        <f t="shared" si="1"/>
        <v>13995.272960151802</v>
      </c>
      <c r="G6" s="296">
        <f t="shared" si="1"/>
        <v>2429</v>
      </c>
      <c r="H6" s="296">
        <v>0</v>
      </c>
      <c r="I6" s="271"/>
    </row>
    <row r="7" spans="1:9" ht="24.95" customHeight="1">
      <c r="A7" s="288">
        <v>3</v>
      </c>
      <c r="B7" s="289" t="s">
        <v>9</v>
      </c>
      <c r="C7" s="291">
        <f>C4</f>
        <v>2048424000</v>
      </c>
      <c r="D7" s="291">
        <f t="shared" ref="D7:G7" si="2">D4</f>
        <v>854070000</v>
      </c>
      <c r="E7" s="291">
        <f t="shared" si="2"/>
        <v>47709540</v>
      </c>
      <c r="F7" s="291">
        <f t="shared" si="2"/>
        <v>2950203540</v>
      </c>
      <c r="G7" s="291">
        <f t="shared" si="2"/>
        <v>113665055</v>
      </c>
      <c r="H7" s="291">
        <f>F7+G7</f>
        <v>3063868595</v>
      </c>
      <c r="I7" s="297"/>
    </row>
    <row r="8" spans="1:9" s="92" customFormat="1" ht="36">
      <c r="A8" s="117">
        <v>4</v>
      </c>
      <c r="B8" s="118" t="s">
        <v>186</v>
      </c>
      <c r="C8" s="91">
        <f>C3/$F$3*$H$8</f>
        <v>1238068512.5237193</v>
      </c>
      <c r="D8" s="91">
        <f t="shared" ref="D8:E8" si="3">D3/$F$3*$H$8</f>
        <v>481084674.81024671</v>
      </c>
      <c r="E8" s="91">
        <f t="shared" si="3"/>
        <v>26331312.666034155</v>
      </c>
      <c r="F8" s="91">
        <f>SUM(C8:E8)</f>
        <v>1745484500.0000002</v>
      </c>
      <c r="G8" s="91">
        <v>0</v>
      </c>
      <c r="H8" s="91">
        <f>成本!D4</f>
        <v>1745484500</v>
      </c>
      <c r="I8" s="298" t="s">
        <v>196</v>
      </c>
    </row>
    <row r="9" spans="1:9" ht="24.95" customHeight="1">
      <c r="A9" s="294">
        <v>5</v>
      </c>
      <c r="B9" s="295" t="s">
        <v>10</v>
      </c>
      <c r="C9" s="299">
        <f>(C7-C8)/1.09*0.09</f>
        <v>66910086.121894725</v>
      </c>
      <c r="D9" s="299">
        <f>(D7-D8)/1.09*0.09</f>
        <v>30796953.456034672</v>
      </c>
      <c r="E9" s="299">
        <f>(E7-E8)/1.09*0.09</f>
        <v>1765174.7339971797</v>
      </c>
      <c r="F9" s="299">
        <f>SUM(C9:E9)</f>
        <v>99472214.311926574</v>
      </c>
      <c r="G9" s="299">
        <f>(G7-G8)/1.09*0.09</f>
        <v>9385188.0275229346</v>
      </c>
      <c r="H9" s="299">
        <f>F9+G9</f>
        <v>108857402.33944951</v>
      </c>
      <c r="I9" s="271"/>
    </row>
    <row r="10" spans="1:9" ht="24.95" customHeight="1" thickBot="1">
      <c r="A10" s="14">
        <v>6</v>
      </c>
      <c r="B10" s="300" t="s">
        <v>11</v>
      </c>
      <c r="C10" s="301">
        <f>C7-C9</f>
        <v>1981513913.8781052</v>
      </c>
      <c r="D10" s="301">
        <f t="shared" ref="D10:E10" si="4">D7-D9</f>
        <v>823273046.54396534</v>
      </c>
      <c r="E10" s="301">
        <f t="shared" si="4"/>
        <v>45944365.266002819</v>
      </c>
      <c r="F10" s="301">
        <f>SUM(C10:E10)</f>
        <v>2850731325.6880732</v>
      </c>
      <c r="G10" s="301">
        <f>G7-G9</f>
        <v>104279866.97247706</v>
      </c>
      <c r="H10" s="301">
        <f>F10+G10</f>
        <v>2955011192.6605501</v>
      </c>
      <c r="I10" s="302"/>
    </row>
    <row r="11" spans="1:9">
      <c r="H11" s="245"/>
    </row>
    <row r="12" spans="1:9">
      <c r="H12" s="245"/>
    </row>
    <row r="13" spans="1:9" ht="24.95" customHeight="1">
      <c r="A13" s="294"/>
      <c r="B13" s="303" t="s">
        <v>318</v>
      </c>
      <c r="C13" s="296">
        <f>C3/$F$3*$H$13</f>
        <v>37761089.631973438</v>
      </c>
      <c r="D13" s="296">
        <f t="shared" ref="D13:E13" si="5">D3/$F$3*$H$13</f>
        <v>14673082.581712525</v>
      </c>
      <c r="E13" s="296">
        <f t="shared" si="5"/>
        <v>803105.0363140417</v>
      </c>
      <c r="F13" s="296">
        <f>SUM(C13:E13)</f>
        <v>53237277.25</v>
      </c>
      <c r="G13" s="296"/>
      <c r="H13" s="296">
        <f>成本!D5+成本!D6</f>
        <v>53237277.25</v>
      </c>
      <c r="I13" s="271" t="s">
        <v>309</v>
      </c>
    </row>
    <row r="14" spans="1:9" ht="24.95" customHeight="1">
      <c r="A14" s="294"/>
      <c r="B14" s="295" t="s">
        <v>285</v>
      </c>
      <c r="C14" s="296">
        <f>C3/$H$3*$H$14</f>
        <v>475956594.84430259</v>
      </c>
      <c r="D14" s="296">
        <f t="shared" ref="D14:E14" si="6">D3/$H$3*$H$14</f>
        <v>184945680.58088535</v>
      </c>
      <c r="E14" s="296">
        <f t="shared" si="6"/>
        <v>10122672.362258442</v>
      </c>
      <c r="F14" s="296">
        <f>C14+D14+E14</f>
        <v>671024947.78744638</v>
      </c>
      <c r="G14" s="296">
        <f>G3/$H$3*$H$14</f>
        <v>148959262.01002634</v>
      </c>
      <c r="H14" s="296">
        <f>成本!J7</f>
        <v>819984209.79747272</v>
      </c>
      <c r="I14" s="271" t="s">
        <v>310</v>
      </c>
    </row>
    <row r="15" spans="1:9">
      <c r="H15" s="252">
        <f>F14+G14-H14</f>
        <v>0</v>
      </c>
    </row>
    <row r="16" spans="1:9">
      <c r="H16" s="245"/>
    </row>
    <row r="17" spans="3:8">
      <c r="C17" s="285"/>
      <c r="D17" s="285"/>
      <c r="E17" s="285"/>
      <c r="F17" s="285"/>
      <c r="G17" s="285"/>
      <c r="H17" s="285"/>
    </row>
    <row r="18" spans="3:8">
      <c r="H18" s="245"/>
    </row>
    <row r="21" spans="3:8">
      <c r="E21" s="304"/>
    </row>
  </sheetData>
  <mergeCells count="1">
    <mergeCell ref="A1:I1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I71"/>
  <sheetViews>
    <sheetView workbookViewId="0">
      <selection activeCell="J18" sqref="J18:J19"/>
    </sheetView>
  </sheetViews>
  <sheetFormatPr defaultColWidth="9" defaultRowHeight="12"/>
  <cols>
    <col min="1" max="1" width="9" style="70"/>
    <col min="2" max="2" width="13.125" style="70" bestFit="1" customWidth="1"/>
    <col min="3" max="3" width="18" style="70" bestFit="1" customWidth="1"/>
    <col min="4" max="4" width="20.5" style="70" bestFit="1" customWidth="1"/>
    <col min="5" max="5" width="18" style="70" hidden="1" customWidth="1"/>
    <col min="6" max="6" width="12.75" style="70" hidden="1" customWidth="1"/>
    <col min="7" max="7" width="14.125" style="70" hidden="1" customWidth="1"/>
    <col min="8" max="8" width="20.5" style="70" hidden="1" customWidth="1"/>
    <col min="9" max="9" width="18" style="70" bestFit="1" customWidth="1"/>
    <col min="10" max="11" width="9" style="70"/>
    <col min="12" max="12" width="9.375" style="70" bestFit="1" customWidth="1"/>
    <col min="13" max="16384" width="9" style="70"/>
  </cols>
  <sheetData>
    <row r="2" spans="2:9" ht="24.95" customHeight="1">
      <c r="B2" s="26" t="s">
        <v>126</v>
      </c>
      <c r="C2" s="26" t="s">
        <v>158</v>
      </c>
      <c r="D2" s="26" t="s">
        <v>157</v>
      </c>
      <c r="E2" s="26" t="s">
        <v>159</v>
      </c>
      <c r="F2" s="26" t="s">
        <v>160</v>
      </c>
      <c r="G2" s="26" t="s">
        <v>161</v>
      </c>
      <c r="H2" s="26" t="s">
        <v>162</v>
      </c>
    </row>
    <row r="3" spans="2:9" ht="24.95" customHeight="1">
      <c r="B3" s="26">
        <v>1</v>
      </c>
      <c r="C3" s="70" t="s">
        <v>179</v>
      </c>
      <c r="D3" s="69">
        <v>1906220000</v>
      </c>
      <c r="E3" s="27" t="e">
        <f>可售面积参数!#REF!</f>
        <v>#REF!</v>
      </c>
      <c r="F3" s="28" t="e">
        <f>D3/E3</f>
        <v>#REF!</v>
      </c>
      <c r="G3" s="29" t="e">
        <f>E3</f>
        <v>#REF!</v>
      </c>
      <c r="H3" s="29" t="e">
        <f>F3*G3</f>
        <v>#REF!</v>
      </c>
    </row>
    <row r="4" spans="2:9" ht="24.95" customHeight="1">
      <c r="B4" s="26">
        <v>2</v>
      </c>
      <c r="C4" s="25" t="s">
        <v>176</v>
      </c>
      <c r="D4" s="69">
        <v>1605920000</v>
      </c>
      <c r="E4" s="27" t="e">
        <f>E3</f>
        <v>#REF!</v>
      </c>
      <c r="F4" s="28" t="e">
        <f t="shared" ref="F4:F9" si="0">D4/E4</f>
        <v>#REF!</v>
      </c>
      <c r="G4" s="29" t="e">
        <f>G3</f>
        <v>#REF!</v>
      </c>
      <c r="H4" s="29" t="e">
        <f t="shared" ref="H4:H9" si="1">F4*G4</f>
        <v>#REF!</v>
      </c>
      <c r="I4" s="72"/>
    </row>
    <row r="5" spans="2:9" ht="24.95" customHeight="1">
      <c r="B5" s="26">
        <v>3</v>
      </c>
      <c r="C5" s="25" t="s">
        <v>177</v>
      </c>
      <c r="D5" s="69">
        <v>40990000</v>
      </c>
      <c r="E5" s="27" t="e">
        <f t="shared" ref="E5:E9" si="2">E4</f>
        <v>#REF!</v>
      </c>
      <c r="F5" s="28" t="e">
        <f t="shared" si="0"/>
        <v>#REF!</v>
      </c>
      <c r="G5" s="29" t="e">
        <f t="shared" ref="G5:G9" si="3">G4</f>
        <v>#REF!</v>
      </c>
      <c r="H5" s="29" t="e">
        <f t="shared" si="1"/>
        <v>#REF!</v>
      </c>
    </row>
    <row r="6" spans="2:9" ht="24.95" customHeight="1">
      <c r="B6" s="26">
        <v>4</v>
      </c>
      <c r="C6" s="25" t="s">
        <v>178</v>
      </c>
      <c r="D6" s="69">
        <v>71760000</v>
      </c>
      <c r="E6" s="27" t="e">
        <f t="shared" si="2"/>
        <v>#REF!</v>
      </c>
      <c r="F6" s="28" t="e">
        <f t="shared" si="0"/>
        <v>#REF!</v>
      </c>
      <c r="G6" s="29" t="e">
        <f t="shared" si="3"/>
        <v>#REF!</v>
      </c>
      <c r="H6" s="29" t="e">
        <f t="shared" si="1"/>
        <v>#REF!</v>
      </c>
    </row>
    <row r="7" spans="2:9" ht="24.95" customHeight="1">
      <c r="B7" s="26">
        <v>5</v>
      </c>
      <c r="C7" s="25"/>
      <c r="D7" s="30"/>
      <c r="E7" s="27" t="e">
        <f t="shared" si="2"/>
        <v>#REF!</v>
      </c>
      <c r="F7" s="28" t="e">
        <f t="shared" si="0"/>
        <v>#REF!</v>
      </c>
      <c r="G7" s="29" t="e">
        <f t="shared" si="3"/>
        <v>#REF!</v>
      </c>
      <c r="H7" s="29" t="e">
        <f t="shared" si="1"/>
        <v>#REF!</v>
      </c>
    </row>
    <row r="8" spans="2:9" ht="24.95" customHeight="1">
      <c r="B8" s="26">
        <v>6</v>
      </c>
      <c r="C8" s="25"/>
      <c r="D8" s="30"/>
      <c r="E8" s="27" t="e">
        <f t="shared" si="2"/>
        <v>#REF!</v>
      </c>
      <c r="F8" s="28" t="e">
        <f t="shared" si="0"/>
        <v>#REF!</v>
      </c>
      <c r="G8" s="29" t="e">
        <f t="shared" si="3"/>
        <v>#REF!</v>
      </c>
      <c r="H8" s="29" t="e">
        <f t="shared" si="1"/>
        <v>#REF!</v>
      </c>
    </row>
    <row r="9" spans="2:9" ht="24.95" customHeight="1">
      <c r="B9" s="26">
        <v>7</v>
      </c>
      <c r="C9" s="25"/>
      <c r="D9" s="30"/>
      <c r="E9" s="27" t="e">
        <f t="shared" si="2"/>
        <v>#REF!</v>
      </c>
      <c r="F9" s="28" t="e">
        <f t="shared" si="0"/>
        <v>#REF!</v>
      </c>
      <c r="G9" s="29" t="e">
        <f t="shared" si="3"/>
        <v>#REF!</v>
      </c>
      <c r="H9" s="29" t="e">
        <f t="shared" si="1"/>
        <v>#REF!</v>
      </c>
    </row>
    <row r="10" spans="2:9" ht="24.95" customHeight="1">
      <c r="B10" s="26">
        <v>8</v>
      </c>
      <c r="C10" s="31" t="s">
        <v>76</v>
      </c>
      <c r="D10" s="32">
        <f>SUM(D3:D9)</f>
        <v>3624890000</v>
      </c>
      <c r="E10" s="33" t="e">
        <f>E9</f>
        <v>#REF!</v>
      </c>
      <c r="F10" s="32" t="e">
        <f>SUM(F3:F9)</f>
        <v>#REF!</v>
      </c>
      <c r="G10" s="32" t="e">
        <f>G9</f>
        <v>#REF!</v>
      </c>
      <c r="H10" s="34" t="e">
        <f>SUM(H3:H9)</f>
        <v>#REF!</v>
      </c>
    </row>
    <row r="11" spans="2:9">
      <c r="F11" s="71"/>
      <c r="H11" s="72"/>
    </row>
    <row r="12" spans="2:9">
      <c r="H12" s="72"/>
    </row>
    <row r="13" spans="2:9">
      <c r="H13" s="72"/>
    </row>
    <row r="14" spans="2:9">
      <c r="B14" s="70" t="s">
        <v>181</v>
      </c>
      <c r="H14" s="72"/>
    </row>
    <row r="15" spans="2:9">
      <c r="B15" s="70" t="s">
        <v>183</v>
      </c>
      <c r="C15" s="89" t="e">
        <f>H3-成本!J4-成本!J5-C16</f>
        <v>#REF!</v>
      </c>
      <c r="H15" s="72"/>
    </row>
    <row r="16" spans="2:9">
      <c r="B16" s="70" t="s">
        <v>184</v>
      </c>
      <c r="C16" s="72">
        <v>718200000</v>
      </c>
      <c r="D16" s="73" t="e">
        <f>C15+C16</f>
        <v>#REF!</v>
      </c>
      <c r="H16" s="72"/>
    </row>
    <row r="17" spans="2:8">
      <c r="B17" s="70" t="s">
        <v>182</v>
      </c>
      <c r="C17" s="72">
        <v>657300000</v>
      </c>
      <c r="H17" s="72"/>
    </row>
    <row r="18" spans="2:8">
      <c r="B18" s="70" t="s">
        <v>185</v>
      </c>
      <c r="C18" s="72">
        <v>53896521.600000001</v>
      </c>
      <c r="D18" s="74">
        <f>C18/0.03</f>
        <v>1796550720</v>
      </c>
      <c r="H18" s="72"/>
    </row>
    <row r="19" spans="2:8">
      <c r="C19" s="71" t="e">
        <f>SUM(C15:C18)</f>
        <v>#REF!</v>
      </c>
      <c r="H19" s="72"/>
    </row>
    <row r="20" spans="2:8">
      <c r="C20" s="73" t="e">
        <f>C19+H71</f>
        <v>#REF!</v>
      </c>
      <c r="D20" s="73"/>
      <c r="H20" s="72"/>
    </row>
    <row r="21" spans="2:8">
      <c r="D21" s="72"/>
      <c r="H21" s="72"/>
    </row>
    <row r="22" spans="2:8">
      <c r="D22" s="72"/>
      <c r="E22" s="72"/>
      <c r="H22" s="72"/>
    </row>
    <row r="23" spans="2:8">
      <c r="D23" s="71"/>
      <c r="H23" s="72"/>
    </row>
    <row r="24" spans="2:8">
      <c r="H24" s="72"/>
    </row>
    <row r="25" spans="2:8">
      <c r="H25" s="72"/>
    </row>
    <row r="26" spans="2:8">
      <c r="H26" s="72"/>
    </row>
    <row r="27" spans="2:8">
      <c r="D27" s="71"/>
      <c r="H27" s="72"/>
    </row>
    <row r="28" spans="2:8">
      <c r="H28" s="72"/>
    </row>
    <row r="29" spans="2:8">
      <c r="H29" s="72"/>
    </row>
    <row r="30" spans="2:8">
      <c r="H30" s="72"/>
    </row>
    <row r="31" spans="2:8">
      <c r="E31" s="73"/>
      <c r="H31" s="72"/>
    </row>
    <row r="32" spans="2:8">
      <c r="H32" s="72"/>
    </row>
    <row r="33" spans="8:8">
      <c r="H33" s="72"/>
    </row>
    <row r="34" spans="8:8">
      <c r="H34" s="72"/>
    </row>
    <row r="35" spans="8:8">
      <c r="H35" s="72"/>
    </row>
    <row r="36" spans="8:8">
      <c r="H36" s="72"/>
    </row>
    <row r="37" spans="8:8">
      <c r="H37" s="72"/>
    </row>
    <row r="38" spans="8:8">
      <c r="H38" s="72"/>
    </row>
    <row r="39" spans="8:8">
      <c r="H39" s="72"/>
    </row>
    <row r="40" spans="8:8">
      <c r="H40" s="72"/>
    </row>
    <row r="41" spans="8:8">
      <c r="H41" s="72"/>
    </row>
    <row r="42" spans="8:8">
      <c r="H42" s="72"/>
    </row>
    <row r="43" spans="8:8">
      <c r="H43" s="72"/>
    </row>
    <row r="44" spans="8:8">
      <c r="H44" s="72"/>
    </row>
    <row r="45" spans="8:8">
      <c r="H45" s="72"/>
    </row>
    <row r="46" spans="8:8">
      <c r="H46" s="72"/>
    </row>
    <row r="47" spans="8:8">
      <c r="H47" s="72"/>
    </row>
    <row r="48" spans="8:8">
      <c r="H48" s="72"/>
    </row>
    <row r="49" spans="8:8">
      <c r="H49" s="72"/>
    </row>
    <row r="50" spans="8:8">
      <c r="H50" s="72"/>
    </row>
    <row r="51" spans="8:8">
      <c r="H51" s="72"/>
    </row>
    <row r="52" spans="8:8">
      <c r="H52" s="72"/>
    </row>
    <row r="53" spans="8:8">
      <c r="H53" s="72"/>
    </row>
    <row r="54" spans="8:8">
      <c r="H54" s="72"/>
    </row>
    <row r="55" spans="8:8">
      <c r="H55" s="72"/>
    </row>
    <row r="56" spans="8:8">
      <c r="H56" s="72"/>
    </row>
    <row r="57" spans="8:8">
      <c r="H57" s="72"/>
    </row>
    <row r="58" spans="8:8">
      <c r="H58" s="72"/>
    </row>
    <row r="59" spans="8:8">
      <c r="H59" s="72"/>
    </row>
    <row r="60" spans="8:8">
      <c r="H60" s="72"/>
    </row>
    <row r="61" spans="8:8">
      <c r="H61" s="72"/>
    </row>
    <row r="62" spans="8:8">
      <c r="H62" s="72"/>
    </row>
    <row r="63" spans="8:8">
      <c r="H63" s="72"/>
    </row>
    <row r="64" spans="8:8">
      <c r="H64" s="72"/>
    </row>
    <row r="65" spans="8:8">
      <c r="H65" s="72"/>
    </row>
    <row r="66" spans="8:8">
      <c r="H66" s="72"/>
    </row>
    <row r="67" spans="8:8">
      <c r="H67" s="72"/>
    </row>
    <row r="68" spans="8:8">
      <c r="H68" s="72"/>
    </row>
    <row r="69" spans="8:8">
      <c r="H69" s="72"/>
    </row>
    <row r="70" spans="8:8">
      <c r="H70" s="72"/>
    </row>
    <row r="71" spans="8:8">
      <c r="H71" s="72"/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/>
  </sheetPr>
  <dimension ref="A1:K24"/>
  <sheetViews>
    <sheetView workbookViewId="0">
      <selection activeCell="I12" sqref="I12"/>
    </sheetView>
  </sheetViews>
  <sheetFormatPr defaultColWidth="9" defaultRowHeight="12"/>
  <cols>
    <col min="1" max="1" width="9" style="92"/>
    <col min="2" max="2" width="18.625" style="92" bestFit="1" customWidth="1"/>
    <col min="3" max="3" width="20" style="92" customWidth="1"/>
    <col min="4" max="4" width="23.375" style="92" customWidth="1"/>
    <col min="5" max="5" width="26.125" style="92" hidden="1" customWidth="1"/>
    <col min="6" max="6" width="25" style="92" hidden="1" customWidth="1"/>
    <col min="7" max="7" width="22.875" style="92" hidden="1" customWidth="1"/>
    <col min="8" max="8" width="18.375" style="92" bestFit="1" customWidth="1"/>
    <col min="9" max="9" width="17.25" style="92" customWidth="1"/>
    <col min="10" max="10" width="19.5" style="92" customWidth="1"/>
    <col min="11" max="11" width="20.5" style="92" bestFit="1" customWidth="1"/>
    <col min="12" max="16384" width="9" style="92"/>
  </cols>
  <sheetData>
    <row r="1" spans="1:11" ht="31.9" customHeight="1" thickBot="1">
      <c r="A1" s="317" t="s">
        <v>256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1" ht="25.15" customHeight="1">
      <c r="A2" s="108" t="s">
        <v>4</v>
      </c>
      <c r="B2" s="109" t="s">
        <v>5</v>
      </c>
      <c r="C2" s="109" t="s">
        <v>12</v>
      </c>
      <c r="D2" s="109" t="s">
        <v>13</v>
      </c>
      <c r="E2" s="109" t="s">
        <v>200</v>
      </c>
      <c r="F2" s="109" t="s">
        <v>198</v>
      </c>
      <c r="G2" s="109" t="s">
        <v>199</v>
      </c>
      <c r="H2" s="109" t="s">
        <v>14</v>
      </c>
      <c r="I2" s="109" t="s">
        <v>15</v>
      </c>
      <c r="J2" s="135" t="s">
        <v>16</v>
      </c>
      <c r="K2" s="110" t="s">
        <v>130</v>
      </c>
    </row>
    <row r="3" spans="1:11" ht="25.15" customHeight="1">
      <c r="A3" s="111">
        <v>1</v>
      </c>
      <c r="B3" s="112" t="s">
        <v>17</v>
      </c>
      <c r="C3" s="113"/>
      <c r="D3" s="114">
        <f>D4+D5+D6</f>
        <v>1798721777.25</v>
      </c>
      <c r="E3" s="145">
        <f>F3+G3</f>
        <v>1906225500</v>
      </c>
      <c r="F3" s="145">
        <f>'[3]1.项目动态成本分析表（科目）'!$J$8*10000</f>
        <v>1906225500</v>
      </c>
      <c r="G3" s="145">
        <v>0</v>
      </c>
      <c r="H3" s="115"/>
      <c r="I3" s="220">
        <f>SUM(I4:I5)</f>
        <v>0</v>
      </c>
      <c r="J3" s="136">
        <f>SUM(J4:J6)</f>
        <v>1798721777.25</v>
      </c>
      <c r="K3" s="139"/>
    </row>
    <row r="4" spans="1:11" ht="25.15" customHeight="1">
      <c r="A4" s="117">
        <v>1.1000000000000001</v>
      </c>
      <c r="B4" s="118" t="s">
        <v>314</v>
      </c>
      <c r="C4" s="119"/>
      <c r="D4" s="120">
        <v>1745484500</v>
      </c>
      <c r="E4" s="146"/>
      <c r="F4" s="146"/>
      <c r="G4" s="146"/>
      <c r="H4" s="121"/>
      <c r="I4" s="137">
        <f>D4/(1+H4)*H4</f>
        <v>0</v>
      </c>
      <c r="J4" s="137">
        <f>D4-I4</f>
        <v>1745484500</v>
      </c>
      <c r="K4" s="140"/>
    </row>
    <row r="5" spans="1:11" ht="25.15" customHeight="1">
      <c r="A5" s="117">
        <v>1.2</v>
      </c>
      <c r="B5" s="118" t="s">
        <v>315</v>
      </c>
      <c r="C5" s="216">
        <v>0.03</v>
      </c>
      <c r="D5" s="120">
        <f>D4*C5</f>
        <v>52364535</v>
      </c>
      <c r="E5" s="146"/>
      <c r="F5" s="146"/>
      <c r="G5" s="146"/>
      <c r="H5" s="122"/>
      <c r="I5" s="137">
        <f t="shared" ref="I5:I20" si="0">D5/(1+H5)*H5</f>
        <v>0</v>
      </c>
      <c r="J5" s="137">
        <f t="shared" ref="J5:J6" si="1">D5/(1+H5)</f>
        <v>52364535</v>
      </c>
      <c r="K5" s="189"/>
    </row>
    <row r="6" spans="1:11" ht="25.15" customHeight="1">
      <c r="A6" s="190">
        <v>1.3</v>
      </c>
      <c r="B6" s="191" t="s">
        <v>286</v>
      </c>
      <c r="C6" s="233">
        <v>5.0000000000000001E-4</v>
      </c>
      <c r="D6" s="146">
        <f>D4*C6</f>
        <v>872742.25</v>
      </c>
      <c r="E6" s="146"/>
      <c r="F6" s="146"/>
      <c r="G6" s="146"/>
      <c r="H6" s="194"/>
      <c r="I6" s="137">
        <f t="shared" si="0"/>
        <v>0</v>
      </c>
      <c r="J6" s="137">
        <f t="shared" si="1"/>
        <v>872742.25</v>
      </c>
      <c r="K6" s="189"/>
    </row>
    <row r="7" spans="1:11" ht="25.15" customHeight="1">
      <c r="A7" s="111">
        <v>2</v>
      </c>
      <c r="B7" s="112" t="s">
        <v>18</v>
      </c>
      <c r="C7" s="113"/>
      <c r="D7" s="114">
        <f>D8+D13+D17+D18</f>
        <v>890970000</v>
      </c>
      <c r="E7" s="145">
        <f>SUM(E8:E19)</f>
        <v>1671391883080</v>
      </c>
      <c r="F7" s="145">
        <f>SUM(F8:F19)</f>
        <v>994902511340</v>
      </c>
      <c r="G7" s="145">
        <f>SUM(G8:G19)</f>
        <v>676489371740</v>
      </c>
      <c r="H7" s="123" t="s">
        <v>312</v>
      </c>
      <c r="I7" s="114">
        <f>I8+I13+I17+I18</f>
        <v>70985790.202527255</v>
      </c>
      <c r="J7" s="136">
        <f>J8+J13+J17+J18</f>
        <v>819984209.79747272</v>
      </c>
      <c r="K7" s="141">
        <f>D7-I7-J7</f>
        <v>0</v>
      </c>
    </row>
    <row r="8" spans="1:11" ht="25.15" customHeight="1">
      <c r="A8" s="117">
        <v>2.1</v>
      </c>
      <c r="B8" s="215" t="s">
        <v>250</v>
      </c>
      <c r="C8" s="119"/>
      <c r="D8" s="120">
        <f>SUM(D9:D12)</f>
        <v>60780000</v>
      </c>
      <c r="E8" s="146">
        <f>SUM(F8:G8)</f>
        <v>92445133600</v>
      </c>
      <c r="F8" s="146">
        <f>('[3]1.项目动态成本分析表（科目）'!$J$14+'[3]1.项目动态成本分析表（科目）'!$J$49)*1000</f>
        <v>61821302080.000008</v>
      </c>
      <c r="G8" s="146">
        <f>('[3]1.项目动态成本分析表（科目）'!$K$14+'[3]1.项目动态成本分析表（科目）'!$K$49)*1000</f>
        <v>30623831520</v>
      </c>
      <c r="H8" s="123">
        <v>0.06</v>
      </c>
      <c r="I8" s="137">
        <f>SUM(I9:I12)</f>
        <v>3440377.3584905658</v>
      </c>
      <c r="J8" s="137">
        <f>SUM(J9:J12)</f>
        <v>57339622.641509429</v>
      </c>
      <c r="K8" s="140"/>
    </row>
    <row r="9" spans="1:11" ht="25.15" customHeight="1">
      <c r="A9" s="190" t="s">
        <v>290</v>
      </c>
      <c r="B9" s="214" t="s">
        <v>287</v>
      </c>
      <c r="C9" s="192"/>
      <c r="D9" s="146">
        <f>2031*10000</f>
        <v>20310000</v>
      </c>
      <c r="E9" s="146"/>
      <c r="F9" s="146"/>
      <c r="G9" s="146"/>
      <c r="H9" s="123">
        <v>0.06</v>
      </c>
      <c r="I9" s="137">
        <f t="shared" si="0"/>
        <v>1149622.6415094337</v>
      </c>
      <c r="J9" s="137">
        <f>D9-I9</f>
        <v>19160377.358490568</v>
      </c>
      <c r="K9" s="140"/>
    </row>
    <row r="10" spans="1:11" ht="25.15" customHeight="1">
      <c r="A10" s="190" t="s">
        <v>291</v>
      </c>
      <c r="B10" s="214" t="s">
        <v>288</v>
      </c>
      <c r="C10" s="192"/>
      <c r="D10" s="146">
        <f>810*10000</f>
        <v>8100000</v>
      </c>
      <c r="E10" s="146"/>
      <c r="F10" s="146"/>
      <c r="G10" s="146"/>
      <c r="H10" s="123">
        <v>0.06</v>
      </c>
      <c r="I10" s="137">
        <f t="shared" si="0"/>
        <v>458490.56603773584</v>
      </c>
      <c r="J10" s="137">
        <f t="shared" ref="J10:J12" si="2">D10-I10</f>
        <v>7641509.4339622641</v>
      </c>
      <c r="K10" s="140"/>
    </row>
    <row r="11" spans="1:11" ht="25.15" customHeight="1">
      <c r="A11" s="190" t="s">
        <v>293</v>
      </c>
      <c r="B11" s="214" t="s">
        <v>289</v>
      </c>
      <c r="C11" s="192"/>
      <c r="D11" s="146">
        <f>294*10000</f>
        <v>2940000</v>
      </c>
      <c r="E11" s="146"/>
      <c r="F11" s="146"/>
      <c r="G11" s="146"/>
      <c r="H11" s="123">
        <v>0.06</v>
      </c>
      <c r="I11" s="137">
        <f t="shared" si="0"/>
        <v>166415.09433962262</v>
      </c>
      <c r="J11" s="137">
        <f t="shared" si="2"/>
        <v>2773584.9056603773</v>
      </c>
      <c r="K11" s="140"/>
    </row>
    <row r="12" spans="1:11" ht="25.15" customHeight="1">
      <c r="A12" s="218" t="s">
        <v>299</v>
      </c>
      <c r="B12" s="217" t="s">
        <v>300</v>
      </c>
      <c r="C12" s="219"/>
      <c r="D12" s="193">
        <f>2943*10000</f>
        <v>29430000</v>
      </c>
      <c r="E12" s="193"/>
      <c r="F12" s="193"/>
      <c r="G12" s="193"/>
      <c r="H12" s="195">
        <v>0.06</v>
      </c>
      <c r="I12" s="197">
        <f t="shared" si="0"/>
        <v>1665849.0566037735</v>
      </c>
      <c r="J12" s="197">
        <f t="shared" si="2"/>
        <v>27764150.943396226</v>
      </c>
      <c r="K12" s="189"/>
    </row>
    <row r="13" spans="1:11" ht="25.15" customHeight="1">
      <c r="A13" s="117">
        <v>2.2000000000000002</v>
      </c>
      <c r="B13" s="215" t="s">
        <v>251</v>
      </c>
      <c r="C13" s="119"/>
      <c r="D13" s="120">
        <f>SUM(D14:D16)</f>
        <v>809520000</v>
      </c>
      <c r="E13" s="146">
        <f t="shared" ref="E13:E21" si="3">SUM(F13:G13)</f>
        <v>1565235229480</v>
      </c>
      <c r="F13" s="146">
        <f>('[3]1.项目动态成本分析表（科目）'!$J$63+'[3]1.项目动态成本分析表（科目）'!$J$94)*1000</f>
        <v>933081209260</v>
      </c>
      <c r="G13" s="146">
        <f>('[3]1.项目动态成本分析表（科目）'!$K$63+'[3]1.项目动态成本分析表（科目）'!$K$94)*1000</f>
        <v>632154020220</v>
      </c>
      <c r="H13" s="123"/>
      <c r="I13" s="120">
        <f>SUM(I14:I16)</f>
        <v>66841100.917431183</v>
      </c>
      <c r="J13" s="120">
        <f>SUM(J14:J16)</f>
        <v>742678899.08256876</v>
      </c>
      <c r="K13" s="141">
        <f>D13-I13-J13</f>
        <v>0</v>
      </c>
    </row>
    <row r="14" spans="1:11" ht="25.15" customHeight="1">
      <c r="A14" s="190" t="s">
        <v>297</v>
      </c>
      <c r="B14" s="214" t="s">
        <v>294</v>
      </c>
      <c r="C14" s="192"/>
      <c r="D14" s="146">
        <f>67705*10000</f>
        <v>677050000</v>
      </c>
      <c r="E14" s="146"/>
      <c r="F14" s="146"/>
      <c r="G14" s="146"/>
      <c r="H14" s="123">
        <v>0.09</v>
      </c>
      <c r="I14" s="137">
        <f>D14/(1+H14)*H14</f>
        <v>55903211.00917431</v>
      </c>
      <c r="J14" s="137">
        <f>D14-I14</f>
        <v>621146788.99082565</v>
      </c>
      <c r="K14" s="140"/>
    </row>
    <row r="15" spans="1:11" ht="25.15" customHeight="1">
      <c r="A15" s="190" t="s">
        <v>298</v>
      </c>
      <c r="B15" s="214" t="s">
        <v>295</v>
      </c>
      <c r="C15" s="192"/>
      <c r="D15" s="146">
        <f>4416*10000</f>
        <v>44160000</v>
      </c>
      <c r="E15" s="146"/>
      <c r="F15" s="146"/>
      <c r="G15" s="146"/>
      <c r="H15" s="123">
        <v>0.09</v>
      </c>
      <c r="I15" s="137">
        <f t="shared" si="0"/>
        <v>3646238.5321100913</v>
      </c>
      <c r="J15" s="137">
        <f t="shared" ref="J15:J16" si="4">D15-I15</f>
        <v>40513761.467889905</v>
      </c>
      <c r="K15" s="140"/>
    </row>
    <row r="16" spans="1:11" ht="25.15" customHeight="1">
      <c r="A16" s="190" t="s">
        <v>292</v>
      </c>
      <c r="B16" s="214" t="s">
        <v>296</v>
      </c>
      <c r="C16" s="192"/>
      <c r="D16" s="146">
        <f>8831*10000</f>
        <v>88310000</v>
      </c>
      <c r="E16" s="146"/>
      <c r="F16" s="146"/>
      <c r="G16" s="146"/>
      <c r="H16" s="123">
        <v>0.09</v>
      </c>
      <c r="I16" s="137">
        <f t="shared" si="0"/>
        <v>7291651.3761467887</v>
      </c>
      <c r="J16" s="137">
        <f t="shared" si="4"/>
        <v>81018348.623853207</v>
      </c>
      <c r="K16" s="140"/>
    </row>
    <row r="17" spans="1:11" ht="25.15" customHeight="1">
      <c r="A17" s="117">
        <v>2.2999999999999998</v>
      </c>
      <c r="B17" s="215" t="s">
        <v>64</v>
      </c>
      <c r="C17" s="119"/>
      <c r="D17" s="120">
        <f>1214*10000</f>
        <v>12140000</v>
      </c>
      <c r="E17" s="146">
        <f>SUM(F17:G17)</f>
        <v>0</v>
      </c>
      <c r="F17" s="146"/>
      <c r="G17" s="146"/>
      <c r="H17" s="123"/>
      <c r="I17" s="137">
        <f t="shared" si="0"/>
        <v>0</v>
      </c>
      <c r="J17" s="137">
        <f t="shared" ref="J17" si="5">D17/(1+H17)</f>
        <v>12140000</v>
      </c>
      <c r="K17" s="140"/>
    </row>
    <row r="18" spans="1:11" ht="25.15" customHeight="1">
      <c r="A18" s="117">
        <v>2.4</v>
      </c>
      <c r="B18" s="215" t="s">
        <v>63</v>
      </c>
      <c r="C18" s="119"/>
      <c r="D18" s="120">
        <f>853*10000</f>
        <v>8530000</v>
      </c>
      <c r="E18" s="146">
        <f t="shared" si="3"/>
        <v>13711520000</v>
      </c>
      <c r="F18" s="146"/>
      <c r="G18" s="146">
        <f>'[3]1.项目动态成本分析表（科目）'!$K$119*1000</f>
        <v>13711520000</v>
      </c>
      <c r="H18" s="123">
        <v>0.09</v>
      </c>
      <c r="I18" s="137">
        <f t="shared" si="0"/>
        <v>704311.92660550447</v>
      </c>
      <c r="J18" s="137">
        <f>D18/(1+H18)</f>
        <v>7825688.0733944951</v>
      </c>
      <c r="K18" s="140"/>
    </row>
    <row r="19" spans="1:11" ht="25.15" customHeight="1">
      <c r="A19" s="111">
        <v>3</v>
      </c>
      <c r="B19" s="112" t="s">
        <v>20</v>
      </c>
      <c r="C19" s="113"/>
      <c r="D19" s="125">
        <f>16679*10000</f>
        <v>166790000</v>
      </c>
      <c r="E19" s="146">
        <f t="shared" si="3"/>
        <v>0</v>
      </c>
      <c r="F19" s="147"/>
      <c r="G19" s="147"/>
      <c r="H19" s="115"/>
      <c r="I19" s="137">
        <f t="shared" si="0"/>
        <v>0</v>
      </c>
      <c r="J19" s="136">
        <f>D19/(1+H19)</f>
        <v>166790000</v>
      </c>
      <c r="K19" s="140"/>
    </row>
    <row r="20" spans="1:11" ht="25.15" customHeight="1">
      <c r="A20" s="111">
        <v>4</v>
      </c>
      <c r="B20" s="112" t="s">
        <v>21</v>
      </c>
      <c r="C20" s="113"/>
      <c r="D20" s="114">
        <f>3412*10000</f>
        <v>34120000</v>
      </c>
      <c r="E20" s="146">
        <f t="shared" si="3"/>
        <v>0</v>
      </c>
      <c r="F20" s="145"/>
      <c r="G20" s="145"/>
      <c r="H20" s="201">
        <v>0.06</v>
      </c>
      <c r="I20" s="137">
        <f t="shared" si="0"/>
        <v>1931320.754716981</v>
      </c>
      <c r="J20" s="136">
        <f>D20/(1+H20)</f>
        <v>32188679.245283019</v>
      </c>
      <c r="K20" s="140"/>
    </row>
    <row r="21" spans="1:11" ht="25.15" customHeight="1" thickBot="1">
      <c r="A21" s="126">
        <v>5</v>
      </c>
      <c r="B21" s="127" t="s">
        <v>22</v>
      </c>
      <c r="C21" s="128"/>
      <c r="D21" s="129">
        <f>3064*10000</f>
        <v>30640000</v>
      </c>
      <c r="E21" s="146">
        <f t="shared" si="3"/>
        <v>0</v>
      </c>
      <c r="F21" s="148"/>
      <c r="G21" s="148"/>
      <c r="H21" s="130">
        <v>0.06</v>
      </c>
      <c r="I21" s="200">
        <f>D21/(1+H21)*H21</f>
        <v>1734339.6226415092</v>
      </c>
      <c r="J21" s="138">
        <f>D21/(1+H21)</f>
        <v>28905660.377358489</v>
      </c>
      <c r="K21" s="142"/>
    </row>
    <row r="23" spans="1:11" ht="24" customHeight="1">
      <c r="C23" s="92" t="s">
        <v>311</v>
      </c>
      <c r="D23" s="116">
        <f>D21+D20+D19+D7+D3</f>
        <v>2921241777.25</v>
      </c>
      <c r="E23" s="116"/>
      <c r="F23" s="116"/>
      <c r="G23" s="116"/>
      <c r="H23" s="116"/>
      <c r="I23" s="116">
        <f>I7+I19+I20+I21</f>
        <v>74651450.579885736</v>
      </c>
      <c r="J23" s="116">
        <f>J3+J7+J19+J20+J21</f>
        <v>2846590326.6701145</v>
      </c>
    </row>
    <row r="24" spans="1:11" ht="24" customHeight="1">
      <c r="D24" s="124"/>
      <c r="E24" s="132"/>
      <c r="F24" s="132"/>
      <c r="G24" s="132"/>
      <c r="H24" s="124"/>
      <c r="J24" s="124">
        <f>D23-I23-J23</f>
        <v>0</v>
      </c>
    </row>
  </sheetData>
  <mergeCells count="1">
    <mergeCell ref="A1:J1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J29"/>
  <sheetViews>
    <sheetView workbookViewId="0">
      <selection activeCell="J27" sqref="J27"/>
    </sheetView>
  </sheetViews>
  <sheetFormatPr defaultRowHeight="13.5"/>
  <cols>
    <col min="1" max="1" width="4" customWidth="1"/>
    <col min="2" max="5" width="15.625" customWidth="1"/>
    <col min="7" max="10" width="15.625" customWidth="1"/>
  </cols>
  <sheetData>
    <row r="2" spans="2:10" ht="33.6" customHeight="1">
      <c r="B2" s="15" t="s">
        <v>106</v>
      </c>
      <c r="G2" s="15" t="s">
        <v>123</v>
      </c>
    </row>
    <row r="3" spans="2:10" ht="15" customHeight="1">
      <c r="B3" s="16" t="s">
        <v>103</v>
      </c>
      <c r="C3" s="16" t="s">
        <v>104</v>
      </c>
      <c r="D3" s="16" t="s">
        <v>105</v>
      </c>
      <c r="E3" s="16" t="s">
        <v>76</v>
      </c>
      <c r="G3" s="16" t="s">
        <v>103</v>
      </c>
      <c r="H3" s="16" t="s">
        <v>104</v>
      </c>
      <c r="I3" s="16" t="s">
        <v>105</v>
      </c>
      <c r="J3" s="16" t="s">
        <v>76</v>
      </c>
    </row>
    <row r="4" spans="2:10" ht="15" customHeight="1">
      <c r="B4" s="1" t="s">
        <v>89</v>
      </c>
      <c r="C4" s="17">
        <v>23550</v>
      </c>
      <c r="D4" s="17">
        <v>445608.17</v>
      </c>
      <c r="E4" s="17">
        <f>C4+D4</f>
        <v>469158.17</v>
      </c>
      <c r="G4" s="1" t="s">
        <v>89</v>
      </c>
      <c r="H4" s="17">
        <v>19140.900000000001</v>
      </c>
      <c r="I4" s="17">
        <v>239248.7</v>
      </c>
      <c r="J4" s="17">
        <f>H4+I4</f>
        <v>258389.6</v>
      </c>
    </row>
    <row r="5" spans="2:10" ht="15" customHeight="1">
      <c r="B5" s="1" t="s">
        <v>90</v>
      </c>
      <c r="C5" s="17">
        <v>45257.37</v>
      </c>
      <c r="D5" s="17">
        <v>51980.89</v>
      </c>
      <c r="E5" s="17">
        <f t="shared" ref="E5:E18" si="0">C5+D5</f>
        <v>97238.260000000009</v>
      </c>
      <c r="G5" s="1" t="s">
        <v>90</v>
      </c>
      <c r="H5" s="17">
        <v>1000</v>
      </c>
      <c r="I5" s="17">
        <v>57936.959999999999</v>
      </c>
      <c r="J5" s="17">
        <f t="shared" ref="J5:J27" si="1">H5+I5</f>
        <v>58936.959999999999</v>
      </c>
    </row>
    <row r="6" spans="2:10" ht="15" customHeight="1">
      <c r="B6" s="1" t="s">
        <v>91</v>
      </c>
      <c r="C6" s="17">
        <v>1704</v>
      </c>
      <c r="D6" s="17">
        <v>23065.09</v>
      </c>
      <c r="E6" s="17">
        <f t="shared" si="0"/>
        <v>24769.09</v>
      </c>
      <c r="G6" s="1" t="s">
        <v>91</v>
      </c>
      <c r="H6" s="17">
        <v>300</v>
      </c>
      <c r="I6" s="17">
        <v>51924.58</v>
      </c>
      <c r="J6" s="17">
        <f t="shared" si="1"/>
        <v>52224.58</v>
      </c>
    </row>
    <row r="7" spans="2:10" ht="15" customHeight="1">
      <c r="B7" s="1" t="s">
        <v>92</v>
      </c>
      <c r="C7" s="17">
        <v>38861.199999999997</v>
      </c>
      <c r="D7" s="17">
        <v>24492.87</v>
      </c>
      <c r="E7" s="17">
        <f t="shared" si="0"/>
        <v>63354.069999999992</v>
      </c>
      <c r="G7" s="1" t="s">
        <v>110</v>
      </c>
      <c r="H7" s="17"/>
      <c r="I7" s="17">
        <v>39603.96</v>
      </c>
      <c r="J7" s="17">
        <f t="shared" si="1"/>
        <v>39603.96</v>
      </c>
    </row>
    <row r="8" spans="2:10" ht="15" customHeight="1">
      <c r="B8" s="1" t="s">
        <v>93</v>
      </c>
      <c r="C8" s="17">
        <v>682.67</v>
      </c>
      <c r="D8" s="17"/>
      <c r="E8" s="17">
        <f t="shared" si="0"/>
        <v>682.67</v>
      </c>
      <c r="G8" s="1" t="s">
        <v>111</v>
      </c>
      <c r="H8" s="17"/>
      <c r="I8" s="17">
        <v>4479.2</v>
      </c>
      <c r="J8" s="17">
        <f t="shared" si="1"/>
        <v>4479.2</v>
      </c>
    </row>
    <row r="9" spans="2:10" ht="15" customHeight="1">
      <c r="B9" s="1" t="s">
        <v>94</v>
      </c>
      <c r="C9" s="17"/>
      <c r="D9" s="17">
        <v>500</v>
      </c>
      <c r="E9" s="17">
        <f t="shared" si="0"/>
        <v>500</v>
      </c>
      <c r="G9" s="1" t="s">
        <v>92</v>
      </c>
      <c r="H9" s="17">
        <v>1008</v>
      </c>
      <c r="I9" s="17">
        <v>5059.5600000000004</v>
      </c>
      <c r="J9" s="17">
        <f t="shared" si="1"/>
        <v>6067.56</v>
      </c>
    </row>
    <row r="10" spans="2:10" ht="15" customHeight="1">
      <c r="B10" s="1" t="s">
        <v>95</v>
      </c>
      <c r="C10" s="17">
        <v>2432</v>
      </c>
      <c r="D10" s="17">
        <v>11218.57</v>
      </c>
      <c r="E10" s="17">
        <f t="shared" si="0"/>
        <v>13650.57</v>
      </c>
      <c r="G10" s="1" t="s">
        <v>94</v>
      </c>
      <c r="H10" s="17"/>
      <c r="I10" s="17">
        <v>3900</v>
      </c>
      <c r="J10" s="17">
        <f t="shared" si="1"/>
        <v>3900</v>
      </c>
    </row>
    <row r="11" spans="2:10" ht="15" customHeight="1">
      <c r="B11" s="1" t="s">
        <v>96</v>
      </c>
      <c r="C11" s="17"/>
      <c r="D11" s="17">
        <v>650</v>
      </c>
      <c r="E11" s="17">
        <f t="shared" si="0"/>
        <v>650</v>
      </c>
      <c r="G11" s="1" t="s">
        <v>95</v>
      </c>
      <c r="H11" s="17">
        <v>1407</v>
      </c>
      <c r="I11" s="17">
        <v>2276.21</v>
      </c>
      <c r="J11" s="17">
        <f t="shared" si="1"/>
        <v>3683.21</v>
      </c>
    </row>
    <row r="12" spans="2:10" ht="15" customHeight="1">
      <c r="B12" s="1" t="s">
        <v>97</v>
      </c>
      <c r="C12" s="17">
        <v>33023.599999999999</v>
      </c>
      <c r="D12" s="17">
        <v>479730.1</v>
      </c>
      <c r="E12" s="17">
        <f t="shared" si="0"/>
        <v>512753.69999999995</v>
      </c>
      <c r="G12" s="1" t="s">
        <v>96</v>
      </c>
      <c r="H12" s="17">
        <v>1052.5</v>
      </c>
      <c r="I12" s="17">
        <v>130</v>
      </c>
      <c r="J12" s="17">
        <f t="shared" si="1"/>
        <v>1182.5</v>
      </c>
    </row>
    <row r="13" spans="2:10" ht="15" customHeight="1">
      <c r="B13" s="1" t="s">
        <v>98</v>
      </c>
      <c r="C13" s="17"/>
      <c r="D13" s="17">
        <v>10914</v>
      </c>
      <c r="E13" s="17">
        <f t="shared" si="0"/>
        <v>10914</v>
      </c>
      <c r="G13" s="1" t="s">
        <v>97</v>
      </c>
      <c r="H13" s="17"/>
      <c r="I13" s="17">
        <v>6676</v>
      </c>
      <c r="J13" s="17">
        <f t="shared" si="1"/>
        <v>6676</v>
      </c>
    </row>
    <row r="14" spans="2:10" ht="15" customHeight="1">
      <c r="B14" s="1" t="s">
        <v>99</v>
      </c>
      <c r="C14" s="17"/>
      <c r="D14" s="17">
        <v>1611.45</v>
      </c>
      <c r="E14" s="17">
        <f t="shared" si="0"/>
        <v>1611.45</v>
      </c>
      <c r="G14" s="1" t="s">
        <v>98</v>
      </c>
      <c r="H14" s="17">
        <v>5614.61</v>
      </c>
      <c r="I14" s="17">
        <v>789524.63</v>
      </c>
      <c r="J14" s="17">
        <f t="shared" si="1"/>
        <v>795139.24</v>
      </c>
    </row>
    <row r="15" spans="2:10" ht="15" customHeight="1">
      <c r="B15" s="1" t="s">
        <v>100</v>
      </c>
      <c r="C15" s="17"/>
      <c r="D15" s="17">
        <v>4455.4399999999996</v>
      </c>
      <c r="E15" s="17">
        <f t="shared" si="0"/>
        <v>4455.4399999999996</v>
      </c>
      <c r="G15" s="1" t="s">
        <v>100</v>
      </c>
      <c r="H15" s="17"/>
      <c r="I15" s="17">
        <v>1267.33</v>
      </c>
      <c r="J15" s="17">
        <f t="shared" si="1"/>
        <v>1267.33</v>
      </c>
    </row>
    <row r="16" spans="2:10" ht="15" customHeight="1">
      <c r="B16" s="1" t="s">
        <v>101</v>
      </c>
      <c r="C16" s="17"/>
      <c r="D16" s="17">
        <v>6445.55</v>
      </c>
      <c r="E16" s="17">
        <f t="shared" si="0"/>
        <v>6445.55</v>
      </c>
      <c r="G16" s="1" t="s">
        <v>112</v>
      </c>
      <c r="H16" s="17">
        <v>29575.47</v>
      </c>
      <c r="I16" s="17">
        <v>233009.71</v>
      </c>
      <c r="J16" s="17">
        <f t="shared" si="1"/>
        <v>262585.18</v>
      </c>
    </row>
    <row r="17" spans="2:10" ht="15" customHeight="1">
      <c r="B17" s="1" t="s">
        <v>102</v>
      </c>
      <c r="C17" s="17">
        <v>176886.79</v>
      </c>
      <c r="D17" s="17">
        <v>354141.25</v>
      </c>
      <c r="E17" s="17">
        <f t="shared" si="0"/>
        <v>531028.04</v>
      </c>
      <c r="G17" s="1" t="s">
        <v>113</v>
      </c>
      <c r="H17" s="17">
        <v>216108.73</v>
      </c>
      <c r="I17" s="17">
        <v>9516.4500000000007</v>
      </c>
      <c r="J17" s="17">
        <f t="shared" si="1"/>
        <v>225625.18000000002</v>
      </c>
    </row>
    <row r="18" spans="2:10" ht="15" customHeight="1">
      <c r="B18" s="1" t="s">
        <v>3</v>
      </c>
      <c r="C18" s="17">
        <f>SUM(C4:C17)</f>
        <v>322397.63</v>
      </c>
      <c r="D18" s="17">
        <f>SUM(D4:D17)</f>
        <v>1414813.38</v>
      </c>
      <c r="E18" s="22">
        <f t="shared" si="0"/>
        <v>1737211.0099999998</v>
      </c>
      <c r="G18" s="1" t="s">
        <v>114</v>
      </c>
      <c r="H18" s="17">
        <v>209708.75</v>
      </c>
      <c r="I18" s="17">
        <v>93203.89</v>
      </c>
      <c r="J18" s="17">
        <f t="shared" si="1"/>
        <v>302912.64000000001</v>
      </c>
    </row>
    <row r="19" spans="2:10" ht="15" customHeight="1">
      <c r="B19" s="20" t="s">
        <v>107</v>
      </c>
      <c r="C19" s="18"/>
      <c r="D19" s="18"/>
      <c r="E19" s="24">
        <f>销售收入!H7*1%</f>
        <v>30638685.949999999</v>
      </c>
      <c r="G19" s="1" t="s">
        <v>115</v>
      </c>
      <c r="H19" s="17">
        <v>122340</v>
      </c>
      <c r="I19" s="17"/>
      <c r="J19" s="17">
        <f t="shared" si="1"/>
        <v>122340</v>
      </c>
    </row>
    <row r="20" spans="2:10" ht="15" customHeight="1">
      <c r="B20" s="10" t="s">
        <v>109</v>
      </c>
      <c r="C20" s="21"/>
      <c r="E20" s="19">
        <f>E18</f>
        <v>1737211.0099999998</v>
      </c>
      <c r="G20" s="1" t="s">
        <v>116</v>
      </c>
      <c r="H20" s="17"/>
      <c r="I20" s="17">
        <v>52988.26</v>
      </c>
      <c r="J20" s="17">
        <f t="shared" si="1"/>
        <v>52988.26</v>
      </c>
    </row>
    <row r="21" spans="2:10" ht="15" customHeight="1">
      <c r="G21" s="1" t="s">
        <v>117</v>
      </c>
      <c r="H21" s="17">
        <v>88163.97</v>
      </c>
      <c r="I21" s="17">
        <v>18061.12</v>
      </c>
      <c r="J21" s="17">
        <f t="shared" si="1"/>
        <v>106225.09</v>
      </c>
    </row>
    <row r="22" spans="2:10" ht="15" customHeight="1">
      <c r="G22" s="1" t="s">
        <v>118</v>
      </c>
      <c r="H22" s="17">
        <v>44302.67</v>
      </c>
      <c r="I22" s="17"/>
      <c r="J22" s="17">
        <f t="shared" si="1"/>
        <v>44302.67</v>
      </c>
    </row>
    <row r="23" spans="2:10" ht="15" customHeight="1">
      <c r="G23" s="1" t="s">
        <v>119</v>
      </c>
      <c r="H23" s="17">
        <v>47733.02</v>
      </c>
      <c r="I23" s="17">
        <v>2745.82</v>
      </c>
      <c r="J23" s="17">
        <f t="shared" si="1"/>
        <v>50478.84</v>
      </c>
    </row>
    <row r="24" spans="2:10" ht="15" customHeight="1">
      <c r="G24" s="1" t="s">
        <v>120</v>
      </c>
      <c r="H24" s="17"/>
      <c r="I24" s="17">
        <v>660377.34</v>
      </c>
      <c r="J24" s="17">
        <f t="shared" si="1"/>
        <v>660377.34</v>
      </c>
    </row>
    <row r="25" spans="2:10" ht="15" customHeight="1">
      <c r="G25" s="1" t="s">
        <v>121</v>
      </c>
      <c r="H25" s="17">
        <v>1048275.96</v>
      </c>
      <c r="I25" s="17">
        <v>444922.38</v>
      </c>
      <c r="J25" s="17">
        <f t="shared" si="1"/>
        <v>1493198.3399999999</v>
      </c>
    </row>
    <row r="26" spans="2:10" ht="15" customHeight="1">
      <c r="G26" s="1" t="s">
        <v>122</v>
      </c>
      <c r="H26" s="17">
        <v>66851.44</v>
      </c>
      <c r="I26" s="17">
        <v>1761.47</v>
      </c>
      <c r="J26" s="17">
        <f t="shared" si="1"/>
        <v>68612.91</v>
      </c>
    </row>
    <row r="27" spans="2:10" ht="15" customHeight="1">
      <c r="G27" s="1" t="s">
        <v>3</v>
      </c>
      <c r="H27" s="17">
        <f>SUM(H4:H26)</f>
        <v>1902583.02</v>
      </c>
      <c r="I27" s="17">
        <f>SUM(I4:I26)</f>
        <v>2718613.5700000003</v>
      </c>
      <c r="J27" s="22">
        <f t="shared" si="1"/>
        <v>4621196.59</v>
      </c>
    </row>
    <row r="28" spans="2:10" ht="15" customHeight="1">
      <c r="G28" s="9" t="s">
        <v>124</v>
      </c>
      <c r="J28" s="23">
        <f>销售收入!H7*2.5%</f>
        <v>76596714.875</v>
      </c>
    </row>
    <row r="29" spans="2:10" ht="15" customHeight="1">
      <c r="G29" t="s">
        <v>108</v>
      </c>
      <c r="J29" s="19">
        <f>J27</f>
        <v>4621196.59</v>
      </c>
    </row>
  </sheetData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I17"/>
  <sheetViews>
    <sheetView workbookViewId="0">
      <selection activeCell="I11" sqref="B3:I11"/>
    </sheetView>
  </sheetViews>
  <sheetFormatPr defaultRowHeight="13.5"/>
  <cols>
    <col min="3" max="3" width="13.875" bestFit="1" customWidth="1"/>
    <col min="4" max="7" width="9.625" customWidth="1"/>
    <col min="8" max="8" width="13.875" bestFit="1" customWidth="1"/>
    <col min="9" max="9" width="29.75" bestFit="1" customWidth="1"/>
  </cols>
  <sheetData>
    <row r="2" spans="2:9" ht="24.95" customHeight="1">
      <c r="B2" s="15" t="s">
        <v>125</v>
      </c>
      <c r="C2" s="9"/>
    </row>
    <row r="3" spans="2:9" ht="24.95" customHeight="1">
      <c r="B3" s="8" t="s">
        <v>126</v>
      </c>
      <c r="C3" s="8" t="s">
        <v>131</v>
      </c>
      <c r="D3" s="8" t="s">
        <v>127</v>
      </c>
      <c r="E3" s="8" t="s">
        <v>128</v>
      </c>
      <c r="F3" s="8" t="s">
        <v>132</v>
      </c>
      <c r="G3" s="8" t="s">
        <v>133</v>
      </c>
      <c r="H3" s="8" t="s">
        <v>129</v>
      </c>
      <c r="I3" s="8" t="s">
        <v>130</v>
      </c>
    </row>
    <row r="4" spans="2:9" ht="24.95" customHeight="1">
      <c r="B4" s="8">
        <v>1</v>
      </c>
      <c r="C4" s="7"/>
      <c r="D4" s="7"/>
      <c r="E4" s="7"/>
      <c r="F4" s="7"/>
      <c r="G4" s="7"/>
      <c r="H4" s="62">
        <v>4136482.8</v>
      </c>
      <c r="I4" s="7" t="s">
        <v>166</v>
      </c>
    </row>
    <row r="5" spans="2:9" ht="24.95" customHeight="1">
      <c r="B5" s="8">
        <v>2</v>
      </c>
      <c r="C5" s="63"/>
      <c r="D5" s="63"/>
      <c r="E5" s="63"/>
      <c r="F5" s="63"/>
      <c r="G5" s="63"/>
      <c r="H5" s="64">
        <v>105000</v>
      </c>
      <c r="I5" s="7" t="s">
        <v>174</v>
      </c>
    </row>
    <row r="6" spans="2:9" ht="24.95" customHeight="1">
      <c r="B6" s="8">
        <v>3</v>
      </c>
      <c r="C6" s="7"/>
      <c r="D6" s="7"/>
      <c r="E6" s="7"/>
      <c r="F6" s="7"/>
      <c r="G6" s="7"/>
      <c r="H6" s="62">
        <v>4835465.75</v>
      </c>
      <c r="I6" s="7" t="s">
        <v>167</v>
      </c>
    </row>
    <row r="7" spans="2:9" ht="24.95" customHeight="1">
      <c r="B7" s="8">
        <v>4</v>
      </c>
      <c r="C7" s="7"/>
      <c r="D7" s="7"/>
      <c r="E7" s="7"/>
      <c r="F7" s="7"/>
      <c r="G7" s="7"/>
      <c r="H7" s="62">
        <v>4888602.74</v>
      </c>
      <c r="I7" s="7" t="s">
        <v>168</v>
      </c>
    </row>
    <row r="8" spans="2:9" ht="24.95" customHeight="1">
      <c r="B8" s="8">
        <v>5</v>
      </c>
      <c r="C8" s="63"/>
      <c r="D8" s="63"/>
      <c r="E8" s="63"/>
      <c r="F8" s="63"/>
      <c r="G8" s="63"/>
      <c r="H8" s="64">
        <v>3660075.62</v>
      </c>
      <c r="I8" s="65" t="s">
        <v>169</v>
      </c>
    </row>
    <row r="9" spans="2:9" ht="24.95" customHeight="1">
      <c r="B9" s="8">
        <v>6</v>
      </c>
      <c r="C9" s="63"/>
      <c r="D9" s="63"/>
      <c r="E9" s="63"/>
      <c r="F9" s="63"/>
      <c r="G9" s="63"/>
      <c r="H9" s="64">
        <v>790678.35</v>
      </c>
      <c r="I9" s="63" t="s">
        <v>170</v>
      </c>
    </row>
    <row r="10" spans="2:9" ht="24.95" customHeight="1">
      <c r="B10" s="8">
        <v>7</v>
      </c>
      <c r="C10" s="62">
        <v>24000000</v>
      </c>
      <c r="D10" s="66">
        <v>44095</v>
      </c>
      <c r="E10" s="66">
        <v>44101</v>
      </c>
      <c r="F10" s="8">
        <f>E10-D10</f>
        <v>6</v>
      </c>
      <c r="G10" s="67">
        <v>0.1293</v>
      </c>
      <c r="H10" s="68">
        <f>C10*G10*F10/365</f>
        <v>51011.506849315068</v>
      </c>
      <c r="I10" s="7"/>
    </row>
    <row r="11" spans="2:9" ht="24.95" customHeight="1">
      <c r="B11" s="8">
        <v>8</v>
      </c>
      <c r="C11" s="7" t="s">
        <v>76</v>
      </c>
      <c r="D11" s="7"/>
      <c r="E11" s="7"/>
      <c r="F11" s="7"/>
      <c r="G11" s="7"/>
      <c r="H11" s="68">
        <f>SUM(H4:H10)</f>
        <v>18467316.766849317</v>
      </c>
      <c r="I11" s="7"/>
    </row>
    <row r="14" spans="2:9">
      <c r="H14" s="12"/>
    </row>
    <row r="16" spans="2:9">
      <c r="H16" s="12"/>
    </row>
    <row r="17" spans="8:8">
      <c r="H17" s="12"/>
    </row>
  </sheetData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3"/>
  <sheetViews>
    <sheetView workbookViewId="0">
      <selection activeCell="I4" sqref="I4"/>
    </sheetView>
  </sheetViews>
  <sheetFormatPr defaultColWidth="9" defaultRowHeight="13.5"/>
  <cols>
    <col min="2" max="2" width="10.25" customWidth="1"/>
    <col min="3" max="3" width="14.875" customWidth="1"/>
    <col min="4" max="4" width="13.5" customWidth="1"/>
    <col min="5" max="5" width="14.75" bestFit="1" customWidth="1"/>
    <col min="6" max="6" width="13" bestFit="1" customWidth="1"/>
    <col min="7" max="8" width="10.75" customWidth="1"/>
    <col min="9" max="9" width="8.25" customWidth="1"/>
    <col min="10" max="10" width="7.5" customWidth="1"/>
    <col min="11" max="11" width="14.125" bestFit="1" customWidth="1"/>
    <col min="12" max="12" width="32.625" customWidth="1"/>
    <col min="13" max="13" width="5.125" customWidth="1"/>
  </cols>
  <sheetData>
    <row r="1" spans="1:12" ht="29.45" customHeight="1" thickBot="1">
      <c r="A1" s="318" t="s">
        <v>62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2" ht="27" customHeight="1">
      <c r="A2" s="2" t="s">
        <v>4</v>
      </c>
      <c r="B2" s="3" t="s">
        <v>23</v>
      </c>
      <c r="C2" s="3" t="s">
        <v>24</v>
      </c>
      <c r="D2" s="4" t="s">
        <v>135</v>
      </c>
      <c r="E2" s="4" t="s">
        <v>136</v>
      </c>
      <c r="F2" s="4" t="s">
        <v>138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6" t="s">
        <v>30</v>
      </c>
    </row>
    <row r="3" spans="1:12" ht="24.95" customHeight="1">
      <c r="A3" s="35">
        <v>1</v>
      </c>
      <c r="B3" s="36">
        <v>43693</v>
      </c>
      <c r="C3" s="37" t="s">
        <v>134</v>
      </c>
      <c r="D3" s="37"/>
      <c r="E3" s="38">
        <v>71600000</v>
      </c>
      <c r="F3" s="38">
        <f>E3</f>
        <v>71600000</v>
      </c>
      <c r="G3" s="36">
        <v>43693</v>
      </c>
      <c r="H3" s="39">
        <v>43749</v>
      </c>
      <c r="I3" s="40">
        <f>H3-G3</f>
        <v>56</v>
      </c>
      <c r="J3" s="41">
        <f>12.5%/365</f>
        <v>3.4246575342465754E-4</v>
      </c>
      <c r="K3" s="42">
        <f>F3*J3*I3</f>
        <v>1373150.6849315069</v>
      </c>
      <c r="L3" s="43"/>
    </row>
    <row r="4" spans="1:12" ht="24.95" customHeight="1">
      <c r="A4" s="35">
        <v>2</v>
      </c>
      <c r="B4" s="36">
        <v>43728</v>
      </c>
      <c r="C4" s="37" t="s">
        <v>137</v>
      </c>
      <c r="D4" s="37"/>
      <c r="E4" s="38">
        <v>1000000</v>
      </c>
      <c r="F4" s="38">
        <f t="shared" ref="F4" si="0">E4</f>
        <v>1000000</v>
      </c>
      <c r="G4" s="36">
        <v>43728</v>
      </c>
      <c r="H4" s="39">
        <v>43749</v>
      </c>
      <c r="I4" s="40">
        <f t="shared" ref="I4:I9" si="1">H4-G4</f>
        <v>21</v>
      </c>
      <c r="J4" s="41">
        <f t="shared" ref="J4:J9" si="2">12.5%/365</f>
        <v>3.4246575342465754E-4</v>
      </c>
      <c r="K4" s="42">
        <f t="shared" ref="K4:K6" si="3">F4*J4*I4</f>
        <v>7191.7808219178078</v>
      </c>
      <c r="L4" s="43"/>
    </row>
    <row r="5" spans="1:12" ht="24.95" customHeight="1">
      <c r="A5" s="35">
        <v>3</v>
      </c>
      <c r="B5" s="36">
        <v>43748</v>
      </c>
      <c r="C5" s="37" t="s">
        <v>165</v>
      </c>
      <c r="D5" s="37"/>
      <c r="E5" s="38">
        <v>110000000</v>
      </c>
      <c r="F5" s="38">
        <v>110000000</v>
      </c>
      <c r="G5" s="36">
        <f>B5</f>
        <v>43748</v>
      </c>
      <c r="H5" s="39">
        <v>43749</v>
      </c>
      <c r="I5" s="40">
        <f t="shared" si="1"/>
        <v>1</v>
      </c>
      <c r="J5" s="41">
        <f t="shared" si="2"/>
        <v>3.4246575342465754E-4</v>
      </c>
      <c r="K5" s="42">
        <f t="shared" si="3"/>
        <v>37671.232876712333</v>
      </c>
      <c r="L5" s="43"/>
    </row>
    <row r="6" spans="1:12" ht="24.95" customHeight="1">
      <c r="A6" s="35">
        <v>4</v>
      </c>
      <c r="B6" s="36">
        <v>43748</v>
      </c>
      <c r="C6" s="37" t="s">
        <v>165</v>
      </c>
      <c r="D6" s="37"/>
      <c r="E6" s="38">
        <v>820000</v>
      </c>
      <c r="F6" s="38">
        <v>820000</v>
      </c>
      <c r="G6" s="36">
        <f>B6</f>
        <v>43748</v>
      </c>
      <c r="H6" s="39">
        <v>43749</v>
      </c>
      <c r="I6" s="40">
        <f t="shared" si="1"/>
        <v>1</v>
      </c>
      <c r="J6" s="41">
        <f t="shared" si="2"/>
        <v>3.4246575342465754E-4</v>
      </c>
      <c r="K6" s="42">
        <f t="shared" si="3"/>
        <v>280.82191780821915</v>
      </c>
      <c r="L6" s="43"/>
    </row>
    <row r="7" spans="1:12" ht="24.95" customHeight="1">
      <c r="A7" s="35">
        <v>5</v>
      </c>
      <c r="B7" s="36">
        <v>43749</v>
      </c>
      <c r="C7" s="37" t="s">
        <v>171</v>
      </c>
      <c r="D7" s="38">
        <v>53700000</v>
      </c>
      <c r="E7" s="38"/>
      <c r="F7" s="38"/>
      <c r="G7" s="36"/>
      <c r="H7" s="39"/>
      <c r="I7" s="40"/>
      <c r="J7" s="41"/>
      <c r="K7" s="42"/>
      <c r="L7" s="43"/>
    </row>
    <row r="8" spans="1:12" ht="24.95" customHeight="1">
      <c r="A8" s="44">
        <v>6</v>
      </c>
      <c r="B8" s="45">
        <v>43749</v>
      </c>
      <c r="C8" s="46" t="s">
        <v>139</v>
      </c>
      <c r="D8" s="47"/>
      <c r="E8" s="48">
        <f>E3+E4+E5+E6-D7</f>
        <v>129720000</v>
      </c>
      <c r="F8" s="48"/>
      <c r="G8" s="45"/>
      <c r="H8" s="45"/>
      <c r="I8" s="49"/>
      <c r="J8" s="50"/>
      <c r="K8" s="51">
        <f>K3+K4</f>
        <v>1380342.4657534247</v>
      </c>
      <c r="L8" s="52" t="s">
        <v>163</v>
      </c>
    </row>
    <row r="9" spans="1:12" ht="24.95" customHeight="1">
      <c r="A9" s="35">
        <v>7</v>
      </c>
      <c r="B9" s="36">
        <v>43749</v>
      </c>
      <c r="C9" s="37" t="s">
        <v>164</v>
      </c>
      <c r="D9" s="37"/>
      <c r="E9" s="38">
        <f>E8</f>
        <v>129720000</v>
      </c>
      <c r="F9" s="38">
        <v>80000000</v>
      </c>
      <c r="G9" s="36">
        <f>B9</f>
        <v>43749</v>
      </c>
      <c r="H9" s="36">
        <v>44101</v>
      </c>
      <c r="I9" s="40">
        <f t="shared" si="1"/>
        <v>352</v>
      </c>
      <c r="J9" s="41">
        <f t="shared" si="2"/>
        <v>3.4246575342465754E-4</v>
      </c>
      <c r="K9" s="42">
        <f t="shared" ref="K9" si="4">F9*J9*I9</f>
        <v>9643835.6164383553</v>
      </c>
      <c r="L9" s="43"/>
    </row>
    <row r="10" spans="1:12" ht="24.95" customHeight="1" thickBot="1">
      <c r="A10" s="53">
        <v>8</v>
      </c>
      <c r="B10" s="54"/>
      <c r="C10" s="55" t="s">
        <v>140</v>
      </c>
      <c r="D10" s="55"/>
      <c r="E10" s="56"/>
      <c r="F10" s="56"/>
      <c r="G10" s="54"/>
      <c r="H10" s="54"/>
      <c r="I10" s="57"/>
      <c r="J10" s="58"/>
      <c r="K10" s="59">
        <f>K8+K9</f>
        <v>11024178.08219178</v>
      </c>
      <c r="L10" s="60"/>
    </row>
    <row r="13" spans="1:12">
      <c r="K13" s="61"/>
    </row>
  </sheetData>
  <mergeCells count="1">
    <mergeCell ref="A1:L1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面积数据</vt:lpstr>
      <vt:lpstr>可售面积参数</vt:lpstr>
      <vt:lpstr>清算价格及货值</vt:lpstr>
      <vt:lpstr>销售收入</vt:lpstr>
      <vt:lpstr>直接成本</vt:lpstr>
      <vt:lpstr>成本</vt:lpstr>
      <vt:lpstr>费用确认</vt:lpstr>
      <vt:lpstr>五矿利息</vt:lpstr>
      <vt:lpstr>关联方利息计算</vt:lpstr>
      <vt:lpstr>税金及附加</vt:lpstr>
      <vt:lpstr>土地增值税</vt:lpstr>
      <vt:lpstr>利润表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2020-07-08T10:38:00Z</dcterms:created>
  <dcterms:modified xsi:type="dcterms:W3CDTF">2021-06-25T08:22:06Z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