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4" i="74" l="1"/>
  <c r="D14" i="74"/>
  <c r="B14" i="74"/>
  <c r="D14" i="9"/>
  <c r="N6" i="1"/>
  <c r="Y6" i="1" s="1"/>
  <c r="J52" i="67"/>
  <c r="J49" i="67"/>
  <c r="I47" i="33"/>
  <c r="E47" i="33"/>
  <c r="I33" i="33"/>
  <c r="G33" i="33"/>
  <c r="E33" i="33"/>
  <c r="C36" i="33"/>
  <c r="C33" i="33"/>
  <c r="I10" i="33"/>
  <c r="G10" i="33"/>
  <c r="E10" i="33"/>
  <c r="C10" i="33"/>
  <c r="F122" i="33"/>
  <c r="E122" i="33"/>
  <c r="D122" i="33"/>
  <c r="C122" i="33"/>
  <c r="G112" i="33"/>
  <c r="F112" i="33"/>
  <c r="E112" i="33"/>
  <c r="D112" i="33"/>
  <c r="C112" i="33"/>
  <c r="E104" i="33"/>
  <c r="D104" i="33"/>
  <c r="E93" i="33"/>
  <c r="D93" i="33"/>
  <c r="I7" i="33"/>
  <c r="G7" i="33"/>
  <c r="E7" i="33"/>
  <c r="B35" i="1"/>
  <c r="B29" i="1"/>
  <c r="B21" i="1"/>
  <c r="M47" i="81"/>
  <c r="M46" i="81"/>
  <c r="M45" i="81"/>
  <c r="N19" i="1"/>
  <c r="F19" i="6"/>
  <c r="I5" i="33"/>
  <c r="G5" i="33"/>
  <c r="E5" i="33"/>
  <c r="E4" i="81"/>
  <c r="E3" i="81"/>
  <c r="G47" i="33" s="1"/>
  <c r="E2" i="81"/>
  <c r="A4" i="81"/>
  <c r="A3" i="8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X25" i="71"/>
  <c r="X27" i="71"/>
  <c r="C31" i="71"/>
  <c r="D31" i="71" s="1"/>
  <c r="D34" i="71"/>
  <c r="C39" i="71"/>
  <c r="D38" i="71"/>
  <c r="C51" i="71"/>
  <c r="D51" i="71" s="1"/>
  <c r="D50" i="71"/>
  <c r="P28" i="71"/>
  <c r="AA3" i="71" s="1"/>
  <c r="E55" i="71"/>
  <c r="E56" i="7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40" i="71"/>
  <c r="T40" i="71" s="1"/>
  <c r="D39" i="71"/>
  <c r="C32" i="71"/>
  <c r="T32" i="71" s="1"/>
  <c r="O66" i="71"/>
  <c r="O65" i="71"/>
  <c r="D32" i="71"/>
  <c r="D40"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S21" i="33" s="1"/>
  <c r="E83" i="21"/>
  <c r="S21" i="21"/>
  <c r="H1" i="69"/>
  <c r="W25" i="40"/>
  <c r="U25" i="40"/>
  <c r="U29" i="39"/>
  <c r="W18" i="36"/>
  <c r="AB21" i="37"/>
  <c r="U21" i="37"/>
  <c r="U21" i="34"/>
  <c r="AB21" i="33"/>
  <c r="AA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U31" i="35"/>
  <c r="W22" i="35"/>
  <c r="S31" i="35"/>
  <c r="F36" i="34"/>
  <c r="J35" i="34"/>
  <c r="U34" i="34"/>
  <c r="H39" i="33"/>
  <c r="AB39" i="33" s="1"/>
  <c r="F26" i="33"/>
  <c r="AA26" i="33"/>
  <c r="S40"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s="1"/>
  <c r="E113" i="33"/>
  <c r="F32" i="33"/>
  <c r="AA32"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0"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AA29" i="33"/>
  <c r="AB29" i="33"/>
  <c r="W38" i="33"/>
  <c r="H41" i="33"/>
  <c r="U41" i="33" s="1"/>
  <c r="F121" i="33"/>
  <c r="G121" i="33" s="1"/>
  <c r="H121" i="33" s="1"/>
  <c r="I121" i="33" s="1"/>
  <c r="J121" i="33" s="1"/>
  <c r="K121" i="33" s="1"/>
  <c r="L121" i="33" s="1"/>
  <c r="M121" i="33" s="1"/>
  <c r="J35" i="33"/>
  <c r="W35" i="33" s="1"/>
  <c r="S37" i="33"/>
  <c r="S39" i="33"/>
  <c r="F101" i="33"/>
  <c r="G101" i="33"/>
  <c r="H101" i="33" s="1"/>
  <c r="I101" i="33" s="1"/>
  <c r="J101" i="33" s="1"/>
  <c r="K101" i="33" s="1"/>
  <c r="L101" i="33" s="1"/>
  <c r="M101" i="33" s="1"/>
  <c r="J32" i="33"/>
  <c r="W32" i="33" s="1"/>
  <c r="S46" i="33"/>
  <c r="W43" i="33"/>
  <c r="S43" i="33"/>
  <c r="F91" i="33"/>
  <c r="H27" i="33"/>
  <c r="F87" i="33"/>
  <c r="H25" i="33"/>
  <c r="F25" i="33"/>
  <c r="J23" i="33"/>
  <c r="AC23" i="33" s="1"/>
  <c r="F85" i="33"/>
  <c r="H23" i="33"/>
  <c r="U23" i="33" s="1"/>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F23" i="33"/>
  <c r="G85" i="33"/>
  <c r="H19" i="33"/>
  <c r="U19" i="33" s="1"/>
  <c r="G81" i="33"/>
  <c r="G79" i="33"/>
  <c r="H17" i="33"/>
  <c r="AB17" i="33" s="1"/>
  <c r="F17" i="33"/>
  <c r="AA17" i="33" s="1"/>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W27" i="33"/>
  <c r="AC27" i="33"/>
  <c r="W25" i="33"/>
  <c r="AC25" i="33"/>
  <c r="AA23" i="33"/>
  <c r="S23"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7" i="76"/>
  <c r="E9" i="76"/>
  <c r="B12" i="76"/>
  <c r="F36" i="15"/>
  <c r="F13" i="15"/>
  <c r="M22" i="67"/>
  <c r="M24" i="15"/>
  <c r="F26" i="67"/>
  <c r="M28" i="67"/>
  <c r="C76" i="15"/>
  <c r="M23" i="15"/>
  <c r="E2" i="68"/>
  <c r="M8" i="15"/>
  <c r="D4" i="73"/>
  <c r="B13" i="76"/>
  <c r="F7" i="15"/>
  <c r="F8" i="67"/>
  <c r="B10" i="76"/>
  <c r="D35" i="9"/>
  <c r="E13" i="76"/>
  <c r="L48" i="15"/>
  <c r="M8" i="67"/>
  <c r="B9" i="76"/>
  <c r="F7" i="67"/>
  <c r="B7" i="76"/>
  <c r="M28" i="15"/>
  <c r="F7" i="73"/>
  <c r="M24" i="67"/>
  <c r="F16" i="67"/>
  <c r="M26" i="15"/>
  <c r="F20" i="31"/>
  <c r="M29" i="67"/>
  <c r="M9" i="15"/>
  <c r="E2" i="69"/>
  <c r="F4" i="73"/>
  <c r="F40" i="67"/>
  <c r="M26" i="67"/>
  <c r="F6" i="67"/>
  <c r="L47" i="67"/>
  <c r="F42" i="67"/>
  <c r="F5" i="73"/>
  <c r="M6" i="15"/>
  <c r="B8" i="76"/>
  <c r="J15" i="67"/>
  <c r="E8" i="76"/>
  <c r="E11" i="76"/>
  <c r="E10" i="76"/>
  <c r="F36" i="67"/>
  <c r="M29" i="15"/>
  <c r="F16" i="15"/>
  <c r="E12" i="76"/>
  <c r="D34" i="9"/>
  <c r="M22" i="15"/>
  <c r="M9" i="67"/>
  <c r="F37" i="67"/>
  <c r="F43" i="15"/>
  <c r="F37" i="15"/>
  <c r="L47" i="15"/>
  <c r="M6" i="67"/>
  <c r="F9" i="67"/>
  <c r="F8" i="15"/>
  <c r="F9" i="15"/>
  <c r="D3" i="73"/>
  <c r="F40" i="15"/>
  <c r="L48" i="67"/>
  <c r="F6" i="73"/>
  <c r="F6" i="15"/>
  <c r="F13" i="67"/>
  <c r="F38" i="67"/>
  <c r="F43" i="67"/>
  <c r="AO13" i="1"/>
  <c r="D6" i="73"/>
  <c r="F42" i="15"/>
  <c r="J15" i="15"/>
  <c r="F26" i="15"/>
  <c r="M23" i="67"/>
  <c r="B11" i="76"/>
  <c r="F3" i="73"/>
  <c r="C76" i="67"/>
  <c r="F38" i="15"/>
  <c r="D5" i="73"/>
  <c r="C18" i="9" l="1"/>
  <c r="D18" i="9" s="1"/>
  <c r="U43" i="33"/>
  <c r="F111" i="33"/>
  <c r="G111" i="33" s="1"/>
  <c r="H111" i="33" s="1"/>
  <c r="I111" i="33" s="1"/>
  <c r="J111" i="33" s="1"/>
  <c r="K111" i="33" s="1"/>
  <c r="L111" i="33" s="1"/>
  <c r="M111" i="33" s="1"/>
  <c r="F36" i="33"/>
  <c r="J36" i="33"/>
  <c r="W36" i="33" s="1"/>
  <c r="H36" i="33"/>
  <c r="H35" i="33"/>
  <c r="AB35" i="33" s="1"/>
  <c r="AC34" i="33"/>
  <c r="U32" i="33"/>
  <c r="AA35" i="33"/>
  <c r="S41" i="33"/>
  <c r="S38" i="33"/>
  <c r="AC35" i="33"/>
  <c r="AB28" i="33"/>
  <c r="AC28" i="33"/>
  <c r="AB19" i="33"/>
  <c r="AA19" i="33"/>
  <c r="AC17" i="33"/>
  <c r="W23" i="33"/>
  <c r="U17" i="33"/>
  <c r="AB23" i="33"/>
  <c r="S17" i="33"/>
  <c r="U42" i="33"/>
  <c r="S42" i="33"/>
  <c r="W42" i="33"/>
  <c r="U37" i="33"/>
  <c r="AB34" i="33"/>
  <c r="AA34" i="33"/>
  <c r="W33" i="33"/>
  <c r="AC32" i="33"/>
  <c r="C29" i="39"/>
  <c r="B68" i="43"/>
  <c r="B77" i="43"/>
  <c r="C21" i="68"/>
  <c r="C40" i="69"/>
  <c r="F29" i="6"/>
  <c r="D19" i="53"/>
  <c r="B38" i="72" s="1"/>
  <c r="D16" i="53"/>
  <c r="B34" i="72" s="1"/>
  <c r="C28" i="67"/>
  <c r="D17" i="71"/>
  <c r="C16" i="71"/>
  <c r="D20" i="71"/>
  <c r="U20" i="71" s="1"/>
  <c r="T20" i="71"/>
  <c r="V20" i="71"/>
  <c r="BL5" i="3"/>
  <c r="AC12" i="37"/>
  <c r="AZ581" i="3"/>
  <c r="W13" i="36"/>
  <c r="AA14" i="33"/>
  <c r="AA44" i="33"/>
  <c r="S13" i="35"/>
  <c r="AA13" i="35"/>
  <c r="AB46" i="33"/>
  <c r="U46" i="33"/>
  <c r="W30" i="34"/>
  <c r="AC30" i="34"/>
  <c r="AA45" i="33"/>
  <c r="S45" i="33"/>
  <c r="AC29" i="33"/>
  <c r="W29" i="33"/>
  <c r="S29" i="35"/>
  <c r="AA29" i="35"/>
  <c r="W12" i="34"/>
  <c r="AC12" i="34"/>
  <c r="U12" i="35"/>
  <c r="AB12" i="35"/>
  <c r="AB9" i="36"/>
  <c r="U9" i="36"/>
  <c r="AB14" i="37"/>
  <c r="U14" i="37"/>
  <c r="AZ398" i="3"/>
  <c r="AZ405" i="3"/>
  <c r="AZ415" i="3"/>
  <c r="E15" i="71"/>
  <c r="E14" i="71" s="1"/>
  <c r="E13" i="71" s="1"/>
  <c r="E12" i="71" s="1"/>
  <c r="V16" i="71"/>
  <c r="G28" i="6"/>
  <c r="AZ557" i="3"/>
  <c r="AZ517" i="3"/>
  <c r="AZ567" i="3"/>
  <c r="AZ571" i="3"/>
  <c r="AZ575" i="3"/>
  <c r="AZ579" i="3"/>
  <c r="AA44" i="34"/>
  <c r="S44" i="34"/>
  <c r="U23" i="34"/>
  <c r="AB23" i="34"/>
  <c r="AB33" i="35"/>
  <c r="U33" i="35"/>
  <c r="AC9" i="34"/>
  <c r="W9" i="34"/>
  <c r="AC34" i="35"/>
  <c r="W34" i="35"/>
  <c r="AC31" i="40"/>
  <c r="W31" i="40"/>
  <c r="AZ400" i="3"/>
  <c r="AZ413" i="3"/>
  <c r="U23" i="40"/>
  <c r="AC11" i="40"/>
  <c r="AA39" i="37"/>
  <c r="AB12" i="33"/>
  <c r="C15" i="39"/>
  <c r="C27" i="39"/>
  <c r="S34" i="21"/>
  <c r="U33" i="33"/>
  <c r="W28" i="35"/>
  <c r="W28" i="36"/>
  <c r="J12" i="21"/>
  <c r="B73" i="43"/>
  <c r="B79" i="43"/>
  <c r="B76" i="43"/>
  <c r="B75" i="43"/>
  <c r="F9" i="34"/>
  <c r="AA9" i="34" s="1"/>
  <c r="F12" i="34"/>
  <c r="AC31" i="35"/>
  <c r="F34" i="35"/>
  <c r="H34" i="35"/>
  <c r="J36" i="35"/>
  <c r="F23" i="36"/>
  <c r="H23" i="36"/>
  <c r="AZ385" i="3"/>
  <c r="AZ210" i="3"/>
  <c r="AZ225" i="3"/>
  <c r="AZ239" i="3"/>
  <c r="AZ255" i="3"/>
  <c r="AZ274" i="3"/>
  <c r="AZ277" i="3"/>
  <c r="AZ424" i="3"/>
  <c r="AZ429" i="3"/>
  <c r="AZ439" i="3"/>
  <c r="AZ444" i="3"/>
  <c r="AZ456" i="3"/>
  <c r="AZ466" i="3"/>
  <c r="AZ472" i="3"/>
  <c r="AZ475" i="3"/>
  <c r="AZ483" i="3"/>
  <c r="AZ489" i="3"/>
  <c r="AZ316" i="3"/>
  <c r="AZ332" i="3"/>
  <c r="AZ264" i="3"/>
  <c r="AZ121" i="3"/>
  <c r="AZ134" i="3"/>
  <c r="AZ137" i="3"/>
  <c r="AZ145" i="3"/>
  <c r="AZ161" i="3"/>
  <c r="AZ177" i="3"/>
  <c r="AZ193" i="3"/>
  <c r="AZ34" i="3"/>
  <c r="AZ38" i="3"/>
  <c r="AZ44" i="3"/>
  <c r="AZ48" i="3"/>
  <c r="AZ60" i="3"/>
  <c r="AZ64" i="3"/>
  <c r="AZ78" i="3"/>
  <c r="AZ91" i="3"/>
  <c r="AZ98" i="3"/>
  <c r="AZ104" i="3"/>
  <c r="AZ108" i="3"/>
  <c r="S21" i="37"/>
  <c r="W29" i="39"/>
  <c r="C55" i="71"/>
  <c r="D54" i="71"/>
  <c r="D64" i="71"/>
  <c r="T64" i="71"/>
  <c r="P65" i="71"/>
  <c r="P66" i="71"/>
  <c r="C26" i="71"/>
  <c r="D26" i="71" s="1"/>
  <c r="D27" i="71"/>
  <c r="C36" i="71"/>
  <c r="D35" i="71"/>
  <c r="B27" i="71"/>
  <c r="B26" i="71" s="1"/>
  <c r="S28" i="71"/>
  <c r="D42" i="71"/>
  <c r="C43" i="71"/>
  <c r="C47" i="71"/>
  <c r="D47" i="71" s="1"/>
  <c r="D46" i="71"/>
  <c r="V28" i="71"/>
  <c r="AA28" i="71"/>
  <c r="AA26"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3" i="71"/>
  <c r="X17" i="71"/>
  <c r="AA17" i="71"/>
  <c r="U18" i="36"/>
  <c r="Y9" i="71"/>
  <c r="Z9" i="71" s="1"/>
  <c r="Y10" i="71"/>
  <c r="Z10" i="71" s="1"/>
  <c r="AA9" i="71"/>
  <c r="AA10" i="71"/>
  <c r="AB24" i="71"/>
  <c r="Y21" i="71"/>
  <c r="Z21" i="71" s="1"/>
  <c r="AB21" i="71"/>
  <c r="Y18" i="71"/>
  <c r="Z18" i="71" s="1"/>
  <c r="Y14" i="71"/>
  <c r="Z14" i="71" s="1"/>
  <c r="Y17" i="71"/>
  <c r="Z17" i="71" s="1"/>
  <c r="AB17" i="71"/>
  <c r="X24" i="71"/>
  <c r="Y24" i="71"/>
  <c r="Z24" i="71" s="1"/>
  <c r="AB15" i="71"/>
  <c r="AB11" i="71"/>
  <c r="AB14" i="71"/>
  <c r="AA12" i="71"/>
  <c r="X11" i="71"/>
  <c r="Y12" i="71"/>
  <c r="Z12" i="71" s="1"/>
  <c r="Y13" i="71"/>
  <c r="Z13" i="71" s="1"/>
  <c r="Y23" i="71"/>
  <c r="Z23" i="71" s="1"/>
  <c r="Y22" i="71"/>
  <c r="Z22" i="71" s="1"/>
  <c r="AA23" i="71"/>
  <c r="AB23" i="71"/>
  <c r="X15" i="71"/>
  <c r="AA15" i="71"/>
  <c r="AB12"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67"/>
  <c r="C16" i="15"/>
  <c r="G1" i="73"/>
  <c r="U36" i="33" l="1"/>
  <c r="AB36" i="33"/>
  <c r="AA36" i="33"/>
  <c r="S36" i="33"/>
  <c r="U35" i="33"/>
  <c r="B15" i="71"/>
  <c r="B14" i="71" s="1"/>
  <c r="B13" i="71" s="1"/>
  <c r="B12" i="71" s="1"/>
  <c r="S16" i="71"/>
  <c r="F66" i="71"/>
  <c r="Q67" i="71"/>
  <c r="D36" i="71"/>
  <c r="T36" i="71"/>
  <c r="C56" i="71"/>
  <c r="D55" i="71"/>
  <c r="AA23" i="36"/>
  <c r="S23" i="36"/>
  <c r="AB34" i="35"/>
  <c r="U34" i="35"/>
  <c r="E11" i="71"/>
  <c r="E10" i="71" s="1"/>
  <c r="E9" i="71" s="1"/>
  <c r="E8" i="71" s="1"/>
  <c r="E7" i="71" s="1"/>
  <c r="E6" i="71" s="1"/>
  <c r="E5" i="71" s="1"/>
  <c r="V12" i="71"/>
  <c r="C15" i="71"/>
  <c r="T16" i="71"/>
  <c r="C44" i="71"/>
  <c r="D43" i="71"/>
  <c r="AB23" i="36"/>
  <c r="U23" i="36"/>
  <c r="AC36" i="35"/>
  <c r="W36" i="35"/>
  <c r="AA34" i="35"/>
  <c r="S34" i="35"/>
  <c r="S12" i="34"/>
  <c r="AA12" i="34"/>
  <c r="AC12" i="21"/>
  <c r="W12" i="2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D44" i="71"/>
  <c r="T44" i="71"/>
  <c r="D15" i="71"/>
  <c r="C14" i="71"/>
  <c r="D56" i="71"/>
  <c r="T56"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7"/>
  <c r="D2" i="36"/>
  <c r="L51" i="15"/>
  <c r="D2" i="34"/>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9" i="1"/>
  <c r="AO10" i="1"/>
  <c r="AO11" i="1"/>
  <c r="AO8" i="1"/>
  <c r="AO12" i="1"/>
  <c r="AO7" i="1"/>
  <c r="AO6"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I4" i="52" s="1"/>
  <c r="F118" i="9" l="1"/>
  <c r="F4" i="52" s="1"/>
  <c r="B51" i="72" s="1"/>
  <c r="H102" i="9"/>
  <c r="H118" i="9"/>
  <c r="E118" i="9"/>
  <c r="C105" i="9"/>
  <c r="F119" i="9" l="1"/>
  <c r="F5" i="52" s="1"/>
  <c r="B53" i="72" s="1"/>
  <c r="H4" i="52"/>
  <c r="H101" i="9"/>
  <c r="C104" i="9"/>
  <c r="H119" i="9"/>
  <c r="H5" i="52" s="1"/>
  <c r="D118" i="9"/>
  <c r="E4" i="52"/>
  <c r="B48" i="72" s="1"/>
  <c r="C5" i="74"/>
  <c r="D7" i="53"/>
  <c r="B21" i="72" s="1"/>
  <c r="M48" i="9" l="1"/>
  <c r="D45" i="9"/>
  <c r="D5" i="53"/>
  <c r="H107" i="9"/>
  <c r="D119" i="9"/>
  <c r="D5" i="52" s="1"/>
  <c r="B49" i="72" s="1"/>
  <c r="D4" i="52"/>
  <c r="B47" i="72" s="1"/>
  <c r="D122" i="9" l="1"/>
  <c r="D13" i="53"/>
  <c r="H108" i="9"/>
  <c r="M49" i="9"/>
  <c r="D53" i="9"/>
  <c r="C78" i="9"/>
  <c r="C73" i="9" s="1"/>
  <c r="D52" i="9"/>
  <c r="C93" i="9"/>
  <c r="C86" i="9" s="1"/>
  <c r="C85" i="9"/>
  <c r="C72" i="9"/>
  <c r="C79" i="9" s="1"/>
  <c r="D55" i="9"/>
  <c r="M53" i="9" s="1"/>
  <c r="C64" i="9"/>
  <c r="C63" i="9" s="1"/>
  <c r="C67" i="9" s="1"/>
  <c r="B20" i="72"/>
  <c r="D6" i="53"/>
  <c r="B22" i="72" s="1"/>
  <c r="C95" i="9" l="1"/>
  <c r="D59" i="9"/>
  <c r="M55" i="9" s="1"/>
  <c r="C68" i="9"/>
  <c r="D54" i="9" s="1"/>
  <c r="C80" i="9"/>
  <c r="E80" i="9" s="1"/>
  <c r="E81" i="9" s="1"/>
  <c r="L65" i="9"/>
  <c r="M65" i="9" s="1"/>
  <c r="L63" i="9"/>
  <c r="M63" i="9" s="1"/>
  <c r="L66" i="9"/>
  <c r="M66" i="9" s="1"/>
  <c r="L64" i="9"/>
  <c r="M64" i="9" s="1"/>
  <c r="L67" i="9"/>
  <c r="M67" i="9" s="1"/>
  <c r="L68" i="9"/>
  <c r="M68" i="9" s="1"/>
  <c r="B30" i="72"/>
  <c r="D14" i="53"/>
  <c r="B32" i="72" s="1"/>
  <c r="C96" i="9"/>
  <c r="E96" i="9" s="1"/>
  <c r="E97" i="9" s="1"/>
  <c r="C6" i="74"/>
  <c r="D15" i="53"/>
  <c r="B31" i="72" s="1"/>
  <c r="D8" i="52"/>
  <c r="D123" i="9"/>
  <c r="D9" i="52" s="1"/>
  <c r="C81" i="9" l="1"/>
  <c r="C97" i="9"/>
  <c r="D58" i="9" s="1"/>
  <c r="D56" i="9" s="1"/>
  <c r="M54" i="9" s="1"/>
  <c r="N57" i="9" s="1"/>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<sst xmlns="http://schemas.openxmlformats.org/spreadsheetml/2006/main" count="7885" uniqueCount="3439">
  <si>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</si>
  <si>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</si>
  <si>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</si>
  <si>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</si>
  <si>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</si>
  <si>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</si>
  <si>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</si>
  <si>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</si>
  <si>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</si>
  <si>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</si>
  <si>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</si>
  <si>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</si>
  <si>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</si>
  <si>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</si>
  <si>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</si>
  <si>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</si>
  <si>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</si>
  <si>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</si>
  <si>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</si>
  <si>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</si>
  <si>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</si>
  <si>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</si>
  <si>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</si>
  <si>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</si>
  <si>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</si>
  <si>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</si>
  <si>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</si>
  <si>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</si>
  <si>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</si>
  <si>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</si>
  <si>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</si>
  <si>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</si>
  <si>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</si>
  <si>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</si>
  <si>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</si>
  <si>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</si>
  <si>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</si>
  <si>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</si>
  <si>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</si>
  <si>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</si>
  <si>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</si>
  <si>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</si>
  <si>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</si>
  <si>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</si>
  <si>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</si>
  <si>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</si>
  <si>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</si>
  <si>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</si>
  <si>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</si>
  <si>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</si>
  <si>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</si>
  <si>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</si>
  <si>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</si>
  <si>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</si>
  <si>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</si>
  <si>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</si>
  <si>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</si>
  <si>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</si>
  <si>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</si>
  <si>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</si>
  <si>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</si>
  <si>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</si>
  <si>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</si>
  <si>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</si>
  <si>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</si>
  <si>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</si>
  <si>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</si>
  <si>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</si>
  <si>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</si>
  <si>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</si>
  <si>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</si>
  <si>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</si>
  <si>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</si>
  <si>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</si>
  <si>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</si>
  <si>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</si>
  <si>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</si>
  <si>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</si>
  <si>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</si>
  <si>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</si>
  <si>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</si>
  <si>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</si>
  <si>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</si>
  <si>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</si>
  <si>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</si>
  <si>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</si>
  <si>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</si>
  <si>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</si>
  <si>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</si>
  <si>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</si>
  <si>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</si>
  <si>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</si>
  <si>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</si>
  <si>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</si>
  <si>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</si>
  <si>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</si>
  <si>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</si>
  <si>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</si>
  <si>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</si>
  <si>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</si>
  <si>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</si>
  <si>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</si>
  <si>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</si>
  <si>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</si>
  <si>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</si>
  <si>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</si>
  <si>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</si>
  <si>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</si>
  <si>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</si>
  <si>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</si>
  <si>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</si>
  <si>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</si>
  <si>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</si>
  <si>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</si>
  <si>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</si>
  <si>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</si>
  <si>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</si>
  <si>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</si>
  <si>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</si>
  <si>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</si>
  <si>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</si>
  <si>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</si>
  <si>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</si>
  <si>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</si>
  <si>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</si>
  <si>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</si>
  <si>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</si>
  <si>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</si>
  <si>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</si>
  <si>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</si>
  <si>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</si>
  <si>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</si>
  <si>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</si>
  <si>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</si>
  <si>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</si>
  <si>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</si>
  <si>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</si>
  <si>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</si>
  <si>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</si>
  <si>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</si>
  <si>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</si>
  <si>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</si>
  <si>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</si>
  <si>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</si>
  <si>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</si>
  <si>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</si>
  <si>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</si>
  <si>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</si>
  <si>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</si>
  <si>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</si>
  <si>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</si>
  <si>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</si>
  <si>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</si>
  <si>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</si>
  <si>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</si>
  <si>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</si>
  <si>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</si>
  <si>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</si>
  <si>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</si>
  <si>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</si>
  <si>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</si>
  <si>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</si>
  <si>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</si>
  <si>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</si>
  <si>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</si>
  <si>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</si>
  <si>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</si>
  <si>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</si>
  <si>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</si>
  <si>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</si>
  <si>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</si>
  <si>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</si>
  <si>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</si>
  <si>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</si>
  <si>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</si>
  <si>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</si>
  <si>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</si>
  <si>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</si>
  <si>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</si>
  <si>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</si>
  <si>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</si>
  <si>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</si>
  <si>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</si>
  <si>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</si>
  <si>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</si>
  <si>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</si>
  <si>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</si>
  <si>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</si>
  <si>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</si>
  <si>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</si>
  <si>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</si>
  <si>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</si>
  <si>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</si>
  <si>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</si>
  <si>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</si>
  <si>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</si>
  <si>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</si>
  <si>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</si>
  <si>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</si>
  <si>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</si>
  <si>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</si>
  <si>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</si>
  <si>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</si>
  <si>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</si>
  <si>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</si>
  <si>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</si>
  <si>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</si>
  <si>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</si>
  <si>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</si>
  <si>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</si>
  <si>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</si>
  <si>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</si>
  <si>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</si>
  <si>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</si>
  <si>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</si>
  <si>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</si>
  <si>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</si>
  <si>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</si>
  <si>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</si>
  <si>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</si>
  <si>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</si>
  <si>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</si>
  <si>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</si>
  <si>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</si>
  <si>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</si>
  <si>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</si>
  <si>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</si>
  <si>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</si>
  <si>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</si>
  <si>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</si>
  <si>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</si>
  <si>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</si>
  <si>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</si>
  <si>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</si>
  <si>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</si>
  <si>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</si>
  <si>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</si>
  <si>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</si>
  <si>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</si>
  <si>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</si>
  <si>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</si>
  <si>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</si>
  <si>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</si>
  <si>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</si>
  <si>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</si>
  <si>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</si>
  <si>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</si>
  <si>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</si>
  <si>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</si>
  <si>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</si>
  <si>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</si>
  <si>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</si>
  <si>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</si>
  <si>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</si>
  <si>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</si>
  <si>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</si>
  <si>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</si>
  <si>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</si>
  <si>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</si>
  <si>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</si>
  <si>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</si>
  <si>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</si>
  <si>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</si>
  <si>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</si>
  <si>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</si>
  <si>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</si>
  <si>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</si>
  <si>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</si>
  <si>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</si>
  <si>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</si>
  <si>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</si>
  <si>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</si>
  <si>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</si>
  <si>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</si>
  <si>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</si>
  <si>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</si>
  <si>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</si>
  <si>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</si>
  <si>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</si>
  <si>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</si>
  <si>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</si>
  <si>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</si>
  <si>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</si>
  <si>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</si>
  <si>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</si>
  <si>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</si>
  <si>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</si>
  <si>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</si>
  <si>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</si>
  <si>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</si>
  <si>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</si>
  <si>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</si>
  <si>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</si>
  <si>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</si>
  <si>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</si>
  <si>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</si>
  <si>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</si>
  <si>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</si>
  <si>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</si>
  <si>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</si>
  <si>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</si>
  <si>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</si>
  <si>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</si>
  <si>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</si>
  <si>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</si>
  <si>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</si>
  <si>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</si>
  <si>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</si>
  <si>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</si>
  <si>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</si>
  <si>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</si>
  <si>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</si>
  <si>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</si>
  <si>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</si>
  <si>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</si>
  <si>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</si>
  <si>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</si>
  <si>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</si>
  <si>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</si>
  <si>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</si>
  <si>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</si>
  <si>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</si>
  <si>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</si>
  <si>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</si>
  <si>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</si>
  <si>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</si>
  <si>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</si>
  <si>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</si>
  <si>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</si>
  <si>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</si>
  <si>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</si>
  <si>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</si>
  <si>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</si>
  <si>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</si>
  <si>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</si>
  <si>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</si>
  <si>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</si>
  <si>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</si>
  <si>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</si>
  <si>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</si>
  <si>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</si>
  <si>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</si>
  <si>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</si>
  <si>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</si>
  <si>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</si>
  <si>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</si>
  <si>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</si>
  <si>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</si>
  <si>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</si>
  <si>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</si>
  <si>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</si>
  <si>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</si>
  <si>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</si>
  <si>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</si>
  <si>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</si>
  <si>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</si>
  <si>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</si>
  <si>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</si>
  <si>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</si>
  <si>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</si>
  <si>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</si>
  <si>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</si>
  <si>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</si>
  <si>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</si>
  <si>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</si>
  <si>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</si>
  <si>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</si>
  <si>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</si>
  <si>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</si>
  <si>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</si>
  <si>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</si>
  <si>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</si>
  <si>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</si>
  <si>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</si>
  <si>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</si>
  <si>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</si>
  <si>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</si>
  <si>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</si>
  <si>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</si>
  <si>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</si>
  <si>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</si>
  <si>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</si>
  <si>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</si>
  <si>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</si>
  <si>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</si>
  <si>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</si>
  <si>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</si>
  <si>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</si>
  <si>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</si>
  <si>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</si>
  <si>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</si>
  <si>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</si>
  <si>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</si>
  <si>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</si>
  <si>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</si>
  <si>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</si>
  <si>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</si>
  <si>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</si>
  <si>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</si>
  <si>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</si>
  <si>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</si>
  <si>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</si>
  <si>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</si>
  <si>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</si>
  <si>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</si>
  <si>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</si>
  <si>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</si>
  <si>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</si>
  <si>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</si>
  <si>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</si>
  <si>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</si>
  <si>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</si>
  <si>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</si>
  <si>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</si>
  <si>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</si>
  <si>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</si>
  <si>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</si>
  <si>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</si>
  <si>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</si>
  <si>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</si>
  <si>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</si>
  <si>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</si>
  <si>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</si>
  <si>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</si>
  <si>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</si>
  <si>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</si>
  <si>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</si>
  <si>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</si>
  <si>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</si>
  <si>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</si>
  <si>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</si>
  <si>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</si>
  <si>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</si>
  <si>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</si>
  <si>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</si>
  <si>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</si>
  <si>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</si>
  <si>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</si>
  <si>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</si>
  <si>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</si>
  <si>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</si>
  <si>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</si>
  <si>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</si>
  <si>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</si>
  <si>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</si>
  <si>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</si>
  <si>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</si>
  <si>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</si>
  <si>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</si>
  <si>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</si>
  <si>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</si>
  <si>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</si>
  <si>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</si>
  <si>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</si>
  <si>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</si>
  <si>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</si>
  <si>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</si>
  <si>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</si>
  <si>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</si>
  <si>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</si>
  <si>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</si>
  <si>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</si>
  <si>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</si>
  <si>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</si>
  <si>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</si>
  <si>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</si>
  <si>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</si>
  <si>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</si>
  <si>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</si>
  <si>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</si>
  <si>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</si>
  <si>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</si>
  <si>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</si>
  <si>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</si>
  <si>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</si>
  <si>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</si>
  <si>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</si>
  <si>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</si>
  <si>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</si>
  <si>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</si>
  <si>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</si>
  <si>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</si>
  <si>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</si>
  <si>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</si>
  <si>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</si>
  <si>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</si>
  <si>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</si>
  <si>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</si>
  <si>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</si>
  <si>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</si>
  <si>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</si>
  <si>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</si>
  <si>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</si>
  <si>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</si>
  <si>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</si>
  <si>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</si>
  <si>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</si>
  <si>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</si>
  <si>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</si>
  <si>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</si>
  <si>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</si>
  <si>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</si>
  <si>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</si>
  <si>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</si>
  <si>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</si>
  <si>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</si>
  <si>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</si>
  <si>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</si>
  <si>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</si>
  <si>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</si>
  <si>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</si>
  <si>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</si>
  <si>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</si>
  <si>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</si>
  <si>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</si>
  <si>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</si>
  <si>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</si>
  <si>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</si>
  <si>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</si>
  <si>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</si>
  <si>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</si>
  <si>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</si>
  <si>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</si>
  <si>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</si>
  <si>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</si>
  <si>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</si>
  <si>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</si>
  <si>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</si>
  <si>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</si>
  <si>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</si>
  <si>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</si>
  <si>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</si>
  <si>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</si>
  <si>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</si>
  <si>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</si>
  <si>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</si>
  <si>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</si>
  <si>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</si>
  <si>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</si>
  <si>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</si>
  <si>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</si>
  <si>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</si>
  <si>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</si>
  <si>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</si>
  <si>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</si>
  <si>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</si>
  <si>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</si>
  <si>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</si>
  <si>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</si>
  <si>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</si>
  <si>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</si>
  <si>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</si>
  <si>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</si>
  <si>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</si>
  <si>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</si>
  <si>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</si>
  <si>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</si>
  <si>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</si>
  <si>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</si>
  <si>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</si>
  <si>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</si>
  <si>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</si>
  <si>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</si>
  <si>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</si>
  <si>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</si>
  <si>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</si>
  <si>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</si>
  <si>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</si>
  <si>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</si>
  <si>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</si>
  <si>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</si>
  <si>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</si>
  <si>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</si>
  <si>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</si>
  <si>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</si>
  <si>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</si>
  <si>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</si>
  <si>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</si>
  <si>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</si>
  <si>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</si>
  <si>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</si>
  <si>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</si>
  <si>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</si>
  <si>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</si>
  <si>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</si>
  <si>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</si>
  <si>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</si>
  <si>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</si>
  <si>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</si>
  <si>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</si>
  <si>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</si>
  <si>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</si>
  <si>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</si>
  <si>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</si>
  <si>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</si>
  <si>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</si>
  <si>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</si>
  <si>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</si>
  <si>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</si>
  <si>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</si>
  <si>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</si>
  <si>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</si>
  <si>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</si>
  <si>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</si>
  <si>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</si>
  <si>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</si>
  <si>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</si>
  <si>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</si>
  <si>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</si>
  <si>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</si>
  <si>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</si>
  <si>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</si>
  <si>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</si>
  <si>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</si>
  <si>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</si>
  <si>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</si>
  <si>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</si>
  <si>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</si>
  <si>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</si>
  <si>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</si>
  <si>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</si>
  <si>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</si>
  <si>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</si>
  <si>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</si>
  <si>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</si>
  <si>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</si>
  <si>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</si>
  <si>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</si>
  <si>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</si>
  <si>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</si>
  <si>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</si>
  <si>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</si>
  <si>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</si>
  <si>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</si>
  <si>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</si>
  <si>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</si>
  <si>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</si>
  <si>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</si>
  <si>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</si>
  <si>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</si>
  <si>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</si>
  <si>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</si>
  <si>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</si>
  <si>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</si>
  <si>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</si>
  <si>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</si>
  <si>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</si>
  <si>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</si>
  <si>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</si>
  <si>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</si>
  <si>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</si>
  <si>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</si>
  <si>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</si>
  <si>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</si>
  <si>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</si>
  <si>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</si>
  <si>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</si>
  <si>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</si>
  <si>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</si>
  <si>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</si>
  <si>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</si>
  <si>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</si>
  <si>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</si>
  <si>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</si>
  <si>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</si>
  <si>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</si>
  <si>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</si>
  <si>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</si>
  <si>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</si>
  <si>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</si>
  <si>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</si>
  <si>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</si>
  <si>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</si>
  <si>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</si>
  <si>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</si>
  <si>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</si>
  <si>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</si>
  <si>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</si>
  <si>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</si>
  <si>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</si>
  <si>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</si>
  <si>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</si>
  <si>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</si>
  <si>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</si>
  <si>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</si>
  <si>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</si>
  <si>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</si>
  <si>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</si>
  <si>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</si>
  <si>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</si>
  <si>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</si>
  <si>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</si>
  <si>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</si>
  <si>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</si>
  <si>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</si>
  <si>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</si>
  <si>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</si>
  <si>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</si>
  <si>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</si>
  <si>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</si>
  <si>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</si>
  <si>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</si>
  <si>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</si>
  <si>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</si>
  <si>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</si>
  <si>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</si>
  <si>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</si>
  <si>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</si>
  <si>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</si>
  <si>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</si>
  <si>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</si>
  <si>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</si>
  <si>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</si>
  <si>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</si>
  <si>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</si>
  <si>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</si>
  <si>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</si>
  <si>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</si>
  <si>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</si>
  <si>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</si>
  <si>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</si>
  <si>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</si>
  <si>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</si>
  <si>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</si>
  <si>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</si>
  <si>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</si>
  <si>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</si>
  <si>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</si>
  <si>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</si>
  <si>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</si>
  <si>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</si>
  <si>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</si>
  <si>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</si>
  <si>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</si>
  <si>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</si>
  <si>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</si>
  <si>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</si>
  <si>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</si>
  <si>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</si>
  <si>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</si>
  <si>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</si>
  <si>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</si>
  <si>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</si>
  <si>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</si>
  <si>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</si>
  <si>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</si>
  <si>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</si>
  <si>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</si>
  <si>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</si>
  <si>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</si>
  <si>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</si>
  <si>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</si>
  <si>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</si>
  <si>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</si>
  <si>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</si>
  <si>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</si>
  <si>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</si>
  <si>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</si>
  <si>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</si>
  <si>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</si>
  <si>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</si>
  <si>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</si>
  <si>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</si>
  <si>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</si>
  <si>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</si>
  <si>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</si>
  <si>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</si>
  <si>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</si>
  <si>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</si>
  <si>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</si>
  <si>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</si>
  <si>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</si>
  <si>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</si>
  <si>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</si>
  <si>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</si>
  <si>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</si>
  <si>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</si>
  <si>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</si>
  <si>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</si>
  <si>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</si>
  <si>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</si>
  <si>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</si>
  <si>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</si>
  <si>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</si>
  <si>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</si>
  <si>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</si>
  <si>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</si>
  <si>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</si>
  <si>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</si>
  <si>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</si>
  <si>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</si>
  <si>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</si>
  <si>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</si>
  <si>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</si>
  <si>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</si>
  <si>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</si>
  <si>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</si>
  <si>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</si>
  <si>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</si>
  <si>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</si>
  <si>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</si>
  <si>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</si>
  <si>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</si>
  <si>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</si>
  <si>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</si>
  <si>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</si>
  <si>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</si>
  <si>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</si>
  <si>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</si>
  <si>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</si>
  <si>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</si>
  <si>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</si>
  <si>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</si>
  <si>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</si>
  <si>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</si>
  <si>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</si>
  <si>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</si>
  <si>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</si>
  <si>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</si>
  <si>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</si>
  <si>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</si>
  <si>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</si>
  <si>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</si>
  <si>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</si>
  <si>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</si>
  <si>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</si>
  <si>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</si>
  <si>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</si>
  <si>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</si>
  <si>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</si>
  <si>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</si>
  <si>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</si>
  <si>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</si>
  <si>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</si>
  <si>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</si>
  <si>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</si>
  <si>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</si>
  <si>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</si>
  <si>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</si>
  <si>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</si>
  <si>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</si>
  <si>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</si>
  <si>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</si>
  <si>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</si>
  <si>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</si>
  <si>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</si>
  <si>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</si>
  <si>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</si>
  <si>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</si>
  <si>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</si>
  <si>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</si>
  <si>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</si>
  <si>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</si>
  <si>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</si>
  <si>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</si>
  <si>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</si>
  <si>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</si>
  <si>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</si>
  <si>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</si>
  <si>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</si>
  <si>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</si>
  <si>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</si>
  <si>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</si>
  <si>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</si>
  <si>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</si>
  <si>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</si>
  <si>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</si>
  <si>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</si>
  <si>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</si>
  <si>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</si>
  <si>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</si>
  <si>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</si>
  <si>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</si>
  <si>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</si>
  <si>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</si>
  <si>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</si>
  <si>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</si>
  <si>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</si>
  <si>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</si>
  <si>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</si>
  <si>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</si>
  <si>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</si>
  <si>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</si>
  <si>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</si>
  <si>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</si>
  <si>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</si>
  <si>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</si>
  <si>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</si>
  <si>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</si>
  <si>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</si>
  <si>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</si>
  <si>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</si>
  <si>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</si>
  <si>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</si>
  <si>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</si>
  <si>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</si>
  <si>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</si>
  <si>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</si>
  <si>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</si>
  <si>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</si>
  <si>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</si>
  <si>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</si>
  <si>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</si>
  <si>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</si>
  <si>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</si>
  <si>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</si>
  <si>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</si>
  <si>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</si>
  <si>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</si>
  <si>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</si>
  <si>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</si>
  <si>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</si>
  <si>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</si>
  <si>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</si>
  <si>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</si>
  <si>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</si>
  <si>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</si>
  <si>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</si>
  <si>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</si>
  <si>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</si>
  <si>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</si>
  <si>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</si>
  <si>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</si>
  <si>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</si>
  <si>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</si>
  <si>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</si>
  <si>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</si>
  <si>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</si>
  <si>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</si>
  <si>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</si>
  <si>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</si>
  <si>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</si>
  <si>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</si>
  <si>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</si>
  <si>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</si>
  <si>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</si>
  <si>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</si>
  <si>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</si>
  <si>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</si>
  <si>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</si>
  <si>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</si>
  <si>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</si>
  <si>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</si>
  <si>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</si>
  <si>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</si>
  <si>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</si>
  <si>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</si>
  <si>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</si>
  <si>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</si>
  <si>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</si>
  <si>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</si>
  <si>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</si>
  <si>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</si>
  <si>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</si>
  <si>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</si>
  <si>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</si>
  <si>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</si>
  <si>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</si>
  <si>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</si>
  <si>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</si>
  <si>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</si>
  <si>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</si>
  <si>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</si>
  <si>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</si>
  <si>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</si>
  <si>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</si>
  <si>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</si>
  <si>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</si>
  <si>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</si>
  <si>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</si>
  <si>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</si>
  <si>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</si>
  <si>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</si>
  <si>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</si>
  <si>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</si>
  <si>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</si>
  <si>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</si>
  <si>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</si>
  <si>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</si>
  <si>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</si>
  <si>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</si>
  <si>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</si>
  <si>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</si>
  <si>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</si>
  <si>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</si>
  <si>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</si>
  <si>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</si>
  <si>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</si>
  <si>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</si>
  <si>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</si>
  <si>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</si>
  <si>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</si>
  <si>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</si>
  <si>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</si>
  <si>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</si>
  <si>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</si>
  <si>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</si>
  <si>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</si>
  <si>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</si>
  <si>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</si>
  <si>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</si>
  <si>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</si>
  <si>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</si>
  <si>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</si>
  <si>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</si>
  <si>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</si>
  <si>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</si>
  <si>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</si>
  <si>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</si>
  <si>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</si>
  <si>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</si>
  <si>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</si>
  <si>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</si>
  <si>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</si>
  <si>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</si>
  <si>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</si>
  <si>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</si>
  <si>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</si>
  <si>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</si>
  <si>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</si>
  <si>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</si>
  <si>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</si>
  <si>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</si>
  <si>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</si>
  <si>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</si>
  <si>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</si>
  <si>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</si>
  <si>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</si>
  <si>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</si>
  <si>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</si>
  <si>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</si>
  <si>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</si>
  <si>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</si>
  <si>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</si>
  <si>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</si>
  <si>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</si>
  <si>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</si>
  <si>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</si>
  <si>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</si>
  <si>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</si>
  <si>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</si>
  <si>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</si>
  <si>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</si>
  <si>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</si>
  <si>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</si>
  <si>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</si>
  <si>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</si>
  <si>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</si>
  <si>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</si>
  <si>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</si>
  <si>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</si>
  <si>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</si>
  <si>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</si>
  <si>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</si>
  <si>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</si>
  <si>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</si>
  <si>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</si>
  <si>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</si>
  <si>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</si>
  <si>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</si>
  <si>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</si>
  <si>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</si>
  <si>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</si>
  <si>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</si>
  <si>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</si>
  <si>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</si>
  <si>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</si>
  <si>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</si>
  <si>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</si>
  <si>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</si>
  <si>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</si>
  <si>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</si>
  <si>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</si>
  <si>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</si>
  <si>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</si>
  <si>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</si>
  <si>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</si>
  <si>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</si>
  <si>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</si>
  <si>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</si>
  <si>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</si>
  <si>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</si>
  <si>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</si>
  <si>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</si>
  <si>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</si>
  <si>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</si>
  <si>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</si>
  <si>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</si>
  <si>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</si>
  <si>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</si>
  <si>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</si>
  <si>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</si>
  <si>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</si>
  <si>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</si>
  <si>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</si>
  <si>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</si>
  <si>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</si>
  <si>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</si>
  <si>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</si>
  <si>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</si>
  <si>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</si>
  <si>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</si>
  <si>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</si>
  <si>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</si>
  <si>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</si>
  <si>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</si>
  <si>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</si>
  <si>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</si>
  <si>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</si>
  <si>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</si>
  <si>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</si>
  <si>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</si>
  <si>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</si>
  <si>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</si>
  <si>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</si>
  <si>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</si>
  <si>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</si>
  <si>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</si>
  <si>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</si>
  <si>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</si>
  <si>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</si>
  <si>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</si>
  <si>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</si>
  <si>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</si>
  <si>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</si>
  <si>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</si>
  <si>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</si>
  <si>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</si>
  <si>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</si>
  <si>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</si>
  <si>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</si>
  <si>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</si>
  <si>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</si>
  <si>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</si>
  <si>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</si>
  <si>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</si>
  <si>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</si>
  <si>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</si>
  <si>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</si>
  <si>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</si>
  <si>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</si>
  <si>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</si>
  <si>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</si>
  <si>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</si>
  <si>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</si>
  <si>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</si>
  <si>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</si>
  <si>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</si>
  <si>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</si>
  <si>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</si>
  <si>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</si>
  <si>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</si>
  <si>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</si>
  <si>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</si>
  <si>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</si>
  <si>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</si>
  <si>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</si>
  <si>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</si>
  <si>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</si>
  <si>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</si>
  <si>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</si>
  <si>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</si>
  <si>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</si>
  <si>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</si>
  <si>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</si>
  <si>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</si>
  <si>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</si>
  <si>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</si>
  <si>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</si>
  <si>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</si>
  <si>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</si>
  <si>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</si>
  <si>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</si>
  <si>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</si>
  <si>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</si>
  <si>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</si>
  <si>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</si>
  <si>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</si>
  <si>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</si>
  <si>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</si>
  <si>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</si>
  <si>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</si>
  <si>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</si>
  <si>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</si>
  <si>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</si>
  <si>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</si>
  <si>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</si>
  <si>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</si>
  <si>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</si>
  <si>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</si>
  <si>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</si>
  <si>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</si>
  <si>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</si>
  <si>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</si>
  <si>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</si>
  <si>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</si>
  <si>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</si>
  <si>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</si>
  <si>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</si>
  <si>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</si>
  <si>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</si>
  <si>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</si>
  <si>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</si>
  <si>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</si>
  <si>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</si>
  <si>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</si>
  <si>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</si>
  <si>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</si>
  <si>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</si>
  <si>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</si>
  <si>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</si>
  <si>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</si>
  <si>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</si>
  <si>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</si>
  <si>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</si>
  <si>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</si>
  <si>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</si>
  <si>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</si>
  <si>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</si>
  <si>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</si>
  <si>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</si>
  <si>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</si>
  <si>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</si>
  <si>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</si>
  <si>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</si>
  <si>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</si>
  <si>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</si>
  <si>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</si>
  <si>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</si>
  <si>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</si>
  <si>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</si>
  <si>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</si>
  <si>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</si>
  <si>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</si>
  <si>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</si>
  <si>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</si>
  <si>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</si>
  <si>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</si>
  <si>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</si>
  <si>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</si>
  <si>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</si>
  <si>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</si>
  <si>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</si>
  <si>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</si>
  <si>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</si>
  <si>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</si>
  <si>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</si>
  <si>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</si>
  <si>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</si>
  <si>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</si>
  <si>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</si>
  <si>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</si>
  <si>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</si>
  <si>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</si>
  <si>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</si>
  <si>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</si>
  <si>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</si>
  <si>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</si>
  <si>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</si>
  <si>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</si>
  <si>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</si>
  <si>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</si>
  <si>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</si>
  <si>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</si>
  <si>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</si>
  <si>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</si>
  <si>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</si>
  <si>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</si>
  <si>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</si>
  <si>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</si>
  <si>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</si>
  <si>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</si>
  <si>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</si>
  <si>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</si>
  <si>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</si>
  <si>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</si>
  <si>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</si>
  <si>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</si>
  <si>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</si>
  <si>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</si>
  <si>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</si>
  <si>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</si>
  <si>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</si>
  <si>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</si>
  <si>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</si>
  <si>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</si>
  <si>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</si>
  <si>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</si>
  <si>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</si>
  <si>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</si>
  <si>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</si>
  <si>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</si>
  <si>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</si>
  <si>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</si>
  <si>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</si>
  <si>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</si>
  <si>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</si>
  <si>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</si>
  <si>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</si>
  <si>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</si>
  <si>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</si>
  <si>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</si>
  <si>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</si>
  <si>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</si>
  <si>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</si>
  <si>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</si>
  <si>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</si>
  <si>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</si>
  <si>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</si>
  <si>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</si>
  <si>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</si>
  <si>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</si>
  <si>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</si>
  <si>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</si>
  <si>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</si>
  <si>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</si>
  <si>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</si>
  <si>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</si>
  <si>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</si>
  <si>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</si>
  <si>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</si>
  <si>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</si>
  <si>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</si>
  <si>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</si>
  <si>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</si>
  <si>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</si>
  <si>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</si>
  <si>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</si>
  <si>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</si>
  <si>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</si>
  <si>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</si>
  <si>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</si>
  <si>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</si>
  <si>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</si>
  <si>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</si>
  <si>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</si>
  <si>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</si>
  <si>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</si>
  <si>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</si>
  <si>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</si>
  <si>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</si>
  <si>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</si>
  <si>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</si>
  <si>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</si>
  <si>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</si>
  <si>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</si>
  <si>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</si>
  <si>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</si>
  <si>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</si>
  <si>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</si>
  <si>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</si>
  <si>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</si>
  <si>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</si>
  <si>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</si>
  <si>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</si>
  <si>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</si>
  <si>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</si>
  <si>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</si>
  <si>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</si>
  <si>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</si>
  <si>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</si>
  <si>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</si>
  <si>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</si>
  <si>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</si>
  <si>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</si>
  <si>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</si>
  <si>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</si>
  <si>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</si>
  <si>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</si>
  <si>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</si>
  <si>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</si>
  <si>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</si>
  <si>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</si>
  <si>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</si>
  <si>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</si>
  <si>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</si>
  <si>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</si>
  <si>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</si>
  <si>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</si>
  <si>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</si>
  <si>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</si>
  <si>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</si>
  <si>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</si>
  <si>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</si>
  <si>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</si>
  <si>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</si>
  <si>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</si>
  <si>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</si>
  <si>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</si>
  <si>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</si>
  <si>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</si>
  <si>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</si>
  <si>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</si>
  <si>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</si>
  <si>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</si>
  <si>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</si>
  <si>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</si>
  <si>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</si>
  <si>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</si>
  <si>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</si>
  <si>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</si>
  <si>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</si>
  <si>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</si>
  <si>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</si>
  <si>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</si>
  <si>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</si>
  <si>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</si>
  <si>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</si>
  <si>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</si>
  <si>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</si>
  <si>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</si>
  <si>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</si>
  <si>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</si>
  <si>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</si>
  <si>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</si>
  <si>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</si>
  <si>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</si>
  <si>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</si>
  <si>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</si>
  <si>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</si>
  <si>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</si>
  <si>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</si>
  <si>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</si>
  <si>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</si>
  <si>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</si>
  <si>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</si>
  <si>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</si>
  <si>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</si>
  <si>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</si>
  <si>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</si>
  <si>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</si>
  <si>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</si>
  <si>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</si>
  <si>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</si>
  <si>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</si>
  <si>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</si>
  <si>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</si>
  <si>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</si>
  <si>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</si>
  <si>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</si>
  <si>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</si>
  <si>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</si>
  <si>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</si>
  <si>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</si>
  <si>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</si>
  <si>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</si>
  <si>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</si>
  <si>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</si>
  <si>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</si>
  <si>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</si>
  <si>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</si>
  <si>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</si>
  <si>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</si>
  <si>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</si>
  <si>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</si>
  <si>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</si>
  <si>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</si>
  <si>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</si>
  <si>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</si>
  <si>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</si>
  <si>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</si>
  <si>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</si>
  <si>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</si>
  <si>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</si>
  <si>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</si>
  <si>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</si>
  <si>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</si>
  <si>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</si>
  <si>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</si>
  <si>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</si>
  <si>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</si>
  <si>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</si>
  <si>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</si>
  <si>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</si>
  <si>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</si>
  <si>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</si>
  <si>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</si>
  <si>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</si>
  <si>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</si>
  <si>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</si>
  <si>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</si>
  <si>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</si>
  <si>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</si>
  <si>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</si>
  <si>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</si>
  <si>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</si>
  <si>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</si>
  <si>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</si>
  <si>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</si>
  <si>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</si>
  <si>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</si>
  <si>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</si>
  <si>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</si>
  <si>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</si>
  <si>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</si>
  <si>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</si>
  <si>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</si>
  <si>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</si>
  <si>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</si>
  <si>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</si>
  <si>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</si>
  <si>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</si>
  <si>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</si>
  <si>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</si>
  <si>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</si>
  <si>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</si>
  <si>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</si>
  <si>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</si>
  <si>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</si>
  <si>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</si>
  <si>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</si>
  <si>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</si>
  <si>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</si>
  <si>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</si>
  <si>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</si>
  <si>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</si>
  <si>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</si>
  <si>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</si>
  <si>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</si>
  <si>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</si>
  <si>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</si>
  <si>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</si>
  <si>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</si>
  <si>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</si>
  <si>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</si>
  <si>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</si>
  <si>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</si>
  <si>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</si>
  <si>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</si>
  <si>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</si>
  <si>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</si>
  <si>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</si>
  <si>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</si>
  <si>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</si>
  <si>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</si>
  <si>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</si>
  <si>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</si>
  <si>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</si>
  <si>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</si>
  <si>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</si>
  <si>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</si>
  <si>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</si>
  <si>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</si>
  <si>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</si>
  <si>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</si>
  <si>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</si>
  <si>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</si>
  <si>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</si>
  <si>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</si>
  <si>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</si>
  <si>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</si>
  <si>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</si>
  <si>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</si>
  <si>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</si>
  <si>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</si>
  <si>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</si>
  <si>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</si>
  <si>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</si>
  <si>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</si>
  <si>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</si>
  <si>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</si>
  <si>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</si>
  <si>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</si>
  <si>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</si>
  <si>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</si>
  <si>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</si>
  <si>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</si>
  <si>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</si>
  <si>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</si>
  <si>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</si>
  <si>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</si>
  <si>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</si>
  <si>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</si>
  <si>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</si>
  <si>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</si>
  <si>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</si>
  <si>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</si>
  <si>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</si>
  <si>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</si>
  <si>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</si>
  <si>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</si>
  <si>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</si>
  <si>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</si>
  <si>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</si>
  <si>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</si>
  <si>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</si>
  <si>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</si>
  <si>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</si>
  <si>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</si>
  <si>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</si>
  <si>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</si>
  <si>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</si>
  <si>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</si>
  <si>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</si>
  <si>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</si>
  <si>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</si>
  <si>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</si>
  <si>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</si>
  <si>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</si>
  <si>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</si>
  <si>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</si>
  <si>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</si>
  <si>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</si>
  <si>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</si>
  <si>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</si>
  <si>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</si>
  <si>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</si>
  <si>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</si>
  <si>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</si>
  <si>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</si>
  <si>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</si>
  <si>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</si>
  <si>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</si>
  <si>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</si>
  <si>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</si>
  <si>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</si>
  <si>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</si>
  <si>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</si>
  <si>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</si>
  <si>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</si>
  <si>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</si>
  <si>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</si>
  <si>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</si>
  <si>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</si>
  <si>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</si>
  <si>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</si>
  <si>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</si>
  <si>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</si>
  <si>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</si>
  <si>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</si>
  <si>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</si>
  <si>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</si>
  <si>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</si>
  <si>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</si>
  <si>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</si>
  <si>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</si>
  <si>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</si>
  <si>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</si>
  <si>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</si>
  <si>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</si>
  <si>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</si>
  <si>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</si>
  <si>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</si>
  <si>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</si>
  <si>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</si>
  <si>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</si>
  <si>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</si>
  <si>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</si>
  <si>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</si>
  <si>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</si>
  <si>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</si>
  <si>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</si>
  <si>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</si>
  <si>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</si>
  <si>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</si>
  <si>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</si>
  <si>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</si>
  <si>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</si>
  <si>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</si>
  <si>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</si>
  <si>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</si>
  <si>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</si>
  <si>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</si>
  <si>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</si>
  <si>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</si>
  <si>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</si>
  <si>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</si>
  <si>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</si>
  <si>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</si>
  <si>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</si>
  <si>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</si>
  <si>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</si>
  <si>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</si>
  <si>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</si>
  <si>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</si>
  <si>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</si>
  <si>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</si>
  <si>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</si>
  <si>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</si>
  <si>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</si>
  <si>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</si>
  <si>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</si>
  <si>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</si>
  <si>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</si>
  <si>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</si>
  <si>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</si>
  <si>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</si>
  <si>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</si>
  <si>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</si>
  <si>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</si>
  <si>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</si>
  <si>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</si>
  <si>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</si>
  <si>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</si>
  <si>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</si>
  <si>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</si>
  <si>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</si>
  <si>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</si>
  <si>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</si>
  <si>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</si>
  <si>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</si>
  <si>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</si>
  <si>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</si>
  <si>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</si>
  <si>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</si>
  <si>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</si>
  <si>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</si>
  <si>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</si>
  <si>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</si>
  <si>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</si>
  <si>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</si>
  <si>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</si>
  <si>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</si>
  <si>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</si>
  <si>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</si>
  <si>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</si>
  <si>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</si>
  <si>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</si>
  <si>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</si>
  <si>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</si>
  <si>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</si>
  <si>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</si>
  <si>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</si>
  <si>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</si>
  <si>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</si>
  <si>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</si>
  <si>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</si>
  <si>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</si>
  <si>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</si>
  <si>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</si>
  <si>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</si>
  <si>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</si>
  <si>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</si>
  <si>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</si>
  <si>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</si>
  <si>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</si>
  <si>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</si>
  <si>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</si>
  <si>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</si>
  <si>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</si>
  <si>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</si>
  <si>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</si>
  <si>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</si>
  <si>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</si>
  <si>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</si>
  <si>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</si>
  <si>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</si>
  <si>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</si>
  <si>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</si>
  <si>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</si>
  <si>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</si>
  <si>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</si>
  <si>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</si>
  <si>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</si>
  <si>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</si>
  <si>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</si>
  <si>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</si>
  <si>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</si>
  <si>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</si>
  <si>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</si>
  <si>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</si>
  <si>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</si>
  <si>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</si>
  <si>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</si>
  <si>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</si>
  <si>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</si>
  <si>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</si>
  <si>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</si>
  <si>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</si>
  <si>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</si>
  <si>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</si>
  <si>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</si>
  <si>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</si>
  <si>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</si>
  <si>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</si>
  <si>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</si>
  <si>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</si>
  <si>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</si>
  <si>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</si>
  <si>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</si>
  <si>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</si>
  <si>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</si>
  <si>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</si>
  <si>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</si>
  <si>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</si>
  <si>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</si>
  <si>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</si>
  <si>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</si>
  <si>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</si>
  <si>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</si>
  <si>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</si>
  <si>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</si>
  <si>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</si>
  <si>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</si>
  <si>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</si>
  <si>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</si>
  <si>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</si>
  <si>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</si>
  <si>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</si>
  <si>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</si>
  <si>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</si>
  <si>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</si>
  <si>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</si>
  <si>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</si>
  <si>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</si>
  <si>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</si>
  <si>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</si>
  <si>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</si>
  <si>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</si>
  <si>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</si>
  <si>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</si>
  <si>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</si>
  <si>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</si>
  <si>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</si>
  <si>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</si>
  <si>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</si>
  <si>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</si>
  <si>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</si>
  <si>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</si>
  <si>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</si>
  <si>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</si>
  <si>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</si>
  <si>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</si>
  <si>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</si>
  <si>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</si>
  <si>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</si>
  <si>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</si>
  <si>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</si>
  <si>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</si>
  <si>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</si>
  <si>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</si>
  <si>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</si>
  <si>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</si>
  <si>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</si>
  <si>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</si>
  <si>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</si>
  <si>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</si>
  <si>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</si>
  <si>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</si>
  <si>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</si>
  <si>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</si>
  <si>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</si>
  <si>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</si>
  <si>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</si>
  <si>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</si>
  <si>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</si>
  <si>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</si>
  <si>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</si>
  <si>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</si>
  <si>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</si>
  <si>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</si>
  <si>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</si>
  <si>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</si>
  <si>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</si>
  <si>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</si>
  <si>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</si>
  <si>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</si>
  <si>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</si>
  <si>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</si>
  <si>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</si>
  <si>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</si>
  <si>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</si>
  <si>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</si>
  <si>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</si>
  <si>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</si>
  <si>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</si>
  <si>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</si>
  <si>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</si>
  <si>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</si>
  <si>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</si>
  <si>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</si>
  <si>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</si>
  <si>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</si>
  <si>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</si>
  <si>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</si>
  <si>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</si>
  <si>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</si>
  <si>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</si>
  <si>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</si>
  <si>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</si>
  <si>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</si>
  <si>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</si>
  <si>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</si>
  <si>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</si>
  <si>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</si>
  <si>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</si>
  <si>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</si>
  <si>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</si>
  <si>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</si>
  <si>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</si>
  <si>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</si>
  <si>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</si>
  <si>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</si>
  <si>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</si>
  <si>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</si>
  <si>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</si>
  <si>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</si>
  <si>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</si>
  <si>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</si>
  <si>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</si>
  <si>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</si>
  <si>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</si>
  <si>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</si>
  <si>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</si>
  <si>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</si>
  <si>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</si>
  <si>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</si>
  <si>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</si>
  <si>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</si>
  <si>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</si>
  <si>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</si>
  <si>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</si>
  <si>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</si>
  <si>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</si>
  <si>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</si>
  <si>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</si>
  <si>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</si>
  <si>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</si>
  <si>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</si>
  <si>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</si>
  <si>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</si>
  <si>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</si>
  <si>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</si>
  <si>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</si>
  <si>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</si>
  <si>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</si>
  <si>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</si>
  <si>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</si>
  <si>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</si>
  <si>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</si>
  <si>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</si>
  <si>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</si>
  <si>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</si>
  <si>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</si>
  <si>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</si>
  <si>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</si>
  <si>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</si>
  <si>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</si>
  <si>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</si>
  <si>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</si>
  <si>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</si>
  <si>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</si>
  <si>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</si>
  <si>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</si>
  <si>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</si>
  <si>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</si>
  <si>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</si>
  <si>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</si>
  <si>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</si>
  <si>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</si>
  <si>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</si>
  <si>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</si>
  <si>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</si>
  <si>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</si>
  <si>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</si>
  <si>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</si>
  <si>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</si>
  <si>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</si>
  <si>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</si>
  <si>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</si>
  <si>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</si>
  <si>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</si>
  <si>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</si>
  <si>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</si>
  <si>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</si>
  <si>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</si>
  <si>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</si>
  <si>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</si>
  <si>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</si>
  <si>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</si>
  <si>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</si>
  <si>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</si>
  <si>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</si>
  <si>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</si>
  <si>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</si>
  <si>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</si>
  <si>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</si>
  <si>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</si>
  <si>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</si>
  <si>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</si>
  <si>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</si>
  <si>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</si>
  <si>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</si>
  <si>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</si>
  <si>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</si>
  <si>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</si>
  <si>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</si>
  <si>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</si>
  <si>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</si>
  <si>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</si>
  <si>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</si>
  <si>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</si>
  <si>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</si>
  <si>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</si>
  <si>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</si>
  <si>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</si>
  <si>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</si>
  <si>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</si>
  <si>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</si>
  <si>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</si>
  <si>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</si>
  <si>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</si>
  <si>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</si>
  <si>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</si>
  <si>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</si>
  <si>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</si>
  <si>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</si>
  <si>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</si>
  <si>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</si>
  <si>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</si>
  <si>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</si>
  <si>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</si>
  <si>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</si>
  <si>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</si>
  <si>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</si>
  <si>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</si>
  <si>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</si>
  <si>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</si>
  <si>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</si>
  <si>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</si>
  <si>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</si>
  <si>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</si>
  <si>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</si>
  <si>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</si>
  <si>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</si>
  <si>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</si>
  <si>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</si>
  <si>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</si>
  <si>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</si>
  <si>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</si>
  <si>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</si>
  <si>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</si>
  <si>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</si>
  <si>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</si>
  <si>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</si>
  <si>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</si>
  <si>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</si>
  <si>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</si>
  <si>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</si>
  <si>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</si>
  <si>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</si>
  <si>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</si>
  <si>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</si>
  <si>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</si>
  <si>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</si>
  <si>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</si>
  <si>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</si>
  <si>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</si>
  <si>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</si>
  <si>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</si>
  <si>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</si>
  <si>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</si>
  <si>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</si>
  <si>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</si>
  <si>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</si>
  <si>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</si>
  <si>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</si>
  <si>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</si>
  <si>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</si>
  <si>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</si>
  <si>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</si>
  <si>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</si>
  <si>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</si>
  <si>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</si>
  <si>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</si>
  <si>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</si>
  <si>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</si>
  <si>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</si>
  <si>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</si>
  <si>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</si>
  <si>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</si>
  <si>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</si>
  <si>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</si>
  <si>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</si>
  <si>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</si>
  <si>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</si>
  <si>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</si>
  <si>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</si>
  <si>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</si>
  <si>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</si>
  <si>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</si>
  <si>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</si>
  <si>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</si>
  <si>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</si>
  <si>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</si>
  <si>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</si>
  <si>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</si>
  <si>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</si>
  <si>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</si>
  <si>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</si>
  <si>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</si>
  <si>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</si>
  <si>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</si>
  <si>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</si>
  <si>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</si>
  <si>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</si>
  <si>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</si>
  <si>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</si>
  <si>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</si>
  <si>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</si>
  <si>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</si>
  <si>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</si>
  <si>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</si>
  <si>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</si>
  <si>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</si>
  <si>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</si>
  <si>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</si>
  <si>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</si>
  <si>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</si>
  <si>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</si>
  <si>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</si>
  <si>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</si>
  <si>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</si>
  <si>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</si>
  <si>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</si>
  <si>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</si>
  <si>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</si>
  <si>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</si>
  <si>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</si>
  <si>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</si>
  <si>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</si>
  <si>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</si>
  <si>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</si>
  <si>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</si>
  <si>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</si>
  <si>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</si>
  <si>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</si>
  <si>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</si>
  <si>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</si>
  <si>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</si>
  <si>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</si>
  <si>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</si>
  <si>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</si>
  <si>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</si>
  <si>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</si>
  <si>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</si>
  <si>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</si>
  <si>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</si>
  <si>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</si>
  <si>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</si>
  <si>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</si>
  <si>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</si>
  <si>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</si>
  <si>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</si>
  <si>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</si>
  <si>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</si>
  <si>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</si>
  <si>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</si>
  <si>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</si>
  <si>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</si>
  <si>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</si>
  <si>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</si>
  <si>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</si>
  <si>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</si>
  <si>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</si>
  <si>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</si>
  <si>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</si>
  <si>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</si>
  <si>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</si>
  <si>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</si>
  <si>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</si>
  <si>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</si>
  <si>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</si>
  <si>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</si>
  <si>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</si>
  <si>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</si>
  <si>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</si>
  <si>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</si>
  <si>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</si>
  <si>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</si>
  <si>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</si>
  <si>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</si>
  <si>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</si>
  <si>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</si>
  <si>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</si>
  <si>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</si>
  <si>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</si>
  <si>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</si>
  <si>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</si>
  <si>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</si>
  <si>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</si>
  <si>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</si>
  <si>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</si>
  <si>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</si>
  <si>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</si>
  <si>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</si>
  <si>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</si>
  <si>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</si>
  <si>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</si>
  <si>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</si>
  <si>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</si>
  <si>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</si>
  <si>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</si>
  <si>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</si>
  <si>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</si>
  <si>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</si>
  <si>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</si>
  <si>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</si>
  <si>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</si>
  <si>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</si>
  <si>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</si>
  <si>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</si>
  <si>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</si>
  <si>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</si>
  <si>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</si>
  <si>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</si>
  <si>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</si>
  <si>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</si>
  <si>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</si>
  <si>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</si>
  <si>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</si>
  <si>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</si>
  <si>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</si>
  <si>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</si>
  <si>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</si>
  <si>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</si>
  <si>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</si>
  <si>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</si>
  <si>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</si>
  <si>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</si>
  <si>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</si>
  <si>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</si>
  <si>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</si>
  <si>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</si>
  <si>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</si>
  <si>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</si>
  <si>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</si>
  <si>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</si>
  <si>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</si>
  <si>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</si>
  <si>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</si>
  <si>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</si>
  <si>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</si>
  <si>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</si>
  <si>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</si>
  <si>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</si>
  <si>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</si>
  <si>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</si>
  <si>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</si>
  <si>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</si>
  <si>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</si>
  <si>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</si>
  <si>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</si>
  <si>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</si>
  <si>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</si>
  <si>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</si>
  <si>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</si>
  <si>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</si>
  <si>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</si>
  <si>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</si>
  <si>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</si>
  <si>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</si>
  <si>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</si>
  <si>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</si>
  <si>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</si>
  <si>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</si>
  <si>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</si>
  <si>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</si>
  <si>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</si>
  <si>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</si>
  <si>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</si>
  <si>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</si>
  <si>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</si>
  <si>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</si>
  <si>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</si>
  <si>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</si>
  <si>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</si>
  <si>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</si>
  <si>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</si>
  <si>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</si>
  <si>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</si>
  <si>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</si>
  <si>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</si>
  <si>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</si>
  <si>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</si>
  <si>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</si>
  <si>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</si>
  <si>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</si>
  <si>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</si>
  <si>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</si>
  <si>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</si>
  <si>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</si>
  <si>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</si>
  <si>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</si>
  <si>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</si>
  <si>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</si>
  <si>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</si>
  <si>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</si>
  <si>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</si>
  <si>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</si>
  <si>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</si>
  <si>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</si>
  <si>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</si>
  <si>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</si>
  <si>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</si>
  <si>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</si>
  <si>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</si>
  <si>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</si>
  <si>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</si>
  <si>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</si>
  <si>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</si>
  <si>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</si>
  <si>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</si>
  <si>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</si>
  <si>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</si>
  <si>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</si>
  <si>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</si>
  <si>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</si>
  <si>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</si>
  <si>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</si>
  <si>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</si>
  <si>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</si>
  <si>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</si>
  <si>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</si>
  <si>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</si>
  <si>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</si>
  <si>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</si>
  <si>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</si>
  <si>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</si>
  <si>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</si>
  <si>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</si>
  <si>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</si>
  <si>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</si>
  <si>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</si>
  <si>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</si>
  <si>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</si>
  <si>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</si>
  <si>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</si>
  <si>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</si>
  <si>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</si>
  <si>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</si>
  <si>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</si>
  <si>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</si>
  <si>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</si>
  <si>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</si>
  <si>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</si>
  <si>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</si>
  <si>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</si>
  <si>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</si>
  <si>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</si>
  <si>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</si>
  <si>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</si>
  <si>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</si>
  <si>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</si>
  <si>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</si>
  <si>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</si>
  <si>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</si>
  <si>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</si>
  <si>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</si>
  <si>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</si>
  <si>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</si>
  <si>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</si>
  <si>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</si>
  <si>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</si>
  <si>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</si>
  <si>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</si>
  <si>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</si>
  <si>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</si>
  <si>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</si>
  <si>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</si>
  <si>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</si>
  <si>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</si>
  <si>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</si>
  <si>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</si>
  <si>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</si>
  <si>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</si>
  <si>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</si>
  <si>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</si>
  <si>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</si>
  <si>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</si>
  <si>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</si>
  <si>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</si>
  <si>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</si>
  <si>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</si>
  <si>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</si>
  <si>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</si>
  <si>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</si>
  <si>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</si>
  <si>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</si>
  <si>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</si>
  <si>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</si>
  <si>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</si>
  <si>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</si>
  <si>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</si>
  <si>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</si>
  <si>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</si>
  <si>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</si>
  <si>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</si>
  <si>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</si>
  <si>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</si>
  <si>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</si>
  <si>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</si>
  <si>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</si>
  <si>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</si>
  <si>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</si>
  <si>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</si>
  <si>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</si>
  <si>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</si>
  <si>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</si>
  <si>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</si>
  <si>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</si>
  <si>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</si>
  <si>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</si>
  <si>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</si>
  <si>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</si>
  <si>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</si>
  <si>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</si>
  <si>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</si>
  <si>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</si>
  <si>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</si>
  <si>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</si>
  <si>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</si>
  <si>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</si>
  <si>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</si>
  <si>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</si>
  <si>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</si>
  <si>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</si>
  <si>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</si>
  <si>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</si>
  <si>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</si>
  <si>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</si>
  <si>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</si>
  <si>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</si>
  <si>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</si>
  <si>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</si>
  <si>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</si>
  <si>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</si>
  <si>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</si>
  <si>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</si>
  <si>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</si>
  <si>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</si>
  <si>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</si>
  <si>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</si>
  <si>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</si>
  <si>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</si>
  <si>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</si>
  <si>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</si>
  <si>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</si>
  <si>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</si>
  <si>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</si>
  <si>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</si>
  <si>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</si>
  <si>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</si>
  <si>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</si>
  <si>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</si>
  <si>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</si>
  <si>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</si>
  <si>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</si>
  <si>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</si>
  <si>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</si>
  <si>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</si>
  <si>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</si>
  <si>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</si>
  <si>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</si>
  <si>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</si>
  <si>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</si>
  <si>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</si>
  <si>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</si>
  <si>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</si>
  <si>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</si>
  <si>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</si>
  <si>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</si>
  <si>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</si>
  <si>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</si>
  <si>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</si>
  <si>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</si>
  <si>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</si>
  <si>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</si>
  <si>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</si>
  <si>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</si>
  <si>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</si>
  <si>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</si>
  <si>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</si>
  <si>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</si>
  <si>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</si>
  <si>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</si>
  <si>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</si>
  <si>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</si>
  <si>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</si>
  <si>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</si>
  <si>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</si>
  <si>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</si>
  <si>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</si>
  <si>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</si>
  <si>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</si>
  <si>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</si>
  <si>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</si>
  <si>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</si>
  <si>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</si>
  <si>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</si>
  <si>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</si>
  <si>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</si>
  <si>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</si>
  <si>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</si>
  <si>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</si>
  <si>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</si>
  <si>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</si>
  <si>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</si>
  <si>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</si>
  <si>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</si>
  <si>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</si>
  <si>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</si>
  <si>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</si>
  <si>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</si>
  <si>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</si>
  <si>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</si>
  <si>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</si>
  <si>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</si>
  <si>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</si>
  <si>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</si>
  <si>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</si>
  <si>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</si>
  <si>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</si>
  <si>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</si>
  <si>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</si>
  <si>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</si>
  <si>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</si>
  <si>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</si>
  <si>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</si>
  <si>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</si>
  <si>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</si>
  <si>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</si>
  <si>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</si>
  <si>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</si>
  <si>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</si>
  <si>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</si>
  <si>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</si>
  <si>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</si>
  <si>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</si>
  <si>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</si>
  <si>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</si>
  <si>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</si>
  <si>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</si>
  <si>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</si>
  <si>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</si>
  <si>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</si>
  <si>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</si>
  <si>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</si>
  <si>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</si>
  <si>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</si>
  <si>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</si>
  <si>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</si>
  <si>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</si>
  <si>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</si>
  <si>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</si>
  <si>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</si>
  <si>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</si>
  <si>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</si>
  <si>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</si>
  <si>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</si>
  <si>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</si>
  <si>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</si>
  <si>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</si>
  <si>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</si>
  <si>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</si>
  <si>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</si>
  <si>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</si>
  <si>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</si>
  <si>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</si>
  <si>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</si>
  <si>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</si>
  <si>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</si>
  <si>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</si>
  <si>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</si>
  <si>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</si>
  <si>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</si>
  <si>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</si>
  <si>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</si>
  <si>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</si>
  <si>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</si>
  <si>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</si>
  <si>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</si>
  <si>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</si>
  <si>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</si>
  <si>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</si>
  <si>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</si>
  <si>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</si>
  <si>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</si>
  <si>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</si>
  <si>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</si>
  <si>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</si>
  <si>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</si>
  <si>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</si>
  <si>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</si>
  <si>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</si>
  <si>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</si>
  <si>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</si>
  <si>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</si>
  <si>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</si>
  <si>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</si>
  <si>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</si>
  <si>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</si>
  <si>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</si>
  <si>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</si>
  <si>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</si>
  <si>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</si>
  <si>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</si>
  <si>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</si>
  <si>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</si>
  <si>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</si>
  <si>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</si>
  <si>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</si>
  <si>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</si>
  <si>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</si>
  <si>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</si>
  <si>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</si>
  <si>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</si>
  <si>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</si>
  <si>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</si>
  <si>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</si>
  <si>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</si>
  <si>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</si>
  <si>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</si>
  <si>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</si>
  <si>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</si>
  <si>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</si>
  <si>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</si>
  <si>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</si>
  <si>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</si>
  <si>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</si>
  <si>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</si>
  <si>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</si>
  <si>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</si>
  <si>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</si>
  <si>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</si>
  <si>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</si>
  <si>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</si>
  <si>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</si>
  <si>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</si>
  <si>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</si>
  <si>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</si>
  <si>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</si>
  <si>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</si>
  <si>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</si>
  <si>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</si>
  <si>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</si>
  <si>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</si>
  <si>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</si>
  <si>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</si>
  <si>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</si>
  <si>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</si>
  <si>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</si>
  <si>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</si>
  <si>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</si>
  <si>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</si>
  <si>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</si>
  <si>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</si>
  <si>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</si>
  <si>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</si>
  <si>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</si>
  <si>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</si>
  <si>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</si>
  <si>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</si>
  <si>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</si>
  <si>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</si>
  <si>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</si>
  <si>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</si>
  <si>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</si>
  <si>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</si>
  <si>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</si>
  <si>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</si>
  <si>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</si>
  <si>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</si>
  <si>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</si>
  <si>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</si>
  <si>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</si>
  <si>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</si>
  <si>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</si>
  <si>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</si>
  <si>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</si>
  <si>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</si>
  <si>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</si>
  <si>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</si>
  <si>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</si>
  <si>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</si>
  <si>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</si>
  <si>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</si>
  <si>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</si>
  <si>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</si>
  <si>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</si>
  <si>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</si>
  <si>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</si>
  <si>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</si>
  <si>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</si>
  <si>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</si>
  <si>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</si>
  <si>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</si>
  <si>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</si>
  <si>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</si>
  <si>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</si>
  <si>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</si>
  <si>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</si>
  <si>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</si>
  <si>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</si>
  <si>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</si>
  <si>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</si>
  <si>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</si>
  <si>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</si>
  <si>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</si>
  <si>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</si>
  <si>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</si>
  <si>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</si>
  <si>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</si>
  <si>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</si>
  <si>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</si>
  <si>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</si>
  <si>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</si>
  <si>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</si>
  <si>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</si>
  <si>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</si>
  <si>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</si>
  <si>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</si>
  <si>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</si>
  <si>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</si>
  <si>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</si>
  <si>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</si>
  <si>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</si>
  <si>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</si>
  <si>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</si>
  <si>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</si>
  <si>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</si>
  <si>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</si>
  <si>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</si>
  <si>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</si>
  <si>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</si>
  <si>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</si>
  <si>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</si>
  <si>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</si>
  <si>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</si>
  <si>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</si>
  <si>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</si>
  <si>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</si>
  <si>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</si>
  <si>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</si>
  <si>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</si>
  <si>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</si>
  <si>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</si>
  <si>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</si>
  <si>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</si>
  <si>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</si>
  <si>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</si>
  <si>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</si>
  <si>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</si>
  <si>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</si>
  <si>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</si>
  <si>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</si>
  <si>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</si>
  <si>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</si>
  <si>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</si>
  <si>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</si>
  <si>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</si>
  <si>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</si>
  <si>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</si>
  <si>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</si>
  <si>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</si>
  <si>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</si>
  <si>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</si>
  <si>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</si>
  <si>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</si>
  <si>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</si>
  <si>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</si>
  <si>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</si>
  <si>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</si>
  <si>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</si>
  <si>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</si>
  <si>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</si>
  <si>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</si>
  <si>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</si>
  <si>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</si>
  <si>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</si>
  <si>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</si>
  <si>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</si>
  <si>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</si>
  <si>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</si>
  <si>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</si>
  <si>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</si>
  <si>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</si>
  <si>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</si>
  <si>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</si>
  <si>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</si>
  <si>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</si>
  <si>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</si>
  <si>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</si>
  <si>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</si>
  <si>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</si>
  <si>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</si>
  <si>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</si>
  <si>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</si>
  <si>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</si>
  <si>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</si>
  <si>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</si>
  <si>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</si>
  <si>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</si>
  <si>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</si>
  <si>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</si>
  <si>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</si>
  <si>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</si>
  <si>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</si>
  <si>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</si>
  <si>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</si>
  <si>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</si>
  <si>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</si>
  <si>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</si>
  <si>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</si>
  <si>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</si>
  <si>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</si>
  <si>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</si>
  <si>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</si>
  <si>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</si>
  <si>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</si>
  <si>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</si>
  <si>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</si>
  <si>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</si>
  <si>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</si>
  <si>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</si>
  <si>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</si>
  <si>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</si>
  <si>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</si>
  <si>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</si>
  <si>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</si>
  <si>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</si>
  <si>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</si>
  <si>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</si>
  <si>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</si>
  <si>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</si>
  <si>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</si>
  <si>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</si>
  <si>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</si>
  <si>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</si>
  <si>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</si>
  <si>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</si>
  <si>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</si>
  <si>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</si>
  <si>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</si>
  <si>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</si>
  <si>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</si>
  <si>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</si>
  <si>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</si>
  <si>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</si>
  <si>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</si>
  <si>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</si>
  <si>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</si>
  <si>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</si>
  <si>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</si>
  <si>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</si>
  <si>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</si>
  <si>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</si>
  <si>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</si>
  <si>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</si>
  <si>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</si>
  <si>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</si>
  <si>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</si>
  <si>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</si>
  <si>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</si>
  <si>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</si>
  <si>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</si>
  <si>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</si>
  <si>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</si>
  <si>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</si>
  <si>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</si>
  <si>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</si>
  <si>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</si>
  <si>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</si>
  <si>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</si>
  <si>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</si>
  <si>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</si>
  <si>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</si>
  <si>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</si>
  <si>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</si>
  <si>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</si>
  <si>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</si>
  <si>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</si>
  <si>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</si>
  <si>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</si>
  <si>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</si>
  <si>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</si>
  <si>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</si>
  <si>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</si>
  <si>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</si>
  <si>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</si>
  <si>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</si>
  <si>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</si>
  <si>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</si>
  <si>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</si>
  <si>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</si>
  <si>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</si>
  <si>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</si>
  <si>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</si>
  <si>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</si>
  <si>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</si>
  <si>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</si>
  <si>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</si>
  <si>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</si>
  <si>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</si>
  <si>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</si>
  <si>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</si>
  <si>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</si>
  <si>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</si>
  <si>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</si>
  <si>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</si>
  <si>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</si>
  <si>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</si>
  <si>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</si>
  <si>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</si>
  <si>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</si>
  <si>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</si>
  <si>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</si>
  <si>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</si>
  <si>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</si>
  <si>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</si>
  <si>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</si>
  <si>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</si>
  <si>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</si>
  <si>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</si>
  <si>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</si>
  <si>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</si>
  <si>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</si>
  <si>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</si>
  <si>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</si>
  <si>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</si>
  <si>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</si>
  <si>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</si>
  <si>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</si>
  <si>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</si>
  <si>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</si>
  <si>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</si>
  <si>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</si>
  <si>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</si>
  <si>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</si>
  <si>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</si>
  <si>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</si>
  <si>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</si>
  <si>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</si>
  <si>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</si>
  <si>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</si>
  <si>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</si>
  <si>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</si>
  <si>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</si>
  <si>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</si>
  <si>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</si>
  <si>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</si>
  <si>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</si>
  <si>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</si>
  <si>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</si>
  <si>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</si>
  <si>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</si>
  <si>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</si>
  <si>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</si>
  <si>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</si>
  <si>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</si>
  <si>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</si>
  <si>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</si>
  <si>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</si>
  <si>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</si>
  <si>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</si>
  <si>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</si>
  <si>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</si>
  <si>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</si>
  <si>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</si>
  <si>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</si>
  <si>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</si>
  <si>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</si>
  <si>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</si>
  <si>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</si>
  <si>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</si>
  <si>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</si>
  <si>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</si>
  <si>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</si>
  <si>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</si>
  <si>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</si>
  <si>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</si>
  <si>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</si>
  <si>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</si>
  <si>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</si>
  <si>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</si>
  <si>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</si>
  <si>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</si>
  <si>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</si>
  <si>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</si>
  <si>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</si>
  <si>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</si>
  <si>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</si>
  <si>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</si>
  <si>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</si>
  <si>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</si>
  <si>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</si>
  <si>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</si>
  <si>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</si>
  <si>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</si>
  <si>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</si>
  <si>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</si>
  <si>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</si>
  <si>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</si>
  <si>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</si>
  <si>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</si>
  <si>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</si>
  <si>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</si>
  <si>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</si>
  <si>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</si>
  <si>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</si>
  <si>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</si>
  <si>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</si>
  <si>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</si>
  <si>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</si>
  <si>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</si>
  <si>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</si>
  <si>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</si>
  <si>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</si>
  <si>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</si>
  <si>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</si>
  <si>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</si>
  <si>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</si>
  <si>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</si>
  <si>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</si>
  <si>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</si>
  <si>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</si>
  <si>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</si>
  <si>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</si>
  <si>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</si>
  <si>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</si>
  <si>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</si>
  <si>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</si>
  <si>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</si>
  <si>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</si>
  <si>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</si>
  <si>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</si>
  <si>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</si>
  <si>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</si>
  <si>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</si>
  <si>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</si>
  <si>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</si>
  <si>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</si>
  <si>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</si>
  <si>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</si>
  <si>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</si>
  <si>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</si>
  <si>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</si>
  <si>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</si>
  <si>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</si>
  <si>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</si>
  <si>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</si>
  <si>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</si>
  <si>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</si>
  <si>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</si>
  <si>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</si>
  <si>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</si>
  <si>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</si>
  <si>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</si>
  <si>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</si>
  <si>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</si>
  <si>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</si>
  <si>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</si>
  <si>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</si>
  <si>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</si>
  <si>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</si>
  <si>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</si>
  <si>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</si>
  <si>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</si>
  <si>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</si>
  <si>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</si>
  <si>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</si>
  <si>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</si>
  <si>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</si>
  <si>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</si>
  <si>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</si>
  <si>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</si>
  <si>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</si>
  <si>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</si>
  <si>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</si>
  <si>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</si>
  <si>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</si>
  <si>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</si>
  <si>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</si>
  <si>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</si>
  <si>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</si>
  <si>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</si>
  <si>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</si>
  <si>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</si>
  <si>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</si>
  <si>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</si>
  <si>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</si>
  <si>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</si>
  <si>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</si>
  <si>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</si>
  <si>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</si>
  <si>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</si>
  <si>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</si>
  <si>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</si>
  <si>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</si>
  <si>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</si>
  <si>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</si>
  <si>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</si>
  <si>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</si>
  <si>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</si>
  <si>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</si>
  <si>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</si>
  <si>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</si>
  <si>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</si>
  <si>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</si>
  <si>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</si>
  <si>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</si>
  <si>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</si>
  <si>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</si>
  <si>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</si>
  <si>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</si>
  <si>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</si>
  <si>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</si>
  <si>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</si>
  <si>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</si>
  <si>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</si>
  <si>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</si>
  <si>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</si>
  <si>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</si>
  <si>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</si>
  <si>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</si>
  <si>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</si>
  <si>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</si>
  <si>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</si>
  <si>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</si>
  <si>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</si>
  <si>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</si>
  <si>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</si>
  <si>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</si>
  <si>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</si>
  <si>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</si>
  <si>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</si>
  <si>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</si>
  <si>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</si>
  <si>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</si>
  <si>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</si>
  <si>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</si>
  <si>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</si>
  <si>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</si>
  <si>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</si>
  <si>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</si>
  <si>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</si>
  <si>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</si>
  <si>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</si>
  <si>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</si>
  <si>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</si>
  <si>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</si>
  <si>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</si>
  <si>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</si>
  <si>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</si>
  <si>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</si>
  <si>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</si>
  <si>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</si>
  <si>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</si>
  <si>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</si>
  <si>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</si>
  <si>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</si>
  <si>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</si>
  <si>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</si>
  <si>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</si>
  <si>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</si>
  <si>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</si>
  <si>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</si>
  <si>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</si>
  <si>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</si>
  <si>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</si>
  <si>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</si>
  <si>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</si>
  <si>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</si>
  <si>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</si>
  <si>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</si>
  <si>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</si>
  <si>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</si>
  <si>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</si>
  <si>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</si>
  <si>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</si>
  <si>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</si>
  <si>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</si>
  <si>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</si>
  <si>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</si>
  <si>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</si>
  <si>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</si>
  <si>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</si>
  <si>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</si>
  <si>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</si>
  <si>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</si>
  <si>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</si>
  <si>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</si>
  <si>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</si>
  <si>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</si>
  <si>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</si>
  <si>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</si>
  <si>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</si>
  <si>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</si>
  <si>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</si>
  <si>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</si>
  <si>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</si>
  <si>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</si>
  <si>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</si>
  <si>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</si>
  <si>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</si>
  <si>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</si>
  <si>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</si>
  <si>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</si>
  <si>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</si>
  <si>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</si>
  <si>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</si>
  <si>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</si>
  <si>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</si>
  <si>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</si>
  <si>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</si>
  <si>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</si>
  <si>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</si>
  <si>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</si>
  <si>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</si>
  <si>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</si>
  <si>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</si>
  <si>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</si>
  <si>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</si>
  <si>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</si>
  <si>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</si>
  <si>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</si>
  <si>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</si>
  <si>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</si>
  <si>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</si>
  <si>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</si>
  <si>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</si>
  <si>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</si>
  <si>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</si>
  <si>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</si>
  <si>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</si>
  <si>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</si>
  <si>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</si>
  <si>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</si>
  <si>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</si>
  <si>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</si>
  <si>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</si>
  <si>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</si>
  <si>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</si>
  <si>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</si>
  <si>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</si>
  <si>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</si>
  <si>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</si>
  <si>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</si>
  <si>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</si>
  <si>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</si>
  <si>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</si>
  <si>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</si>
  <si>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</si>
  <si>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</si>
  <si>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</si>
  <si>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</si>
  <si>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</si>
  <si>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</si>
  <si>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</si>
  <si>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</si>
  <si>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</si>
  <si>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</si>
  <si>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</si>
  <si>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</si>
  <si>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</si>
  <si>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</si>
  <si>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</si>
  <si>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</si>
  <si>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</si>
  <si>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</si>
  <si>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</si>
  <si>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</si>
  <si>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</si>
  <si>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</si>
  <si>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</si>
  <si>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</si>
  <si>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</si>
  <si>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</si>
  <si>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</si>
  <si>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</si>
  <si>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</si>
  <si>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</si>
  <si>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</si>
  <si>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</si>
  <si>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</si>
  <si>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</si>
  <si>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</si>
  <si>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</si>
  <si>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</si>
  <si>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</si>
  <si>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</si>
  <si>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</si>
  <si>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</si>
  <si>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</si>
  <si>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</si>
  <si>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</si>
  <si>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</si>
  <si>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</si>
  <si>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</si>
  <si>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</si>
  <si>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</si>
  <si>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</si>
  <si>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</si>
  <si>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</si>
  <si>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</si>
  <si>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</si>
  <si>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</si>
  <si>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</si>
  <si>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</si>
  <si>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</si>
  <si>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</si>
  <si>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</si>
  <si>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</si>
  <si>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</si>
  <si>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</si>
  <si>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</si>
  <si>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</si>
  <si>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</si>
  <si>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</si>
  <si>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</si>
  <si>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</si>
  <si>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</si>
  <si>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</si>
  <si>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</si>
  <si>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</si>
  <si>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</si>
  <si>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</si>
  <si>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</si>
  <si>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</si>
  <si>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</si>
  <si>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</si>
  <si>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</si>
  <si>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</si>
  <si>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</si>
  <si>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</si>
  <si>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</si>
  <si>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</si>
  <si>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</si>
  <si>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</si>
  <si>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</si>
  <si>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</si>
  <si>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</si>
  <si>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</si>
  <si>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</si>
  <si>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</si>
  <si>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</si>
  <si>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</si>
  <si>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</si>
  <si>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</si>
  <si>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</si>
  <si>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</si>
  <si>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</si>
  <si>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</si>
  <si>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</si>
  <si>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</si>
  <si>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</si>
  <si>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</si>
  <si>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</si>
  <si>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</si>
  <si>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</si>
  <si>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</si>
  <si>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</si>
  <si>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</si>
  <si>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</si>
  <si>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</si>
  <si>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</si>
  <si>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</si>
  <si>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</si>
  <si>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</si>
  <si>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</si>
  <si>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</si>
  <si>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</si>
  <si>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</si>
  <si>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</si>
  <si>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</si>
  <si>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</si>
  <si>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</si>
  <si>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</si>
  <si>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</si>
  <si>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</si>
  <si>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</si>
  <si>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</si>
  <si>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</si>
  <si>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</si>
  <si>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郑燚</t>
  </si>
  <si>
    <t>抵押</t>
  </si>
  <si>
    <t>房地产抵押价值</t>
  </si>
  <si>
    <t>北京市</t>
  </si>
  <si>
    <t>中冀大厦</t>
    <phoneticPr fontId="134" type="noConversion"/>
  </si>
  <si>
    <t>面积</t>
    <phoneticPr fontId="134" type="noConversion"/>
  </si>
  <si>
    <t>朝向</t>
    <phoneticPr fontId="134" type="noConversion"/>
  </si>
  <si>
    <t>南</t>
    <phoneticPr fontId="134" type="noConversion"/>
  </si>
  <si>
    <t>北</t>
    <phoneticPr fontId="134" type="noConversion"/>
  </si>
  <si>
    <t>总价</t>
    <phoneticPr fontId="134" type="noConversion"/>
  </si>
  <si>
    <t>单价</t>
    <phoneticPr fontId="134" type="noConversion"/>
  </si>
  <si>
    <t>楼层</t>
    <phoneticPr fontId="134" type="noConversion"/>
  </si>
  <si>
    <t>中</t>
    <phoneticPr fontId="134" type="noConversion"/>
  </si>
  <si>
    <t>高</t>
    <phoneticPr fontId="134" type="noConversion"/>
  </si>
  <si>
    <t>中冀斯巴鲁大厦</t>
    <phoneticPr fontId="3" type="noConversion"/>
  </si>
  <si>
    <r>
      <rPr>
        <sz val="10"/>
        <color theme="9" tint="-0.249977111117893"/>
        <rFont val="宋体"/>
        <family val="3"/>
        <charset val="134"/>
      </rPr>
      <t>北京经济技术开发区荣华南路</t>
    </r>
    <r>
      <rPr>
        <sz val="10"/>
        <color theme="9" tint="-0.249977111117893"/>
        <rFont val="Arial"/>
        <family val="2"/>
      </rPr>
      <t>16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10</t>
    </r>
    <r>
      <rPr>
        <sz val="10"/>
        <color theme="9" tint="-0.249977111117893"/>
        <rFont val="宋体"/>
        <family val="3"/>
        <charset val="134"/>
      </rPr>
      <t>层</t>
    </r>
    <r>
      <rPr>
        <sz val="10"/>
        <color theme="9" tint="-0.249977111117893"/>
        <rFont val="Arial"/>
        <family val="2"/>
      </rPr>
      <t>A</t>
    </r>
    <r>
      <rPr>
        <sz val="10"/>
        <color theme="9" tint="-0.249977111117893"/>
        <rFont val="宋体"/>
        <family val="3"/>
        <charset val="134"/>
      </rPr>
      <t>座</t>
    </r>
    <r>
      <rPr>
        <sz val="10"/>
        <color theme="9" tint="-0.249977111117893"/>
        <rFont val="Arial"/>
        <family val="2"/>
      </rPr>
      <t>1002</t>
    </r>
    <phoneticPr fontId="6" type="noConversion"/>
  </si>
  <si>
    <t>自然人</t>
  </si>
  <si>
    <t>是</t>
  </si>
  <si>
    <t>地上</t>
  </si>
  <si>
    <t>公寓</t>
  </si>
  <si>
    <t>公寓</t>
    <phoneticPr fontId="7" type="noConversion"/>
  </si>
  <si>
    <t>成新度</t>
  </si>
  <si>
    <t>建成</t>
    <phoneticPr fontId="3" type="noConversion"/>
  </si>
  <si>
    <t>直线</t>
    <phoneticPr fontId="3" type="noConversion"/>
  </si>
  <si>
    <t>收益法 (元)</t>
  </si>
  <si>
    <t>利息：取LPR加浮动点数</t>
  </si>
  <si>
    <t>较好</t>
  </si>
  <si>
    <t>一般</t>
  </si>
  <si>
    <t>一般</t>
    <phoneticPr fontId="40" type="noConversion"/>
  </si>
  <si>
    <t>一般</t>
    <phoneticPr fontId="24" type="noConversion"/>
  </si>
  <si>
    <t>较好</t>
    <phoneticPr fontId="24" type="noConversion"/>
  </si>
  <si>
    <t>较好</t>
    <phoneticPr fontId="40" type="noConversion"/>
  </si>
  <si>
    <t>一般</t>
    <phoneticPr fontId="40" type="noConversion"/>
  </si>
  <si>
    <t>七通</t>
  </si>
  <si>
    <t>七通</t>
    <phoneticPr fontId="24" type="noConversion"/>
  </si>
  <si>
    <t>单套模式</t>
  </si>
  <si>
    <t>售价</t>
  </si>
  <si>
    <t>高区</t>
  </si>
  <si>
    <t>高区</t>
    <phoneticPr fontId="30" type="noConversion"/>
  </si>
  <si>
    <t>中区</t>
  </si>
  <si>
    <t>中区</t>
    <phoneticPr fontId="30" type="noConversion"/>
  </si>
  <si>
    <t>低区</t>
    <phoneticPr fontId="30" type="noConversion"/>
  </si>
  <si>
    <t>商住公寓</t>
  </si>
  <si>
    <t>商住公寓</t>
    <phoneticPr fontId="30" type="noConversion"/>
  </si>
  <si>
    <t xml:space="preserve"> </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</si>
  <si>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</si>
  <si>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</si>
  <si>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</si>
  <si>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</si>
  <si>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</si>
  <si>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</si>
  <si>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</si>
  <si>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正常</t>
  </si>
  <si>
    <t>报价</t>
  </si>
  <si>
    <t>报价</t>
    <phoneticPr fontId="30" type="noConversion"/>
  </si>
  <si>
    <t>商业</t>
    <phoneticPr fontId="30" type="noConversion"/>
  </si>
  <si>
    <t>六通</t>
  </si>
  <si>
    <t>押一</t>
  </si>
  <si>
    <t>非生产用房</t>
  </si>
  <si>
    <t>否</t>
  </si>
  <si>
    <t>比较法-商业</t>
  </si>
  <si>
    <t>南北</t>
    <phoneticPr fontId="134" type="noConversion"/>
  </si>
  <si>
    <t>观察</t>
    <phoneticPr fontId="3" type="noConversion"/>
  </si>
  <si>
    <t>《不动产权证书》</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</si>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</sst>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208" fillId="0" borderId="23"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132220</xdr:colOff>
      <xdr:row>25</xdr:row>
      <xdr:rowOff>8988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47620" cy="4295238"/>
        </a:xfrm>
        <a:prstGeom prst="rect">
          <a:avLst/>
        </a:prstGeom>
      </xdr:spPr>
    </xdr:pic>
    <xdr:clientData/>
  </xdr:twoCellAnchor>
  <xdr:twoCellAnchor editAs="oneCell">
    <xdr:from>
      <xdr:col>0</xdr:col>
      <xdr:colOff>0</xdr:colOff>
      <xdr:row>25</xdr:row>
      <xdr:rowOff>0</xdr:rowOff>
    </xdr:from>
    <xdr:to>
      <xdr:col>13</xdr:col>
      <xdr:colOff>27458</xdr:colOff>
      <xdr:row>33</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42858" cy="1523810"/>
        </a:xfrm>
        <a:prstGeom prst="rect">
          <a:avLst/>
        </a:prstGeom>
      </xdr:spPr>
    </xdr:pic>
    <xdr:clientData/>
  </xdr:twoCellAnchor>
  <xdr:twoCellAnchor editAs="oneCell">
    <xdr:from>
      <xdr:col>0</xdr:col>
      <xdr:colOff>0</xdr:colOff>
      <xdr:row>34</xdr:row>
      <xdr:rowOff>0</xdr:rowOff>
    </xdr:from>
    <xdr:to>
      <xdr:col>13</xdr:col>
      <xdr:colOff>379839</xdr:colOff>
      <xdr:row>39</xdr:row>
      <xdr:rowOff>18941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9295239" cy="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342514</xdr:colOff>
      <xdr:row>22</xdr:row>
      <xdr:rowOff>56800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085714" cy="2800000"/>
        </a:xfrm>
        <a:prstGeom prst="rect">
          <a:avLst/>
        </a:prstGeom>
      </xdr:spPr>
    </xdr:pic>
    <xdr:clientData/>
  </xdr:twoCellAnchor>
  <xdr:twoCellAnchor editAs="oneCell">
    <xdr:from>
      <xdr:col>0</xdr:col>
      <xdr:colOff>0</xdr:colOff>
      <xdr:row>22</xdr:row>
      <xdr:rowOff>76200</xdr:rowOff>
    </xdr:from>
    <xdr:to>
      <xdr:col>7</xdr:col>
      <xdr:colOff>656543</xdr:colOff>
      <xdr:row>41</xdr:row>
      <xdr:rowOff>94841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19400"/>
          <a:ext cx="5457143" cy="3276191"/>
        </a:xfrm>
        <a:prstGeom prst="rect">
          <a:avLst/>
        </a:prstGeom>
      </xdr:spPr>
    </xdr:pic>
    <xdr:clientData/>
  </xdr:twoCellAnchor>
  <xdr:twoCellAnchor editAs="oneCell">
    <xdr:from>
      <xdr:col>23</xdr:col>
      <xdr:colOff>419100</xdr:colOff>
      <xdr:row>6</xdr:row>
      <xdr:rowOff>123825</xdr:rowOff>
    </xdr:from>
    <xdr:to>
      <xdr:col>28</xdr:col>
      <xdr:colOff>275815</xdr:colOff>
      <xdr:row>23</xdr:row>
      <xdr:rowOff>113937</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00" y="1152525"/>
          <a:ext cx="3285715" cy="2904762"/>
        </a:xfrm>
        <a:prstGeom prst="rect">
          <a:avLst/>
        </a:prstGeom>
      </xdr:spPr>
    </xdr:pic>
    <xdr:clientData/>
  </xdr:twoCellAnchor>
  <xdr:twoCellAnchor editAs="oneCell">
    <xdr:from>
      <xdr:col>23</xdr:col>
      <xdr:colOff>561975</xdr:colOff>
      <xdr:row>24</xdr:row>
      <xdr:rowOff>0</xdr:rowOff>
    </xdr:from>
    <xdr:to>
      <xdr:col>31</xdr:col>
      <xdr:colOff>685099</xdr:colOff>
      <xdr:row>42</xdr:row>
      <xdr:rowOff>132948</xdr:rowOff>
    </xdr:to>
    <xdr:pic>
      <xdr:nvPicPr>
        <xdr:cNvPr id="5" name="图片 4"/>
        <xdr:cNvPicPr>
          <a:picLocks noChangeAspect="1"/>
        </xdr:cNvPicPr>
      </xdr:nvPicPr>
      <xdr:blipFill>
        <a:blip xmlns:r="http://schemas.openxmlformats.org/officeDocument/2006/relationships" r:embed="rId4"/>
        <a:stretch>
          <a:fillRect/>
        </a:stretch>
      </xdr:blipFill>
      <xdr:spPr>
        <a:xfrm>
          <a:off x="16335375" y="4114800"/>
          <a:ext cx="5609524" cy="3219048"/>
        </a:xfrm>
        <a:prstGeom prst="rect">
          <a:avLst/>
        </a:prstGeom>
      </xdr:spPr>
    </xdr:pic>
    <xdr:clientData/>
  </xdr:twoCellAnchor>
  <xdr:twoCellAnchor editAs="oneCell">
    <xdr:from>
      <xdr:col>16</xdr:col>
      <xdr:colOff>0</xdr:colOff>
      <xdr:row>6</xdr:row>
      <xdr:rowOff>0</xdr:rowOff>
    </xdr:from>
    <xdr:to>
      <xdr:col>20</xdr:col>
      <xdr:colOff>513943</xdr:colOff>
      <xdr:row>22</xdr:row>
      <xdr:rowOff>94895</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0"/>
          <a:ext cx="3257143" cy="2838095"/>
        </a:xfrm>
        <a:prstGeom prst="rect">
          <a:avLst/>
        </a:prstGeom>
      </xdr:spPr>
    </xdr:pic>
    <xdr:clientData/>
  </xdr:twoCellAnchor>
  <xdr:twoCellAnchor editAs="oneCell">
    <xdr:from>
      <xdr:col>15</xdr:col>
      <xdr:colOff>590550</xdr:colOff>
      <xdr:row>22</xdr:row>
      <xdr:rowOff>104775</xdr:rowOff>
    </xdr:from>
    <xdr:to>
      <xdr:col>23</xdr:col>
      <xdr:colOff>408912</xdr:colOff>
      <xdr:row>41</xdr:row>
      <xdr:rowOff>66273</xdr:rowOff>
    </xdr:to>
    <xdr:pic>
      <xdr:nvPicPr>
        <xdr:cNvPr id="7" name="图片 6"/>
        <xdr:cNvPicPr>
          <a:picLocks noChangeAspect="1"/>
        </xdr:cNvPicPr>
      </xdr:nvPicPr>
      <xdr:blipFill>
        <a:blip xmlns:r="http://schemas.openxmlformats.org/officeDocument/2006/relationships" r:embed="rId6"/>
        <a:stretch>
          <a:fillRect/>
        </a:stretch>
      </xdr:blipFill>
      <xdr:spPr>
        <a:xfrm>
          <a:off x="10877550" y="3876675"/>
          <a:ext cx="5304762" cy="3219048"/>
        </a:xfrm>
        <a:prstGeom prst="rect">
          <a:avLst/>
        </a:prstGeom>
      </xdr:spPr>
    </xdr:pic>
    <xdr:clientData/>
  </xdr:twoCellAnchor>
  <xdr:twoCellAnchor editAs="oneCell">
    <xdr:from>
      <xdr:col>0</xdr:col>
      <xdr:colOff>0</xdr:colOff>
      <xdr:row>41</xdr:row>
      <xdr:rowOff>152400</xdr:rowOff>
    </xdr:from>
    <xdr:to>
      <xdr:col>9</xdr:col>
      <xdr:colOff>382298</xdr:colOff>
      <xdr:row>63</xdr:row>
      <xdr:rowOff>46868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181850"/>
          <a:ext cx="6554498" cy="3666368"/>
        </a:xfrm>
        <a:prstGeom prst="rect">
          <a:avLst/>
        </a:prstGeom>
      </xdr:spPr>
    </xdr:pic>
    <xdr:clientData/>
  </xdr:twoCellAnchor>
  <xdr:twoCellAnchor editAs="oneCell">
    <xdr:from>
      <xdr:col>8</xdr:col>
      <xdr:colOff>0</xdr:colOff>
      <xdr:row>5</xdr:row>
      <xdr:rowOff>98295</xdr:rowOff>
    </xdr:from>
    <xdr:to>
      <xdr:col>12</xdr:col>
      <xdr:colOff>542348</xdr:colOff>
      <xdr:row>23</xdr:row>
      <xdr:rowOff>47093</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955545"/>
          <a:ext cx="3285548" cy="3034898"/>
        </a:xfrm>
        <a:prstGeom prst="rect">
          <a:avLst/>
        </a:prstGeom>
      </xdr:spPr>
    </xdr:pic>
    <xdr:clientData/>
  </xdr:twoCellAnchor>
  <xdr:twoCellAnchor editAs="oneCell">
    <xdr:from>
      <xdr:col>8</xdr:col>
      <xdr:colOff>84534</xdr:colOff>
      <xdr:row>22</xdr:row>
      <xdr:rowOff>152400</xdr:rowOff>
    </xdr:from>
    <xdr:to>
      <xdr:col>15</xdr:col>
      <xdr:colOff>313319</xdr:colOff>
      <xdr:row>40</xdr:row>
      <xdr:rowOff>161306</xdr:rowOff>
    </xdr:to>
    <xdr:pic>
      <xdr:nvPicPr>
        <xdr:cNvPr id="10" name="图片 9"/>
        <xdr:cNvPicPr>
          <a:picLocks noChangeAspect="1"/>
        </xdr:cNvPicPr>
      </xdr:nvPicPr>
      <xdr:blipFill>
        <a:blip xmlns:r="http://schemas.openxmlformats.org/officeDocument/2006/relationships" r:embed="rId9"/>
        <a:stretch>
          <a:fillRect/>
        </a:stretch>
      </xdr:blipFill>
      <xdr:spPr>
        <a:xfrm>
          <a:off x="5570934" y="3924300"/>
          <a:ext cx="5029385" cy="30950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北京市北京经济技术开发区荣华南路16号1幢10层A座1002房地产抵押价值预评估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受贵公司委托，我公司对北京市北京经济技术开发区荣华南路16号1幢10层A座1002房地产抵押价值进行了预评估。</v>
      </c>
    </row>
    <row r="7" spans="1:2" s="1203" customFormat="1">
      <c r="A7" s="1201" t="s">
        <v>566</v>
      </c>
      <c r="B7" s="1202" t="str">
        <f>'预评函-1'!A7</f>
        <v>估价对象为北京市北京经济技术开发区荣华南路16号1幢10层A座1002房地产，为所有。根据《国有土地使用证》[]，估价对象（分摊）出让国有建设用地使用权面积为0平方米，建筑面积为121.35平方米。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荣华南路16号1幢10层A座1002房地产,属开发建设的，该项目尚在开发建设中。根据《国有土地使用证》[]，估价对象（分摊）出让国有建设用地使用权面积为0平方米，规划建筑面积为121.35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北京经济技术开发区荣华南路16号1幢10层A座1002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2023年5月10日（评估专业人员实地查勘之日）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219</v>
      </c>
    </row>
    <row r="21" spans="1:2" s="1203" customFormat="1">
      <c r="A21" s="1201" t="s">
        <v>537</v>
      </c>
      <c r="B21" s="1202">
        <f ca="1">'预评函-2'!D7</f>
        <v>18083</v>
      </c>
    </row>
    <row r="22" spans="1:2" s="1203" customFormat="1">
      <c r="A22" s="1201" t="s">
        <v>538</v>
      </c>
      <c r="B22" s="1202" t="str">
        <f ca="1">'预评函-2'!D6</f>
        <v>贰佰壹拾玖万元整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219</v>
      </c>
    </row>
    <row r="31" spans="1:2" s="1203" customFormat="1">
      <c r="A31" s="1201" t="s">
        <v>576</v>
      </c>
      <c r="B31" s="1202">
        <f ca="1">'预评函-2'!D15</f>
        <v>18083</v>
      </c>
    </row>
    <row r="32" spans="1:2" s="1203" customFormat="1">
      <c r="A32" s="1201" t="s">
        <v>543</v>
      </c>
      <c r="B32" s="1202" t="str">
        <f ca="1">'预评函-2'!D14</f>
        <v>贰佰壹拾玖万元整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北京市北京经济技术开发区荣华南路16号1幢10层A座1002房地产</v>
      </c>
    </row>
    <row r="42" spans="1:2" s="1203" customFormat="1">
      <c r="A42" s="1201" t="s">
        <v>590</v>
      </c>
      <c r="B42" s="1202" t="str">
        <f>'预评函-3'!B2</f>
        <v>建筑面积</v>
      </c>
    </row>
    <row r="43" spans="1:2" s="1203" customFormat="1">
      <c r="A43" s="1201" t="s">
        <v>591</v>
      </c>
      <c r="B43" s="1202">
        <f>'预评函-3'!B4</f>
        <v>121.35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2575</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2576</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16号1幢10层A座1002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489" t="s">
        <v>2578</v>
      </c>
      <c r="J2" s="3489"/>
      <c r="K2" s="3489"/>
      <c r="L2" s="3489"/>
      <c r="M2" s="3489"/>
      <c r="N2" s="3489"/>
      <c r="O2" s="3489"/>
      <c r="P2" s="3489"/>
      <c r="Q2" s="3489"/>
      <c r="R2" s="3489"/>
    </row>
    <row r="3" spans="1:18">
      <c r="A3" s="3018" t="s">
        <v>2499</v>
      </c>
      <c r="B3" s="3019">
        <f>项目基本情况!D3</f>
        <v>45056</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3.61</v>
      </c>
      <c r="D5" s="3023">
        <f>IF(ISERROR(ROUND(POWER(1+E5,A5-C5)*(POWER(1+E5,C5)-1)/(POWER(1+E5,A5)-1),3)),0,ROUND(POWER(1+E5,A5-C5)*(POWER(1+E5,C5)-1)/(POWER(1+E5,A5)-1),4))</f>
        <v>0.1668</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13.62</v>
      </c>
      <c r="D6" s="3023">
        <f>IF(ISERROR(ROUND(POWER(1+E6,A6-C6)*(POWER(1+E6,C6)-1)/(POWER(1+E6,A6)-1),3)),0,ROUND(POWER(1+E6,A6-C6)*(POWER(1+E6,C6)-1)/(POWER(1+E6,A6)-1),4))</f>
        <v>0.48159999999999997</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4.25" thickBot="1">
      <c r="A18" s="3029" t="s">
        <v>2514</v>
      </c>
      <c r="B18" s="3030">
        <f>ROUND(B17*F11/F12,2)</f>
        <v>5541.87</v>
      </c>
      <c r="C18" s="3030">
        <f>ROUND(F11/F12,4)</f>
        <v>1.1521999999999999</v>
      </c>
      <c r="D18" s="3031"/>
      <c r="E18" s="3031"/>
      <c r="F18" s="3032"/>
    </row>
    <row r="19" spans="1:13" ht="14.25" thickBot="1"/>
    <row r="20" spans="1:13" s="3067" customFormat="1" ht="14.2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4.2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22" sqref="B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北京市北京经济技术开发区荣华南路16号1幢10层A座1002房地产抵押价值预评估</v>
      </c>
      <c r="C1" s="3499"/>
      <c r="D1" s="3499"/>
      <c r="E1" s="3499"/>
      <c r="F1" s="3499"/>
      <c r="G1" s="3499"/>
      <c r="H1" s="3499"/>
      <c r="I1" s="350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北京市北京经济技术开发区荣华南路16号1幢10层A座1002房地产抵押价值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北京市北京经济技术开发区荣华南路16号1幢10层A座1002房地产</v>
      </c>
      <c r="T2" s="1745"/>
      <c r="U2" s="1745"/>
      <c r="V2" s="1745"/>
      <c r="W2" s="1745"/>
      <c r="X2" s="1745"/>
      <c r="Y2" s="1745"/>
      <c r="Z2" s="1745"/>
      <c r="AA2" s="1745"/>
      <c r="AB2" s="1745"/>
    </row>
    <row r="3" spans="1:30">
      <c r="A3" s="302" t="s">
        <v>2170</v>
      </c>
      <c r="B3" s="2373">
        <v>45056</v>
      </c>
      <c r="C3" s="2374" t="s">
        <v>2171</v>
      </c>
      <c r="D3" s="2373">
        <f>B3</f>
        <v>45056</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3373</v>
      </c>
      <c r="C4" s="2376">
        <f ca="1">SUMIF(注册房地产估价师,B4,估价师及机构信息!B3:B24)</f>
        <v>1419970001</v>
      </c>
      <c r="D4" s="2375" t="s">
        <v>3374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3375</v>
      </c>
      <c r="C8" s="2390"/>
      <c r="D8" s="3501" t="s">
        <v>2177</v>
      </c>
      <c r="E8" s="2391" t="s">
        <v>3376</v>
      </c>
      <c r="F8" s="2392"/>
      <c r="G8" s="2661"/>
      <c r="H8" s="2661"/>
      <c r="I8" s="2661"/>
      <c r="J8" s="2439"/>
      <c r="K8" s="2612"/>
      <c r="L8" s="2611"/>
      <c r="M8" s="2611"/>
      <c r="N8" s="2439"/>
      <c r="O8" s="2450"/>
      <c r="P8" s="2439"/>
      <c r="Q8" s="2439"/>
      <c r="R8" s="2439"/>
    </row>
    <row r="9" spans="1:30" ht="13.5" thickBot="1">
      <c r="A9" s="2393" t="s">
        <v>2178</v>
      </c>
      <c r="B9" s="2394" t="s">
        <v>3376</v>
      </c>
      <c r="C9" s="2395"/>
      <c r="D9" s="3502"/>
      <c r="E9" s="2394" t="s">
        <v>43</v>
      </c>
      <c r="F9" s="2396"/>
      <c r="G9" s="2663"/>
      <c r="H9" s="2663"/>
      <c r="I9" s="2663"/>
      <c r="J9" s="2439"/>
      <c r="K9" s="2614"/>
      <c r="L9" s="2611"/>
      <c r="M9" s="2611"/>
      <c r="N9" s="2439"/>
      <c r="O9" s="2450"/>
      <c r="P9" s="2439"/>
      <c r="Q9" s="2439"/>
      <c r="R9" s="2439"/>
    </row>
    <row r="10" spans="1:30" ht="13.5" thickTop="1">
      <c r="A10" s="2397" t="s">
        <v>2179</v>
      </c>
      <c r="B10" s="2398" t="s">
        <v>3377</v>
      </c>
      <c r="C10" s="2399"/>
      <c r="D10" s="2382"/>
      <c r="E10" s="2400" t="s">
        <v>2180</v>
      </c>
      <c r="F10" s="2664" t="s">
        <v>3389</v>
      </c>
      <c r="G10" s="2665"/>
      <c r="H10" s="2666"/>
      <c r="I10" s="2667"/>
      <c r="J10" s="2439"/>
      <c r="K10" s="2614"/>
      <c r="L10" s="2611"/>
      <c r="M10" s="2611"/>
      <c r="N10" s="2439"/>
      <c r="O10" s="2450"/>
      <c r="P10" s="2439"/>
      <c r="Q10" s="2439"/>
      <c r="R10" s="2439"/>
    </row>
    <row r="11" spans="1:30">
      <c r="A11" s="2401" t="s">
        <v>2181</v>
      </c>
      <c r="B11" s="2402" t="s">
        <v>3390</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2574</v>
      </c>
      <c r="J12" s="3060"/>
      <c r="K12" s="2611"/>
      <c r="L12" s="2611"/>
      <c r="M12" s="2439"/>
      <c r="N12" s="2450"/>
      <c r="O12" s="2439"/>
      <c r="P12" s="2439"/>
      <c r="Q12" s="2439"/>
      <c r="AD12" s="1745"/>
    </row>
    <row r="13" spans="1:30">
      <c r="A13" s="3421" t="s">
        <v>3332</v>
      </c>
      <c r="B13" s="2407" t="s">
        <v>2190</v>
      </c>
      <c r="C13" s="856"/>
      <c r="D13" s="856">
        <v>53454</v>
      </c>
      <c r="E13" s="856"/>
      <c r="F13" s="856"/>
      <c r="G13" s="856"/>
      <c r="H13" s="856"/>
      <c r="I13" s="856"/>
      <c r="J13" s="3060"/>
      <c r="K13" s="2611"/>
      <c r="L13" s="2611"/>
      <c r="M13" s="2439"/>
      <c r="N13" s="2450"/>
      <c r="O13" s="2439"/>
      <c r="P13" s="2439"/>
      <c r="Q13" s="2439"/>
      <c r="AD13" s="1745"/>
    </row>
    <row r="14" spans="1:30">
      <c r="A14" s="1081"/>
      <c r="B14" s="2407" t="s">
        <v>2191</v>
      </c>
      <c r="C14" s="2408"/>
      <c r="D14" s="2408">
        <v>40</v>
      </c>
      <c r="E14" s="2408"/>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f>IF(A13="出让",IF(D13="","",ROUNDDOWN(MIN((D13-$D$3)/365,D14),2)),D14)</f>
        <v>23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08"/>
      <c r="C16" s="3509"/>
      <c r="D16" s="3510"/>
      <c r="E16" s="2413" t="s">
        <v>2194</v>
      </c>
      <c r="F16" s="3511"/>
      <c r="G16" s="3512"/>
      <c r="H16" s="3512"/>
      <c r="I16" s="3513"/>
      <c r="J16" s="2439"/>
      <c r="K16" s="2615"/>
      <c r="L16" s="2451"/>
      <c r="M16" s="2451"/>
      <c r="N16" s="2507"/>
      <c r="O16" s="2451"/>
      <c r="P16" s="2507"/>
      <c r="Q16" s="2439"/>
      <c r="R16" s="2439"/>
    </row>
    <row r="17" spans="1:28">
      <c r="A17" s="313" t="s">
        <v>2195</v>
      </c>
      <c r="B17" s="302" t="s">
        <v>2196</v>
      </c>
      <c r="C17" s="8">
        <f>'数据-汇总表'!E3</f>
        <v>121.35</v>
      </c>
      <c r="D17" s="2322" t="s">
        <v>2197</v>
      </c>
      <c r="E17" s="3514" t="s">
        <v>2198</v>
      </c>
      <c r="F17" s="3515"/>
      <c r="G17" s="3515"/>
      <c r="H17" s="3515"/>
      <c r="I17" s="3516"/>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17" t="s">
        <v>2202</v>
      </c>
      <c r="F18" s="3518"/>
      <c r="G18" s="3518"/>
      <c r="H18" s="3518"/>
      <c r="I18" s="3519"/>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4" t="s">
        <v>2206</v>
      </c>
      <c r="C20" s="3505"/>
      <c r="D20" s="3506" t="s">
        <v>2207</v>
      </c>
      <c r="E20" s="3507"/>
      <c r="F20" s="2645" t="s">
        <v>1056</v>
      </c>
      <c r="G20" s="2662"/>
      <c r="H20" s="2662"/>
      <c r="I20" s="2662"/>
      <c r="J20" s="2439"/>
      <c r="K20" s="3503" t="s">
        <v>2208</v>
      </c>
      <c r="L20" s="684" t="str">
        <f>"根据估价对象"&amp;IF(B22="——",B21&amp;C21,B21&amp;C21&amp;"、"&amp;B22&amp;C22)&amp;"，"&amp;IF(C19="是","截至价值时点，估价对象已设定抵押。","截至价值时点，估价对象抵押权未见登记。")</f>
        <v>根据估价对象《房屋所有权证》原件、《不动产权证书》复印件，截至价值时点，估价对象抵押权未见登记。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6.25" thickBot="1">
      <c r="A22" s="2630"/>
      <c r="B22" s="2634" t="s">
        <v>3437</v>
      </c>
      <c r="C22" s="2632" t="s">
        <v>1058</v>
      </c>
      <c r="D22" s="2661"/>
      <c r="E22" s="2661"/>
      <c r="F22" s="2661"/>
      <c r="G22" s="2662"/>
      <c r="H22" s="2662"/>
      <c r="I22" s="2662"/>
      <c r="J22" s="2439"/>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491" t="s">
        <v>2213</v>
      </c>
      <c r="B27" s="320" t="s">
        <v>2214</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491"/>
      <c r="B28" s="302" t="s">
        <v>2215</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491"/>
      <c r="B29" s="302" t="s">
        <v>2216</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492"/>
      <c r="B30" s="302" t="s">
        <v>2217</v>
      </c>
      <c r="C30" s="3493"/>
      <c r="D30" s="3494"/>
      <c r="E30" s="2662"/>
      <c r="F30" s="2662"/>
      <c r="G30" s="2662"/>
      <c r="H30" s="2662"/>
      <c r="I30" s="2662"/>
      <c r="J30" s="2439"/>
      <c r="K30" s="2614"/>
      <c r="L30" s="2611"/>
      <c r="M30" s="2611"/>
      <c r="N30" s="2439"/>
      <c r="O30" s="2450"/>
      <c r="P30" s="2439"/>
      <c r="Q30" s="2439"/>
      <c r="R30" s="2439"/>
      <c r="S30" s="2439"/>
      <c r="T30" s="2439"/>
      <c r="U30" s="2439"/>
      <c r="V30" s="2439"/>
    </row>
    <row r="31" spans="1:28">
      <c r="A31" s="3495" t="s">
        <v>2218</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496"/>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496"/>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2219</v>
      </c>
      <c r="B34" s="2026"/>
      <c r="C34" s="2026"/>
      <c r="D34" s="2026"/>
      <c r="E34" s="2026"/>
      <c r="F34" s="2026"/>
      <c r="G34" s="2026"/>
      <c r="H34" s="2026"/>
      <c r="I34" s="2662"/>
      <c r="J34" s="2439"/>
      <c r="K34" s="2427">
        <f>COUNTIF(B34:H34,"——")</f>
        <v>0</v>
      </c>
      <c r="L34" s="323" t="s">
        <v>2220</v>
      </c>
      <c r="M34" s="323" t="s">
        <v>2221</v>
      </c>
      <c r="N34" s="323" t="s">
        <v>2222</v>
      </c>
      <c r="O34" s="323" t="s">
        <v>2223</v>
      </c>
      <c r="P34" s="323" t="s">
        <v>2224</v>
      </c>
      <c r="Q34" s="323" t="s">
        <v>2225</v>
      </c>
      <c r="R34" s="323" t="s">
        <v>2226</v>
      </c>
      <c r="S34" s="3490" t="s">
        <v>2227</v>
      </c>
      <c r="T34" s="2428" t="str">
        <f>NUMBERSTRING(7-K34,1)&amp;"通"</f>
        <v>七通</v>
      </c>
      <c r="U34" s="2439"/>
      <c r="V34" s="2439"/>
    </row>
    <row r="35" spans="1:30">
      <c r="A35" s="2429"/>
      <c r="B35" s="3497" t="s">
        <v>2228</v>
      </c>
      <c r="C35" s="3497"/>
      <c r="D35" s="3497"/>
      <c r="E35" s="3497"/>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2577</v>
      </c>
      <c r="G36" s="2662"/>
      <c r="H36" s="2662"/>
      <c r="I36" s="2662"/>
      <c r="J36" s="2439"/>
      <c r="K36" s="2614"/>
      <c r="L36" s="2611"/>
      <c r="M36" s="2611"/>
      <c r="N36" s="2439"/>
      <c r="O36" s="2450"/>
      <c r="P36" s="2439"/>
      <c r="Q36" s="2439"/>
      <c r="R36" s="2439"/>
      <c r="S36" s="2439"/>
      <c r="T36" s="2439"/>
      <c r="U36" s="2439"/>
      <c r="V36" s="2439"/>
    </row>
    <row r="37" spans="1:30">
      <c r="A37" s="2628" t="s">
        <v>2229</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2230</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2232</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K41" sqref="K41"/>
      <selection pane="topRight" activeCell="K41" sqref="K41"/>
      <selection pane="bottomLeft" activeCell="K41" sqref="K41"/>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121.35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121.35</v>
      </c>
      <c r="H5" s="13">
        <f t="shared" ref="H5:AT5" si="0">SUM(H13:H656)</f>
        <v>121.35</v>
      </c>
      <c r="I5" s="13">
        <f t="shared" si="0"/>
        <v>121.35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121.35</v>
      </c>
      <c r="BA5" s="15">
        <f t="shared" si="1"/>
        <v>121.35</v>
      </c>
      <c r="BB5" s="15">
        <f t="shared" si="1"/>
        <v>121.35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0</v>
      </c>
      <c r="F13" s="29"/>
      <c r="G13" s="30">
        <f>H13+AC13+AT13</f>
        <v>121.35</v>
      </c>
      <c r="H13" s="17">
        <f>SUMIF(I$12:AB$12,"总值",I13:AB13)</f>
        <v>121.35</v>
      </c>
      <c r="I13" s="1626">
        <v>121.35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121.35</v>
      </c>
      <c r="BA13" s="13">
        <f>SUM(BB13:BK13)</f>
        <v>121.35</v>
      </c>
      <c r="BB13" s="13">
        <f>IF($D13="是",I13-J13,0)</f>
        <v>121.35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7"/>
      <c r="G2" s="2648"/>
      <c r="H2" s="2649"/>
      <c r="I2" s="2325" t="s">
        <v>1132</v>
      </c>
      <c r="J2" s="2657"/>
      <c r="K2" s="2657"/>
      <c r="L2" s="2657"/>
      <c r="M2" s="2657"/>
      <c r="N2" s="2659"/>
      <c r="O2" s="2657"/>
      <c r="P2" s="2657"/>
    </row>
    <row r="3" spans="1:16" ht="15.75" thickBot="1">
      <c r="A3" s="3530" t="s">
        <v>1105</v>
      </c>
      <c r="B3" s="3530"/>
      <c r="C3" s="3530"/>
      <c r="D3" s="43">
        <f>'数据-基础表'!AY6</f>
        <v>0</v>
      </c>
      <c r="E3" s="43">
        <f>'数据-基础表'!AZ5</f>
        <v>121.35</v>
      </c>
      <c r="F3" s="2657"/>
      <c r="G3" s="1145"/>
      <c r="H3" s="1026" t="s">
        <v>1106</v>
      </c>
      <c r="I3" s="855" t="e">
        <f>ROUND('数据-基础表'!B3/'数据-基础表'!A3,2)</f>
        <v>#DIV/0!</v>
      </c>
      <c r="J3" s="2657"/>
      <c r="K3" s="2657"/>
      <c r="L3" s="2657"/>
      <c r="M3" s="2657"/>
      <c r="N3" s="2659"/>
      <c r="O3" s="2657"/>
      <c r="P3" s="2657"/>
    </row>
    <row r="4" spans="1:16" ht="15">
      <c r="A4" s="3531"/>
      <c r="B4" s="3532"/>
      <c r="C4" s="353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34" t="s">
        <v>1110</v>
      </c>
      <c r="C5" s="3534"/>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34" t="s">
        <v>1111</v>
      </c>
      <c r="C6" s="3534"/>
      <c r="D6" s="45">
        <f>ROUND($D$3*E6/$E$3,2)</f>
        <v>0</v>
      </c>
      <c r="E6" s="46">
        <f>E3-E5</f>
        <v>121.35</v>
      </c>
      <c r="F6" s="2657"/>
      <c r="G6" s="2651" t="s">
        <v>1112</v>
      </c>
      <c r="H6" s="1146" t="s">
        <v>1113</v>
      </c>
      <c r="I6" s="2652" t="e">
        <f>ROUND(F31/D31,2)</f>
        <v>#DIV/0!</v>
      </c>
      <c r="J6" s="2657"/>
      <c r="K6" s="2657"/>
      <c r="L6" s="2657"/>
      <c r="M6" s="2657"/>
      <c r="N6" s="2657"/>
      <c r="O6" s="2657"/>
      <c r="P6" s="2657"/>
    </row>
    <row r="7" spans="1:16" ht="15.75" thickBot="1">
      <c r="A7" s="3526"/>
      <c r="B7" s="3527"/>
      <c r="C7" s="3528"/>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121.35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121.35</v>
      </c>
      <c r="F16" s="2657"/>
      <c r="G16" s="2658"/>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3394</v>
      </c>
      <c r="D19" s="45">
        <f>ROUND($D$3*E19/$E$3,2)</f>
        <v>0</v>
      </c>
      <c r="E19" s="53">
        <f t="shared" ref="E19:E26" si="1">SUM(F19:G19)</f>
        <v>121.35</v>
      </c>
      <c r="F19" s="2793">
        <f>'数据-基础表'!I5</f>
        <v>121.35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121.35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121.35</v>
      </c>
      <c r="F27" s="1140">
        <f>IF(SUM(F19:F26)=E8,SUM(F19:F26),"地上面积有误")</f>
        <v>121.35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121.35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121.35</v>
      </c>
      <c r="F31" s="677">
        <f>F27+F30</f>
        <v>121.35</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K41" sqref="K41"/>
      <selection pane="topRight" activeCell="K41" sqref="K41"/>
      <selection pane="bottomLeft" activeCell="K41" sqref="K41"/>
      <selection pane="bottomRight" activeCell="W6" sqref="W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公寓</v>
      </c>
      <c r="B6" s="1713" t="str">
        <f>IF(A6=0,"","经营性")</f>
        <v>经营性</v>
      </c>
      <c r="C6" s="1714" t="s">
        <v>673</v>
      </c>
      <c r="D6" s="858">
        <f>SUMIF(项目基本情况!C$12:I$12,C6,项目基本情况!C$14:I$14)</f>
        <v>40</v>
      </c>
      <c r="E6" s="857">
        <f>IF(B6="","",SUMIF(项目基本情况!C$12:I$12,C6,项目基本情况!C$13:I$13))</f>
        <v>53454</v>
      </c>
      <c r="F6" s="64">
        <f>SUMIF(项目基本情况!C$12:I$12,C6,项目基本情况!C$15:I$15)</f>
        <v>23</v>
      </c>
      <c r="G6" s="65">
        <f>IF(ISERROR(ROUND(POWER(1+H6,D6-F6)*(POWER(1+H6,F6)-1)/(POWER(1+H6,D6)-1),3)),0,ROUND(POWER(1+H6,D6-F6)*(POWER(1+H6,F6)-1)/(POWER(1+H6,D6)-1),3))</f>
        <v>0.78600000000000003</v>
      </c>
      <c r="H6" s="732">
        <v>0.05</v>
      </c>
      <c r="I6" s="732">
        <v>5.5E-2</v>
      </c>
      <c r="J6" s="66">
        <v>0.08</v>
      </c>
      <c r="K6" s="1030">
        <f>SUMIF('数据-汇总表'!C$19:C$33,A6,'数据-汇总表'!E$19:E$33)</f>
        <v>121.35</v>
      </c>
      <c r="L6" s="733">
        <v>4000</v>
      </c>
      <c r="M6" s="67">
        <f t="shared" ref="M6:M14" si="0">ROUND(K6*L6/10000,0)</f>
        <v>49</v>
      </c>
      <c r="N6" s="731">
        <f>ROUND((N19+N20)/2,1)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2.2999999999999998</v>
      </c>
      <c r="V6" s="70">
        <v>0.03</v>
      </c>
      <c r="W6" s="70">
        <v>0.1</v>
      </c>
      <c r="X6" s="1040"/>
      <c r="Y6" s="71">
        <f>N6</f>
        <v>0.8</v>
      </c>
      <c r="Z6" s="72"/>
      <c r="AA6" s="66"/>
      <c r="AB6" s="66"/>
      <c r="AC6" s="1040"/>
      <c r="AD6" s="73"/>
      <c r="AE6" s="1041">
        <f ca="1">IF(AN6="",0,SUMIF(INDIRECT("'"&amp;AN6&amp;"'"&amp;"!E:E"),$AE$5,INDIRECT("'"&amp;AN6&amp;"'"&amp;"!F:F")))</f>
        <v>23</v>
      </c>
      <c r="AF6" s="1348"/>
      <c r="AG6" s="138">
        <f>IF(AF6="",0,AE6-AF6)</f>
        <v>0</v>
      </c>
      <c r="AH6" s="74"/>
      <c r="AI6" s="76">
        <v>365</v>
      </c>
      <c r="AJ6" s="77"/>
      <c r="AK6" s="78">
        <v>0.01</v>
      </c>
      <c r="AL6" s="79">
        <v>1.5E-3</v>
      </c>
      <c r="AM6" s="80">
        <v>0.01</v>
      </c>
      <c r="AN6" s="1715" t="s">
        <v>3398</v>
      </c>
      <c r="AO6" s="52">
        <f ca="1">SUMIF(INDIRECT("'"&amp;AN6&amp;"'"&amp;"!A:A"),"总价",INDIRECT("'"&amp;AN6&amp;"'"&amp;"!B:B"))</f>
        <v>134.8631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0.78600000000000003</v>
      </c>
      <c r="H16" s="90">
        <f>ROUND(SUMPRODUCT(H6:H13,K6:K13)/SUMPRODUCT((H6:H13&gt;0)*(K6:K13)),3)</f>
        <v>0.05</v>
      </c>
      <c r="I16" s="91"/>
      <c r="J16" s="91"/>
      <c r="K16" s="92">
        <f>SUM(K6:K15)</f>
        <v>121.35</v>
      </c>
      <c r="L16" s="93">
        <f>ROUND(M16*10000/SUM(K6:K14),0)</f>
        <v>4038</v>
      </c>
      <c r="M16" s="93">
        <f>SUM(M6:M14)</f>
        <v>49</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789" t="s">
        <v>3396</v>
      </c>
      <c r="N18" s="2669">
        <v>2008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2300</v>
      </c>
      <c r="D19" s="2674"/>
      <c r="E19" s="2671"/>
      <c r="F19" s="2671"/>
      <c r="G19" s="2671"/>
      <c r="H19" s="2671"/>
      <c r="I19" s="2671"/>
      <c r="J19" s="2671"/>
      <c r="K19" s="2670"/>
      <c r="L19" s="2670"/>
      <c r="M19" s="3789" t="s">
        <v>3397</v>
      </c>
      <c r="N19" s="2669">
        <f>ROUND(1-(1-0%)*(2023-N18)/60,2)</f>
        <v>0.75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2298</v>
      </c>
      <c r="D20" s="2674"/>
      <c r="E20" s="2671"/>
      <c r="F20" s="2671"/>
      <c r="G20" s="2671"/>
      <c r="H20" s="2671"/>
      <c r="I20" s="2671"/>
      <c r="J20" s="2671"/>
      <c r="K20" s="2670"/>
      <c r="L20" s="2670"/>
      <c r="M20" s="3789" t="s">
        <v>3436</v>
      </c>
      <c r="N20" s="3798">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ROUND(B28*K16/10000,2)</f>
        <v>2.4300000000000002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3399</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K41" sqref="K41"/>
      <selection pane="topRight" activeCell="K41" sqref="K41"/>
      <selection pane="bottomLeft" activeCell="K41" sqref="K41"/>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35" t="s">
        <v>2281</v>
      </c>
      <c r="B1" s="3536"/>
      <c r="C1" s="3536"/>
      <c r="D1" s="3536"/>
      <c r="E1" s="3536"/>
      <c r="F1" s="3536"/>
      <c r="G1" s="353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25.5">
      <c r="A3" s="2441" t="s">
        <v>2279</v>
      </c>
      <c r="B3" s="2463" t="s">
        <v>2251</v>
      </c>
      <c r="C3" s="3790" t="s">
        <v>3402</v>
      </c>
      <c r="D3" s="2464"/>
      <c r="E3" s="2442" t="s">
        <v>2279</v>
      </c>
      <c r="F3" s="2465" t="s">
        <v>2252</v>
      </c>
      <c r="G3" s="2466" t="s">
        <v>2280</v>
      </c>
      <c r="H3" s="799"/>
      <c r="I3" s="799"/>
      <c r="J3" s="799"/>
      <c r="K3" s="799"/>
      <c r="L3" s="799"/>
      <c r="M3" s="799"/>
      <c r="N3" s="799"/>
      <c r="O3" s="799"/>
      <c r="P3" s="799"/>
      <c r="Q3" s="799"/>
      <c r="R3" s="799"/>
    </row>
    <row r="4" spans="1:29" ht="36">
      <c r="A4" s="2442"/>
      <c r="B4" s="323" t="s">
        <v>2253</v>
      </c>
      <c r="C4" s="3791" t="s">
        <v>3403</v>
      </c>
      <c r="D4" s="2464"/>
      <c r="E4" s="2467"/>
      <c r="F4" s="1373" t="s">
        <v>2254</v>
      </c>
      <c r="G4" s="2468" t="s">
        <v>2255</v>
      </c>
      <c r="H4" s="799"/>
      <c r="I4" s="799"/>
      <c r="J4" s="799"/>
      <c r="K4" s="799"/>
      <c r="L4" s="799"/>
      <c r="M4" s="799"/>
      <c r="N4" s="799"/>
      <c r="O4" s="799"/>
      <c r="P4" s="799"/>
      <c r="Q4" s="799"/>
      <c r="R4" s="799"/>
    </row>
    <row r="5" spans="1:29" ht="24">
      <c r="A5" s="2442"/>
      <c r="B5" s="323" t="s">
        <v>2256</v>
      </c>
      <c r="C5" s="3791" t="s">
        <v>3404</v>
      </c>
      <c r="D5" s="2464"/>
      <c r="E5" s="2467"/>
      <c r="F5" s="323" t="s">
        <v>2257</v>
      </c>
      <c r="G5" s="2468" t="s">
        <v>2258</v>
      </c>
      <c r="H5" s="799"/>
      <c r="I5" s="799"/>
      <c r="J5" s="799"/>
      <c r="K5" s="799"/>
      <c r="L5" s="799"/>
      <c r="M5" s="799"/>
      <c r="N5" s="799"/>
      <c r="O5" s="799"/>
      <c r="P5" s="799"/>
      <c r="Q5" s="799"/>
      <c r="R5" s="799"/>
    </row>
    <row r="6" spans="1:29">
      <c r="A6" s="2442"/>
      <c r="B6" s="323" t="s">
        <v>2259</v>
      </c>
      <c r="C6" s="3792" t="s">
        <v>3405</v>
      </c>
      <c r="D6" s="2464"/>
      <c r="E6" s="2467"/>
      <c r="F6" s="323" t="s">
        <v>2260</v>
      </c>
      <c r="G6" s="2468" t="s">
        <v>2261</v>
      </c>
      <c r="H6" s="799"/>
      <c r="I6" s="799"/>
      <c r="J6" s="799"/>
      <c r="K6" s="799"/>
      <c r="L6" s="799"/>
      <c r="M6" s="799"/>
      <c r="N6" s="799"/>
      <c r="O6" s="799"/>
      <c r="P6" s="799"/>
      <c r="Q6" s="799"/>
      <c r="R6" s="799"/>
    </row>
    <row r="7" spans="1:29" ht="24.75" thickBot="1">
      <c r="A7" s="2442"/>
      <c r="B7" s="323" t="s">
        <v>2257</v>
      </c>
      <c r="C7" s="3792" t="s">
        <v>3406</v>
      </c>
      <c r="D7" s="2469"/>
      <c r="E7" s="2470"/>
      <c r="F7" s="2471" t="s">
        <v>2262</v>
      </c>
      <c r="G7" s="2472" t="s">
        <v>2263</v>
      </c>
      <c r="H7" s="799"/>
      <c r="I7" s="799"/>
      <c r="J7" s="799"/>
      <c r="K7" s="799"/>
      <c r="L7" s="799"/>
      <c r="M7" s="799"/>
      <c r="N7" s="799"/>
      <c r="O7" s="799"/>
      <c r="P7" s="799"/>
      <c r="Q7" s="799"/>
      <c r="R7" s="799"/>
    </row>
    <row r="8" spans="1:29">
      <c r="A8" s="2442"/>
      <c r="B8" s="323" t="s">
        <v>2260</v>
      </c>
      <c r="C8" s="3792" t="s">
        <v>3408</v>
      </c>
      <c r="D8" s="2469"/>
      <c r="E8" s="2469"/>
      <c r="F8" s="2473"/>
      <c r="G8" s="2473"/>
      <c r="H8" s="799"/>
      <c r="I8" s="799"/>
      <c r="J8" s="799"/>
      <c r="K8" s="799"/>
      <c r="L8" s="799"/>
      <c r="M8" s="799"/>
      <c r="N8" s="799"/>
      <c r="O8" s="799"/>
      <c r="P8" s="799"/>
      <c r="Q8" s="799"/>
      <c r="R8" s="799"/>
    </row>
    <row r="9" spans="1:29">
      <c r="A9" s="2442"/>
      <c r="B9" s="323" t="s">
        <v>2264</v>
      </c>
      <c r="C9" s="3791" t="s">
        <v>3406</v>
      </c>
      <c r="D9" s="2464"/>
      <c r="E9" s="2469"/>
      <c r="F9" s="2473"/>
      <c r="G9" s="2473"/>
      <c r="H9" s="799"/>
      <c r="I9" s="799"/>
      <c r="J9" s="799"/>
      <c r="K9" s="799"/>
      <c r="L9" s="799"/>
      <c r="M9" s="799"/>
      <c r="N9" s="799"/>
      <c r="O9" s="799"/>
      <c r="P9" s="799"/>
      <c r="Q9" s="799"/>
      <c r="R9" s="799"/>
    </row>
    <row r="10" spans="1:29" s="2479" customFormat="1" ht="15" thickBot="1">
      <c r="A10" s="2443"/>
      <c r="B10" s="2474" t="s">
        <v>2265</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2282</v>
      </c>
      <c r="B13" s="2482"/>
      <c r="C13" s="2482"/>
      <c r="D13" s="2480"/>
      <c r="E13" s="2482"/>
      <c r="F13" s="2482"/>
      <c r="G13" s="2482"/>
    </row>
    <row r="14" spans="1:29" ht="15" thickBot="1">
      <c r="A14" s="2492"/>
      <c r="B14" s="2492"/>
      <c r="C14" s="2493" t="s">
        <v>2266</v>
      </c>
      <c r="D14" s="2464"/>
      <c r="E14" s="2494"/>
      <c r="F14" s="2494"/>
      <c r="G14" s="2460" t="s">
        <v>2267</v>
      </c>
    </row>
    <row r="15" spans="1:29" ht="51">
      <c r="A15" s="2444" t="s">
        <v>2268</v>
      </c>
      <c r="B15" s="2495" t="s">
        <v>2251</v>
      </c>
      <c r="C15" s="2496" t="str">
        <f>C3</f>
        <v>一般</v>
      </c>
      <c r="D15" s="2464"/>
      <c r="E15" s="2445" t="s">
        <v>2269</v>
      </c>
      <c r="F15" s="2495" t="s">
        <v>2270</v>
      </c>
      <c r="G15" s="2497" t="str">
        <f>G3</f>
        <v>估价对象位于XX开发区，园区建设成熟度XX，产业集聚程度XX</v>
      </c>
    </row>
    <row r="16" spans="1:29" ht="38.25">
      <c r="A16" s="2446"/>
      <c r="B16" s="2498" t="s">
        <v>2253</v>
      </c>
      <c r="C16" s="2499" t="str">
        <f>C4</f>
        <v>一般</v>
      </c>
      <c r="D16" s="2464"/>
      <c r="E16" s="2447"/>
      <c r="F16" s="2500" t="s">
        <v>2254</v>
      </c>
      <c r="G16" s="2501" t="str">
        <f>G4</f>
        <v>估价对象周边道路状况、公共交通通达情况、停车便捷程度，综合评价交通便捷度较好</v>
      </c>
    </row>
    <row r="17" spans="1:18" ht="38.25">
      <c r="A17" s="2446"/>
      <c r="B17" s="2498" t="s">
        <v>2256</v>
      </c>
      <c r="C17" s="2499" t="str">
        <f>C5</f>
        <v>较好</v>
      </c>
      <c r="D17" s="2469"/>
      <c r="E17" s="2447"/>
      <c r="F17" s="2500" t="s">
        <v>2271</v>
      </c>
      <c r="G17" s="2502"/>
    </row>
    <row r="18" spans="1:18" ht="38.25">
      <c r="A18" s="2446"/>
      <c r="B18" s="2500" t="s">
        <v>2259</v>
      </c>
      <c r="C18" s="2501" t="str">
        <f>C6</f>
        <v>较好</v>
      </c>
      <c r="D18" s="2469"/>
      <c r="E18" s="2447"/>
      <c r="F18" s="2500" t="s">
        <v>2262</v>
      </c>
      <c r="G18" s="2501" t="str">
        <f>G7</f>
        <v>该园区内是否有污染型企业，绿化情况，卫生条件，整体环境状况判断</v>
      </c>
    </row>
    <row r="19" spans="1:18" ht="25.5">
      <c r="A19" s="2446"/>
      <c r="B19" s="2500" t="s">
        <v>2272</v>
      </c>
      <c r="C19" s="2502"/>
      <c r="D19" s="2464"/>
      <c r="E19" s="2447"/>
      <c r="F19" s="323" t="s">
        <v>2257</v>
      </c>
      <c r="G19" s="2501" t="str">
        <f>G5</f>
        <v>估价对象所在区域公共配套设施齐备情况</v>
      </c>
    </row>
    <row r="20" spans="1:18" ht="25.5">
      <c r="A20" s="2446"/>
      <c r="B20" s="2500" t="s">
        <v>2273</v>
      </c>
      <c r="C20" s="2499" t="str">
        <f>C9</f>
        <v>一般</v>
      </c>
      <c r="D20" s="2469"/>
      <c r="E20" s="2447"/>
      <c r="F20" s="323" t="s">
        <v>2260</v>
      </c>
      <c r="G20" s="2501" t="str">
        <f>G6</f>
        <v>估价对象所在区域基础设施水平</v>
      </c>
    </row>
    <row r="21" spans="1:18" ht="25.5">
      <c r="A21" s="2446"/>
      <c r="B21" s="323" t="s">
        <v>2257</v>
      </c>
      <c r="C21" s="2501" t="str">
        <f>C7</f>
        <v>一般</v>
      </c>
      <c r="D21" s="2464"/>
      <c r="E21" s="2447"/>
      <c r="F21" s="2500" t="s">
        <v>2274</v>
      </c>
      <c r="G21" s="2503"/>
    </row>
    <row r="22" spans="1:18" ht="13.5" customHeight="1">
      <c r="A22" s="2446"/>
      <c r="B22" s="323" t="s">
        <v>2260</v>
      </c>
      <c r="C22" s="2501" t="str">
        <f>C8</f>
        <v>七通</v>
      </c>
      <c r="D22" s="2464"/>
      <c r="E22" s="2447"/>
      <c r="F22" s="2500" t="s">
        <v>2265</v>
      </c>
      <c r="G22" s="2502"/>
    </row>
    <row r="23" spans="1:18" s="799" customFormat="1" ht="15" thickBot="1">
      <c r="A23" s="2446"/>
      <c r="B23" s="2500" t="s">
        <v>2274</v>
      </c>
      <c r="C23" s="2503"/>
      <c r="D23" s="1741"/>
      <c r="E23" s="2448"/>
      <c r="F23" s="2504" t="s">
        <v>2275</v>
      </c>
      <c r="G23" s="2505"/>
      <c r="H23" s="2489"/>
      <c r="I23" s="2490"/>
      <c r="J23" s="2489"/>
      <c r="K23" s="2489"/>
      <c r="L23" s="2490"/>
      <c r="M23" s="2489"/>
      <c r="N23" s="2489"/>
      <c r="O23" s="2490"/>
      <c r="P23" s="2489"/>
      <c r="Q23" s="2489"/>
      <c r="R23" s="2491"/>
    </row>
    <row r="24" spans="1:18" s="799" customFormat="1" ht="15" thickBot="1">
      <c r="A24" s="2449"/>
      <c r="B24" s="2504" t="s">
        <v>2276</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F5" sqref="F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121.35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45056</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218</v>
      </c>
      <c r="C5" s="2510">
        <f ca="1">IF(B5=D14,结果表!H102,ROUND(B5*10000/$B$1,0))</f>
        <v>18083</v>
      </c>
      <c r="D5" s="2510" t="e">
        <f>ROUND(B5*10000/$B$2,0)</f>
        <v>#DIV/0!</v>
      </c>
      <c r="E5" s="2684"/>
      <c r="F5" s="2685"/>
      <c r="G5" s="2685"/>
      <c r="H5" s="2686"/>
      <c r="I5" s="2686"/>
      <c r="J5" s="2686"/>
      <c r="K5" s="2686"/>
    </row>
    <row r="6" spans="1:11" ht="16.5">
      <c r="A6" s="2510" t="s">
        <v>656</v>
      </c>
      <c r="B6" s="2510">
        <f>SUM(G14:G23)</f>
        <v>218</v>
      </c>
      <c r="C6" s="2510">
        <f ca="1">IF(B6=G14,结果表!H108,ROUND(B6*10000/$B$1,0))</f>
        <v>18083</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121.35</v>
      </c>
      <c r="C14" s="2516"/>
      <c r="D14" s="2516">
        <f>ROUND(E14*B14/10000,0)</f>
        <v>218</v>
      </c>
      <c r="E14" s="2516">
        <v>18000</v>
      </c>
      <c r="F14" s="2516" t="e">
        <f>ROUND(D14*10000/C14,0)</f>
        <v>#DIV/0!</v>
      </c>
      <c r="G14" s="2516">
        <f>D14</f>
        <v>218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90" zoomScaleNormal="100" zoomScaleSheetLayoutView="90" zoomScalePageLayoutView="80" workbookViewId="0">
      <selection activeCell="J20" sqref="J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1" t="str">
        <f>项目基本情况!S2</f>
        <v>北京市北京经济技术开发区荣华南路16号1幢10层A座1002房地产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3434</v>
      </c>
      <c r="D4" s="1756" t="s">
        <v>3398</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v>7</v>
      </c>
      <c r="D14" s="3574">
        <f>10-C14</f>
        <v>3</v>
      </c>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1" t="s">
        <v>2131</v>
      </c>
      <c r="F18" s="3562"/>
      <c r="G18" s="3562"/>
      <c r="H18" s="3562"/>
      <c r="I18" s="3562"/>
      <c r="K18" s="302" t="s">
        <v>1289</v>
      </c>
      <c r="L18" s="302">
        <f>IF(C1="",'数据-汇总表'!E3,SUMIF(项目类型,C1,'数据-汇总表'!E17:E26)+SUMIF(项目类型,C1,'数据-汇总表'!I17:I26))</f>
        <v>121.35</v>
      </c>
      <c r="M18" s="302">
        <f>IF(C1="",'数据-汇总表'!E3,SUMIF(项目类型,C1,'数据-汇总表'!E17:E26))</f>
        <v>121.35</v>
      </c>
    </row>
    <row r="19" spans="1:36" ht="15">
      <c r="A19" s="1761" t="s">
        <v>1290</v>
      </c>
      <c r="B19" s="1762" t="s">
        <v>1291</v>
      </c>
      <c r="C19" s="134">
        <f ca="1">SUMIF(INDIRECT("'"&amp;C4&amp;"'"&amp;"!A:A"),结果表!B19,INDIRECT("'"&amp;C4&amp;"'"&amp;"!B:B"))</f>
        <v>255.68450000000001</v>
      </c>
      <c r="D19" s="135">
        <f ca="1">SUMIF(INDIRECT("'"&amp;D4&amp;"'"&amp;"!A:A"),结果表!B19,INDIRECT("'"&amp;D4&amp;"'"&amp;"!B:B"))</f>
        <v>134.8631</v>
      </c>
      <c r="E19" s="1761" t="s">
        <v>1292</v>
      </c>
      <c r="F19" s="1762" t="s">
        <v>1291</v>
      </c>
      <c r="G19" s="136">
        <f ca="1">ROUND(C19*$C$18+D19*$D$18,0)</f>
        <v>219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21070</v>
      </c>
      <c r="D20" s="138">
        <f ca="1">SUMIF(INDIRECT("'"&amp;D4&amp;"'"&amp;"!A:A"),结果表!B20,INDIRECT("'"&amp;D4&amp;"'"&amp;"!B:B"))</f>
        <v>11114</v>
      </c>
      <c r="E20" s="1764"/>
      <c r="F20" s="1026" t="s">
        <v>1295</v>
      </c>
      <c r="G20" s="139">
        <f ca="1">ROUND(C20*$C$18+D20*$D$18,0)</f>
        <v>18083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0.89588182386434845</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18083</v>
      </c>
      <c r="D32" s="1775" t="s">
        <v>3438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42" t="s">
        <v>1326</v>
      </c>
      <c r="B45" s="3543"/>
      <c r="C45" s="3544"/>
      <c r="D45" s="155">
        <f ca="1">ROUND(H101*F45,0)</f>
        <v>219</v>
      </c>
      <c r="E45" s="156" t="s">
        <v>1327</v>
      </c>
      <c r="F45" s="157">
        <v>1</v>
      </c>
      <c r="G45" s="158" t="s">
        <v>1328</v>
      </c>
      <c r="H45" s="129"/>
      <c r="I45" s="129"/>
      <c r="J45" s="3620" t="s">
        <v>1329</v>
      </c>
      <c r="K45" s="3620"/>
      <c r="L45" s="3620"/>
      <c r="M45" s="3620"/>
      <c r="N45" s="3620"/>
      <c r="O45" s="3620"/>
    </row>
    <row r="46" spans="1:15" ht="14.25" hidden="1" customHeight="1">
      <c r="A46" s="3539" t="s">
        <v>1330</v>
      </c>
      <c r="B46" s="3540"/>
      <c r="C46" s="3540"/>
      <c r="D46" s="3540"/>
      <c r="E46" s="3540"/>
      <c r="F46" s="3540"/>
      <c r="G46" s="3541"/>
      <c r="H46" s="1806"/>
      <c r="I46" s="159"/>
      <c r="J46" s="2521">
        <v>1</v>
      </c>
      <c r="K46" s="3601" t="s">
        <v>1331</v>
      </c>
      <c r="L46" s="3601"/>
      <c r="M46" s="3621"/>
      <c r="N46" s="3621"/>
      <c r="O46" s="3621"/>
    </row>
    <row r="47" spans="1:15" ht="12" hidden="1" customHeight="1">
      <c r="A47" s="160" t="s">
        <v>1332</v>
      </c>
      <c r="B47" s="161"/>
      <c r="C47" s="162"/>
      <c r="D47" s="1087" t="s">
        <v>1333</v>
      </c>
      <c r="E47" s="302" t="s">
        <v>1334</v>
      </c>
      <c r="F47" s="163" t="s">
        <v>1335</v>
      </c>
      <c r="G47" s="2544" t="s">
        <v>1336</v>
      </c>
      <c r="H47" s="2545"/>
      <c r="I47" s="159"/>
      <c r="J47" s="2521">
        <v>2</v>
      </c>
      <c r="K47" s="3601" t="s">
        <v>1337</v>
      </c>
      <c r="L47" s="3601"/>
      <c r="M47" s="3622">
        <f>'数据-取费表'!B2</f>
        <v>45056</v>
      </c>
      <c r="N47" s="3622"/>
      <c r="O47" s="3622"/>
    </row>
    <row r="48" spans="1:15" ht="25.5" hidden="1">
      <c r="A48" s="3570" t="s">
        <v>1338</v>
      </c>
      <c r="B48" s="3553"/>
      <c r="C48" s="355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1" t="s">
        <v>1340</v>
      </c>
      <c r="L48" s="3601"/>
      <c r="M48" s="3623">
        <f ca="1">H101</f>
        <v>219</v>
      </c>
      <c r="N48" s="3623"/>
      <c r="O48" s="3623"/>
    </row>
    <row r="49" spans="1:35" ht="25.5" hidden="1" customHeight="1">
      <c r="A49" s="2333" t="s">
        <v>1341</v>
      </c>
      <c r="B49" s="3537" t="s">
        <v>1342</v>
      </c>
      <c r="C49" s="3537"/>
      <c r="D49" s="1590">
        <v>0</v>
      </c>
      <c r="E49" s="324" t="s">
        <v>1343</v>
      </c>
      <c r="F49" s="2424" t="s">
        <v>28</v>
      </c>
      <c r="G49" s="3607"/>
      <c r="H49" s="2310" t="s">
        <v>2134</v>
      </c>
      <c r="I49" s="2311"/>
      <c r="J49" s="2521">
        <v>4</v>
      </c>
      <c r="K49" s="3601" t="str">
        <f>IF(项目基本情况!E8="房地产抵押价值","房地产抵押价值","抵押担保权已注销时的房地产抵押价值")</f>
        <v>房地产抵押价值</v>
      </c>
      <c r="L49" s="3601"/>
      <c r="M49" s="3623">
        <f ca="1">IF(项目基本情况!E8="房地产抵押价值",H107,H109)</f>
        <v>219</v>
      </c>
      <c r="N49" s="3623"/>
      <c r="O49" s="3623"/>
    </row>
    <row r="50" spans="1:35" ht="25.5" hidden="1" customHeight="1">
      <c r="A50" s="2549"/>
      <c r="B50" s="3537" t="s">
        <v>1344</v>
      </c>
      <c r="C50" s="3537"/>
      <c r="D50" s="2550"/>
      <c r="E50" s="332"/>
      <c r="F50" s="2424"/>
      <c r="G50" s="3608"/>
      <c r="H50" s="2312" t="s">
        <v>2135</v>
      </c>
      <c r="I50" s="2311"/>
      <c r="J50" s="3620" t="s">
        <v>1345</v>
      </c>
      <c r="K50" s="3620"/>
      <c r="L50" s="3620"/>
      <c r="M50" s="3620"/>
      <c r="N50" s="3620"/>
      <c r="O50" s="3620"/>
    </row>
    <row r="51" spans="1:35" ht="20.45" hidden="1" customHeight="1">
      <c r="A51" s="2551"/>
      <c r="B51" s="3537" t="s">
        <v>1346</v>
      </c>
      <c r="C51" s="3537"/>
      <c r="D51" s="1087"/>
      <c r="E51" s="327"/>
      <c r="F51" s="2424"/>
      <c r="G51" s="3609"/>
      <c r="H51" s="2312" t="s">
        <v>2136</v>
      </c>
      <c r="I51" s="2311"/>
      <c r="J51" s="2522" t="s">
        <v>1347</v>
      </c>
      <c r="K51" s="3601" t="s">
        <v>1348</v>
      </c>
      <c r="L51" s="3601"/>
      <c r="M51" s="2522" t="s">
        <v>1349</v>
      </c>
      <c r="N51" s="2522" t="s">
        <v>1350</v>
      </c>
      <c r="O51" s="2522" t="s">
        <v>1351</v>
      </c>
    </row>
    <row r="52" spans="1:35" ht="24" hidden="1" customHeight="1">
      <c r="A52" s="2335" t="s">
        <v>1352</v>
      </c>
      <c r="B52" s="3537" t="s">
        <v>1353</v>
      </c>
      <c r="C52" s="3537"/>
      <c r="D52" s="1087">
        <f ca="1">ROUND(D45*'数据-取费表'!B41/(1+'数据-取费表'!C42),0)</f>
        <v>11</v>
      </c>
      <c r="E52" s="2334" t="s">
        <v>1354</v>
      </c>
      <c r="F52" s="2552">
        <f>'数据-取费表'!B41</f>
        <v>5.5000000000000007E-2</v>
      </c>
      <c r="G52" s="2553"/>
      <c r="H52" s="2542"/>
      <c r="I52" s="1807"/>
      <c r="J52" s="2521">
        <v>1</v>
      </c>
      <c r="K52" s="3602" t="s">
        <v>1355</v>
      </c>
      <c r="L52" s="3602"/>
      <c r="M52" s="2523" t="b">
        <f>D48</f>
        <v>0</v>
      </c>
      <c r="N52" s="2521" t="str">
        <f>E48</f>
        <v>销售额×税（费）率</v>
      </c>
      <c r="O52" s="2524">
        <f>F48</f>
        <v>5.5000000000000007E-2</v>
      </c>
    </row>
    <row r="53" spans="1:35" ht="12" hidden="1" customHeight="1">
      <c r="A53" s="2335" t="s">
        <v>1356</v>
      </c>
      <c r="B53" s="3563" t="s">
        <v>2286</v>
      </c>
      <c r="C53" s="3564"/>
      <c r="D53" s="1087">
        <f ca="1">ROUND(D45*'数据-取费表'!B41/(1+'数据-取费表'!C42),0)</f>
        <v>11</v>
      </c>
      <c r="E53" s="2334" t="s">
        <v>1354</v>
      </c>
      <c r="F53" s="2552">
        <f>'数据-取费表'!B41</f>
        <v>5.5000000000000007E-2</v>
      </c>
      <c r="G53" s="2553"/>
      <c r="H53" s="2542"/>
      <c r="I53" s="1807"/>
      <c r="J53" s="2521">
        <v>2</v>
      </c>
      <c r="K53" s="3602" t="s">
        <v>1357</v>
      </c>
      <c r="L53" s="3602"/>
      <c r="M53" s="2523">
        <f t="shared" ref="M53:O54" ca="1" si="0">D55</f>
        <v>0</v>
      </c>
      <c r="N53" s="2521" t="str">
        <f t="shared" si="0"/>
        <v>销售额×税（费）率</v>
      </c>
      <c r="O53" s="2524" t="str">
        <f t="shared" si="0"/>
        <v>免征</v>
      </c>
    </row>
    <row r="54" spans="1:35" ht="12" hidden="1" customHeight="1">
      <c r="A54" s="2335" t="s">
        <v>1358</v>
      </c>
      <c r="B54" s="3563" t="s">
        <v>2287</v>
      </c>
      <c r="C54" s="3564"/>
      <c r="D54" s="1087">
        <f ca="1">C68</f>
        <v>11</v>
      </c>
      <c r="E54" s="327" t="s">
        <v>1359</v>
      </c>
      <c r="F54" s="2552">
        <f>'数据-取费表'!B41</f>
        <v>5.5000000000000007E-2</v>
      </c>
      <c r="G54" s="2553"/>
      <c r="H54" s="2554"/>
      <c r="I54" s="1807"/>
      <c r="J54" s="2521">
        <v>3</v>
      </c>
      <c r="K54" s="3602" t="s">
        <v>1360</v>
      </c>
      <c r="L54" s="3602"/>
      <c r="M54" s="2523">
        <f t="shared" ca="1" si="0"/>
        <v>124</v>
      </c>
      <c r="N54" s="2521" t="str">
        <f t="shared" si="0"/>
        <v>增值额×税（费）率</v>
      </c>
      <c r="O54" s="2525" t="str">
        <f t="shared" si="0"/>
        <v>免征</v>
      </c>
    </row>
    <row r="55" spans="1:35" ht="24" hidden="1" customHeight="1">
      <c r="A55" s="3552" t="s">
        <v>1361</v>
      </c>
      <c r="B55" s="3553"/>
      <c r="C55" s="3553"/>
      <c r="D55" s="2324">
        <f ca="1">IF(H55="个人住宅",0,ROUND(D45*I55,0))</f>
        <v>0</v>
      </c>
      <c r="E55" s="2334"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f ca="1">D59</f>
        <v>2</v>
      </c>
      <c r="N55" s="2040" t="str">
        <f>E59</f>
        <v>差额计税</v>
      </c>
      <c r="O55" s="2527">
        <f>F59</f>
        <v>0.01</v>
      </c>
    </row>
    <row r="56" spans="1:35" ht="24.75" hidden="1">
      <c r="A56" s="3552" t="s">
        <v>1363</v>
      </c>
      <c r="B56" s="3553"/>
      <c r="C56" s="3553"/>
      <c r="D56" s="2324">
        <f ca="1">IF(H56="个人住宅",D57,D58)</f>
        <v>124</v>
      </c>
      <c r="E56" s="2334" t="s">
        <v>1364</v>
      </c>
      <c r="F56" s="2552" t="str">
        <f>IF(H56="正常",F58,"免征")</f>
        <v>免征</v>
      </c>
      <c r="G56" s="2555" t="s">
        <v>1365</v>
      </c>
      <c r="H56" s="2556"/>
      <c r="I56" s="1808"/>
      <c r="J56" s="2521" t="str">
        <f>IF(项目基本情况!K6="上海银行",IF(J55="",4,J55+1),"")</f>
        <v/>
      </c>
      <c r="K56" s="3625" t="str">
        <f>IF(项目基本情况!K6="上海银行","其他处置费用","")</f>
        <v/>
      </c>
      <c r="L56" s="3626"/>
      <c r="M56" s="2523" t="str">
        <f>IF(项目基本情况!K6="上海银行",M69,"")</f>
        <v/>
      </c>
      <c r="N56" s="3625" t="str">
        <f>IF(项目基本情况!K6="上海银行","包含处置中涉及的律师、诉讼、拍卖、评估等费用","")</f>
        <v/>
      </c>
      <c r="O56" s="3628"/>
    </row>
    <row r="57" spans="1:35" ht="12.75" hidden="1">
      <c r="A57" s="2335" t="s">
        <v>1341</v>
      </c>
      <c r="B57" s="3563" t="s">
        <v>1366</v>
      </c>
      <c r="C57" s="3564"/>
      <c r="D57" s="1590">
        <v>0</v>
      </c>
      <c r="E57" s="324" t="s">
        <v>1343</v>
      </c>
      <c r="F57" s="302"/>
      <c r="G57" s="2553"/>
      <c r="H57" s="2557"/>
      <c r="I57" s="1808"/>
      <c r="J57" s="3602">
        <f>IF(AND(J55="",J56=""),4,IF(项目基本情况!K6="上海银行",结果表!J56+1,结果表!J55+1))</f>
        <v>5</v>
      </c>
      <c r="K57" s="3602" t="s">
        <v>1367</v>
      </c>
      <c r="L57" s="2528" t="s">
        <v>1368</v>
      </c>
      <c r="M57" s="2529"/>
      <c r="N57" s="2530">
        <f ca="1">SUMIF(M52:M56,"&lt;9e307")</f>
        <v>126</v>
      </c>
      <c r="O57" s="2531"/>
      <c r="P57" s="2688">
        <f ca="1">N57/M49</f>
        <v>0.57534246575342463</v>
      </c>
    </row>
    <row r="58" spans="1:35" ht="24.75" hidden="1">
      <c r="A58" s="2335" t="s">
        <v>1352</v>
      </c>
      <c r="B58" s="3563" t="s">
        <v>1369</v>
      </c>
      <c r="C58" s="3537"/>
      <c r="D58" s="2324">
        <f ca="1">IF(H58="转让取得",C81,C97)</f>
        <v>124</v>
      </c>
      <c r="E58" s="2334" t="s">
        <v>1364</v>
      </c>
      <c r="F58" s="302" t="s">
        <v>28</v>
      </c>
      <c r="G58" s="2553"/>
      <c r="H58" s="2556"/>
      <c r="I58" s="1808"/>
      <c r="J58" s="3602"/>
      <c r="K58" s="3602"/>
      <c r="L58" s="2528" t="s">
        <v>1370</v>
      </c>
      <c r="M58" s="2532"/>
      <c r="N58" s="2533" t="str">
        <f ca="1">NUMBERSTRING(INT(N57*10000),2)&amp;"元整"</f>
        <v>壹佰贰拾陆万元整</v>
      </c>
      <c r="O58" s="2534"/>
    </row>
    <row r="59" spans="1:35" ht="24.75" hidden="1" thickBot="1">
      <c r="A59" s="3605" t="s">
        <v>1371</v>
      </c>
      <c r="B59" s="3606"/>
      <c r="C59" s="3606"/>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3">
        <f>J57+1</f>
        <v>6</v>
      </c>
      <c r="K59" s="3602" t="s">
        <v>1372</v>
      </c>
      <c r="L59" s="2521" t="s">
        <v>1368</v>
      </c>
      <c r="M59" s="2535"/>
      <c r="N59" s="2536">
        <f ca="1">M49-N57</f>
        <v>93</v>
      </c>
      <c r="O59" s="2537"/>
    </row>
    <row r="60" spans="1:35" ht="12" hidden="1" customHeight="1">
      <c r="A60" s="1809"/>
      <c r="B60" s="1747"/>
      <c r="C60" s="1747"/>
      <c r="D60" s="1747"/>
      <c r="E60" s="1578"/>
      <c r="F60" s="1808"/>
      <c r="G60" s="1808"/>
      <c r="H60" s="1810"/>
      <c r="I60" s="129"/>
      <c r="J60" s="3604"/>
      <c r="K60" s="3602"/>
      <c r="L60" s="2528" t="s">
        <v>1370</v>
      </c>
      <c r="M60" s="2532"/>
      <c r="N60" s="2533" t="str">
        <f ca="1">NUMBERSTRING(INT(N59*10000),2)&amp;"元整"</f>
        <v>玖拾叁万元整</v>
      </c>
      <c r="O60" s="2534"/>
    </row>
    <row r="61" spans="1:35" ht="13.5" hidden="1" thickBot="1">
      <c r="A61" s="3550" t="s">
        <v>1373</v>
      </c>
      <c r="B61" s="3550"/>
      <c r="C61" s="3550"/>
      <c r="D61" s="3550"/>
      <c r="E61" s="3550"/>
      <c r="F61" s="1808"/>
      <c r="G61" s="1808"/>
      <c r="H61" s="1810"/>
      <c r="I61" s="129"/>
      <c r="J61" s="2521">
        <f>J59+1</f>
        <v>7</v>
      </c>
      <c r="K61" s="3602" t="s">
        <v>1374</v>
      </c>
      <c r="L61" s="3602"/>
      <c r="M61" s="2538"/>
      <c r="N61" s="2539">
        <f ca="1">ROUND(N59*10000/'数据-汇总表'!E3,0)</f>
        <v>7664</v>
      </c>
      <c r="O61" s="2540"/>
    </row>
    <row r="62" spans="1:35" ht="12.75" hidden="1">
      <c r="A62" s="3568" t="s">
        <v>1375</v>
      </c>
      <c r="B62" s="3569"/>
      <c r="C62" s="2021"/>
      <c r="D62" s="2021" t="s">
        <v>1376</v>
      </c>
      <c r="E62" s="166" t="s">
        <v>1377</v>
      </c>
      <c r="F62" s="1808"/>
      <c r="G62" s="1808"/>
      <c r="H62" s="1810"/>
      <c r="I62" s="129"/>
    </row>
    <row r="63" spans="1:35" ht="12.75" hidden="1">
      <c r="A63" s="173" t="s">
        <v>330</v>
      </c>
      <c r="B63" s="167" t="s">
        <v>1378</v>
      </c>
      <c r="C63" s="2562">
        <f ca="1">ROUND((C64+C65)/(1+'数据-取费表'!C42),0)</f>
        <v>209</v>
      </c>
      <c r="D63" s="167"/>
      <c r="E63" s="168"/>
      <c r="F63" s="1808"/>
      <c r="G63" s="1808"/>
      <c r="H63" s="1810"/>
      <c r="I63" s="129"/>
      <c r="J63" s="3627" t="s">
        <v>1379</v>
      </c>
      <c r="K63" s="1332" t="s">
        <v>1380</v>
      </c>
      <c r="L63" s="1332">
        <f ca="1">IF(M49&gt;10000,M49*0.5%,IF(AND(M49&gt;1000,M49&lt;=10000),M49*1%,IF(AND(M49&gt;100,M49&lt;=1000),M49*3%,IF(AND(M49&gt;10,M49&lt;=100),M49*5%,M49*8%))))</f>
        <v>6.5699999999999994</v>
      </c>
      <c r="M63" s="302">
        <f ca="1">ROUND(L63,1)</f>
        <v>6.6</v>
      </c>
      <c r="N63" s="2541"/>
      <c r="Z63" s="1752"/>
      <c r="AI63" s="1753"/>
    </row>
    <row r="64" spans="1:35" ht="14.25" hidden="1" customHeight="1">
      <c r="A64" s="169" t="s">
        <v>325</v>
      </c>
      <c r="B64" s="170" t="s">
        <v>1381</v>
      </c>
      <c r="C64" s="2563">
        <f ca="1">D45</f>
        <v>219</v>
      </c>
      <c r="D64" s="170" t="s">
        <v>26</v>
      </c>
      <c r="E64" s="172"/>
      <c r="F64" s="1808"/>
      <c r="G64" s="1808"/>
      <c r="H64" s="1810"/>
      <c r="I64" s="129"/>
      <c r="J64" s="3627"/>
      <c r="K64" s="1332" t="s">
        <v>1382</v>
      </c>
      <c r="L64" s="1332">
        <f ca="1">IF(M49&gt;2000,M49*0.5%,IF(AND(M49&gt;1000,M49&lt;=2000),M49*0.6%,IF(AND(M49&gt;500,M49&lt;=1000),M49*0.7%,IF(AND(M49&gt;200,M49&lt;=500),M49*0.8%,IF(AND(M49&gt;100,M49&lt;=200),M49*0.9%,IF(AND(M49&gt;50,M49&lt;=100),M49*1%,IF(AND(M49&gt;20,M49&lt;=50),M49*1.5%,IF(AND(M49&gt;10,M49&lt;=20),M49*2%,IF(AND(M49&gt;1,M49&lt;=10),M49*2.5%)))))))))</f>
        <v>1.752</v>
      </c>
      <c r="M64" s="302">
        <f t="shared" ref="M64:M65" ca="1" si="1">ROUND(L64,1)</f>
        <v>1.8</v>
      </c>
      <c r="N64" s="2542" t="s">
        <v>1383</v>
      </c>
      <c r="Z64" s="1752"/>
      <c r="AI64" s="1753"/>
    </row>
    <row r="65" spans="1:35" ht="14.25" hidden="1" customHeight="1">
      <c r="A65" s="169" t="s">
        <v>326</v>
      </c>
      <c r="B65" s="170" t="s">
        <v>1384</v>
      </c>
      <c r="C65" s="2564"/>
      <c r="D65" s="170"/>
      <c r="E65" s="172"/>
      <c r="F65" s="1808"/>
      <c r="G65" s="1808"/>
      <c r="H65" s="1810"/>
      <c r="I65" s="129"/>
      <c r="J65" s="3627"/>
      <c r="K65" s="1332" t="s">
        <v>1385</v>
      </c>
      <c r="L65" s="1332">
        <f ca="1">IF(M49&gt;1000,M49*0.1%,IF(AND(M49&gt;500,M49&lt;=1000),M49*0.5%,IF(AND(M49&gt;50,M49&lt;=500),M49*1%,IF(AND(M49&gt;1,M49&lt;=50),M49*1.5%))))</f>
        <v>2.19</v>
      </c>
      <c r="M65" s="302">
        <f t="shared" ca="1" si="1"/>
        <v>2.2000000000000002</v>
      </c>
      <c r="N65" s="2542" t="s">
        <v>1383</v>
      </c>
      <c r="Z65" s="1752"/>
      <c r="AI65" s="1753"/>
    </row>
    <row r="66" spans="1:35" ht="14.25" hidden="1" customHeight="1">
      <c r="A66" s="173" t="s">
        <v>327</v>
      </c>
      <c r="B66" s="174" t="s">
        <v>1386</v>
      </c>
      <c r="C66" s="2565"/>
      <c r="D66" s="174" t="s">
        <v>26</v>
      </c>
      <c r="E66" s="1338" t="s">
        <v>671</v>
      </c>
      <c r="F66" s="1808"/>
      <c r="G66" s="1808"/>
      <c r="H66" s="1810"/>
      <c r="I66" s="129"/>
      <c r="J66" s="3627"/>
      <c r="K66" s="1332" t="s">
        <v>1387</v>
      </c>
      <c r="L66" s="1332">
        <f ca="1">M49*0.5%</f>
        <v>1.095</v>
      </c>
      <c r="M66" s="302">
        <f ca="1">IF(L66&gt;0.5,0.5,ROUND(L66,0))</f>
        <v>0.5</v>
      </c>
      <c r="N66" s="2542" t="s">
        <v>1388</v>
      </c>
      <c r="Z66" s="1752"/>
      <c r="AI66" s="1753"/>
    </row>
    <row r="67" spans="1:35" ht="14.25" hidden="1" customHeight="1">
      <c r="A67" s="173" t="s">
        <v>328</v>
      </c>
      <c r="B67" s="174" t="s">
        <v>1389</v>
      </c>
      <c r="C67" s="2566">
        <f ca="1">C63-C66</f>
        <v>209</v>
      </c>
      <c r="D67" s="170" t="s">
        <v>26</v>
      </c>
      <c r="E67" s="172"/>
      <c r="F67" s="1808"/>
      <c r="G67" s="1808"/>
      <c r="H67" s="1810"/>
      <c r="I67" s="129"/>
      <c r="J67" s="3627"/>
      <c r="K67" s="1332" t="s">
        <v>1390</v>
      </c>
      <c r="L67" s="1332">
        <f ca="1">IF(M49&gt;=10000,(8.25+(M49-10000)*0.01%),IF(AND(M49&gt;=8000,M49&lt;10000),(7.85+(M49-8000)*0.02%),IF(AND(M49&gt;=5000,M49&lt;8000),(6.65+(M49-5000)*0.04%),IF(AND(M49&gt;=2000,M49&lt;5000),(4.25+(PM49-2000)*0.08%),IF(AND(M49&gt;=1000,M49&lt;2000),(2.75+(M49-1000)*0.15%),IF(AND(M49&gt;=100,M49&lt;1000),(0.5+(M49-100)*0.25%),IF(AND(M49&gt;0,M49&lt;100),M49*0.5%)))))))</f>
        <v>0.79749999999999999</v>
      </c>
      <c r="M67" s="302">
        <f ca="1">ROUND(L67*0.9,1)</f>
        <v>0.7</v>
      </c>
      <c r="N67" s="2541"/>
      <c r="Z67" s="1752"/>
      <c r="AI67" s="1753"/>
    </row>
    <row r="68" spans="1:35" ht="14.25" hidden="1" customHeight="1" thickBot="1">
      <c r="A68" s="176" t="s">
        <v>329</v>
      </c>
      <c r="B68" s="177" t="s">
        <v>1391</v>
      </c>
      <c r="C68" s="2567">
        <f ca="1">IF(C67&lt;=0,0,ROUND(C67*D68,0))</f>
        <v>11</v>
      </c>
      <c r="D68" s="2568">
        <f>'数据-取费表'!B41</f>
        <v>5.5000000000000007E-2</v>
      </c>
      <c r="E68" s="178"/>
      <c r="F68" s="1808"/>
      <c r="G68" s="1808"/>
      <c r="H68" s="1810"/>
      <c r="I68" s="129"/>
      <c r="J68" s="3627"/>
      <c r="K68" s="1332" t="s">
        <v>1392</v>
      </c>
      <c r="L68" s="1332">
        <f ca="1">IF(M49&gt;10000,M49*0.5%,IF(AND(M49&gt;5000,M49&lt;=10000),M49*1%,IF(AND(M49&gt;1000,M49&lt;=5000),M49*2%,IF(AND(M49&gt;200,M49&lt;=1000),M49*3%,M49*5%))))</f>
        <v>6.5699999999999994</v>
      </c>
      <c r="M68" s="302">
        <f ca="1">ROUND(L68,1)</f>
        <v>6.6</v>
      </c>
      <c r="N68" s="2541"/>
      <c r="Z68" s="1752"/>
      <c r="AI68" s="1753"/>
    </row>
    <row r="69" spans="1:35" s="1772" customFormat="1" ht="16.5" hidden="1" customHeight="1">
      <c r="A69" s="1811"/>
      <c r="B69" s="1812"/>
      <c r="C69" s="1813"/>
      <c r="D69" s="1814"/>
      <c r="E69" s="1815"/>
      <c r="F69" s="1578"/>
      <c r="G69" s="1578"/>
      <c r="H69" s="1577"/>
      <c r="I69" s="1747"/>
      <c r="J69" s="3627"/>
      <c r="K69" s="1332" t="s">
        <v>1393</v>
      </c>
      <c r="L69" s="1332"/>
      <c r="M69" s="302">
        <f ca="1">ROUND(SUM(M63:M68),0)</f>
        <v>18</v>
      </c>
      <c r="N69" s="2543">
        <f ca="1">M69/M49</f>
        <v>8.2191780821917804E-2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89" t="s">
        <v>1394</v>
      </c>
      <c r="B70" s="3590"/>
      <c r="C70" s="3590"/>
      <c r="D70" s="3590"/>
      <c r="E70" s="3590"/>
      <c r="F70" s="3590"/>
      <c r="G70" s="3590"/>
      <c r="H70" s="359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68" t="s">
        <v>1375</v>
      </c>
      <c r="B71" s="356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209</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1</v>
      </c>
      <c r="D78" s="2575">
        <f>'数据-取费表'!B43</f>
        <v>5.000000000000001E-3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208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208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124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209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629" t="s">
        <v>2129</v>
      </c>
      <c r="H90" s="3630"/>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547" t="s">
        <v>1422</v>
      </c>
      <c r="F92" s="3548"/>
      <c r="G92" s="3548"/>
      <c r="H92" s="3557"/>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1</v>
      </c>
      <c r="D93" s="2575">
        <f>'数据-取费表'!B43</f>
        <v>5.000000000000001E-3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208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208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124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3" t="str">
        <f>C4</f>
        <v>比较法-商业</v>
      </c>
      <c r="D101" s="2584" t="str">
        <f>D4</f>
        <v>收益法 (元)</v>
      </c>
      <c r="E101" s="3624" t="s">
        <v>1431</v>
      </c>
      <c r="F101" s="3581"/>
      <c r="G101" s="1827" t="s">
        <v>1432</v>
      </c>
      <c r="H101" s="2593">
        <f ca="1">H118</f>
        <v>219</v>
      </c>
      <c r="I101" s="129"/>
    </row>
    <row r="102" spans="1:35" ht="18.75" customHeight="1">
      <c r="A102" s="3583" t="s">
        <v>1433</v>
      </c>
      <c r="B102" s="2582" t="s">
        <v>1432</v>
      </c>
      <c r="C102" s="2583">
        <f ca="1">IF(D32="楼面单价",ROUND(C19,0),C19)</f>
        <v>256</v>
      </c>
      <c r="D102" s="2584">
        <f ca="1">IF(D32="楼面单价",ROUND(D19,0),D19)</f>
        <v>135</v>
      </c>
      <c r="E102" s="3624"/>
      <c r="F102" s="3581"/>
      <c r="G102" s="1827" t="s">
        <v>1434</v>
      </c>
      <c r="H102" s="2553">
        <f ca="1">I118</f>
        <v>18083</v>
      </c>
      <c r="I102" s="129"/>
    </row>
    <row r="103" spans="1:35" ht="42.75" customHeight="1">
      <c r="A103" s="3583"/>
      <c r="B103" s="2582" t="s">
        <v>1434</v>
      </c>
      <c r="C103" s="2585">
        <f ca="1">C20</f>
        <v>21070</v>
      </c>
      <c r="D103" s="2586">
        <f ca="1">D20</f>
        <v>11114</v>
      </c>
      <c r="E103" s="3618" t="s">
        <v>1435</v>
      </c>
      <c r="F103" s="3619"/>
      <c r="G103" s="1828" t="s">
        <v>1436</v>
      </c>
      <c r="H103" s="2593">
        <f>IF(D36="正常操作",H104+H105+H106,H105+H106)</f>
        <v>0</v>
      </c>
      <c r="I103" s="129"/>
    </row>
    <row r="104" spans="1:35" ht="18.75" customHeight="1">
      <c r="A104" s="3583" t="s">
        <v>1437</v>
      </c>
      <c r="B104" s="2587" t="s">
        <v>1432</v>
      </c>
      <c r="C104" s="2588">
        <f ca="1">H118</f>
        <v>219</v>
      </c>
      <c r="D104" s="2589"/>
      <c r="E104" s="1674" t="s">
        <v>1438</v>
      </c>
      <c r="F104" s="1666"/>
      <c r="G104" s="1828" t="s">
        <v>1436</v>
      </c>
      <c r="H104" s="2594">
        <f>IF(D36="同一抵押权人同一抵押物续贷",C36&amp;"（续贷，未扣减，详见特别提示）",C36)</f>
        <v>0</v>
      </c>
      <c r="I104" s="129"/>
    </row>
    <row r="105" spans="1:35" ht="18.75" customHeight="1" thickBot="1">
      <c r="A105" s="3584"/>
      <c r="B105" s="2590" t="s">
        <v>1434</v>
      </c>
      <c r="C105" s="2591">
        <f ca="1">I118</f>
        <v>18083</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81"/>
      <c r="G107" s="1827" t="s">
        <v>1432</v>
      </c>
      <c r="H107" s="2593">
        <f ca="1">IF(E107="——","——",H101-H103)</f>
        <v>219</v>
      </c>
      <c r="I107" s="129"/>
    </row>
    <row r="108" spans="1:35" ht="18.75" customHeight="1">
      <c r="A108" s="129"/>
      <c r="B108" s="129"/>
      <c r="C108" s="129"/>
      <c r="D108" s="129"/>
      <c r="E108" s="3580"/>
      <c r="F108" s="3581"/>
      <c r="G108" s="1827" t="s">
        <v>1434</v>
      </c>
      <c r="H108" s="2553">
        <f ca="1">IF(H107=H101,H102,ROUND(H107*10000/'数据-汇总表'!E3,0))</f>
        <v>18083</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6" t="str">
        <f>IF(E109="——","——",H101-H105-H106)</f>
        <v>——</v>
      </c>
      <c r="I109" s="129"/>
    </row>
    <row r="110" spans="1:35" ht="18.75" customHeight="1">
      <c r="A110" s="129"/>
      <c r="B110" s="129"/>
      <c r="C110" s="129"/>
      <c r="D110" s="129"/>
      <c r="E110" s="3580"/>
      <c r="F110" s="3581"/>
      <c r="G110" s="1827" t="s">
        <v>1434</v>
      </c>
      <c r="H110" s="2553"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3" t="str">
        <f>IF(E111="——","——",N59)</f>
        <v>——</v>
      </c>
      <c r="I111" s="129"/>
    </row>
    <row r="112" spans="1:35" ht="18.75" customHeight="1" thickBot="1">
      <c r="A112" s="129"/>
      <c r="B112" s="129"/>
      <c r="C112" s="129"/>
      <c r="D112" s="129"/>
      <c r="E112" s="3613"/>
      <c r="F112" s="3614"/>
      <c r="G112" s="1830" t="s">
        <v>1434</v>
      </c>
      <c r="H112" s="2597"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598" t="str">
        <f>项目基本情况!S2</f>
        <v>北京市北京经济技术开发区荣华南路16号1幢10层A座1002房地产</v>
      </c>
      <c r="B118" s="2329">
        <f>M18</f>
        <v>121.35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219</v>
      </c>
      <c r="I118" s="2329">
        <f ca="1">ROUND(IF(D32="楼面单价",C32,H118*10000/B118),0)</f>
        <v>18083</v>
      </c>
    </row>
    <row r="119" spans="1:27" ht="18.75" customHeight="1">
      <c r="A119" s="3551" t="s">
        <v>1452</v>
      </c>
      <c r="B119" s="3551"/>
      <c r="C119" s="3551"/>
      <c r="D119" s="3591" t="e">
        <f ca="1">NUMBERSTRING(INT(D118*10000),2)&amp;"元整"</f>
        <v>#REF!</v>
      </c>
      <c r="E119" s="3593"/>
      <c r="F119" s="3591" t="e">
        <f ca="1">NUMBERSTRING(INT(F118*10000),2)&amp;"元整"</f>
        <v>#REF!</v>
      </c>
      <c r="G119" s="3593"/>
      <c r="H119" s="3591" t="str">
        <f ca="1">NUMBERSTRING(INT(H118*10000),2)&amp;"元整"</f>
        <v>贰佰壹拾玖万元整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219</v>
      </c>
      <c r="E122" s="3616"/>
      <c r="F122" s="3616"/>
      <c r="G122" s="3616"/>
      <c r="H122" s="3616"/>
      <c r="I122" s="3617"/>
      <c r="AA122" s="725"/>
    </row>
    <row r="123" spans="1:27" ht="18.75" customHeight="1">
      <c r="A123" s="3551" t="s">
        <v>1452</v>
      </c>
      <c r="B123" s="3551"/>
      <c r="C123" s="3551"/>
      <c r="D123" s="3591" t="str">
        <f ca="1">NUMBERSTRING(INT(D122*10000),2)&amp;"元整"</f>
        <v>贰佰壹拾玖万元整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Q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2.4300000000000002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2.4300000000000002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121.35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121.35</v>
      </c>
      <c r="E19" s="211">
        <f>'数据-取费表'!B31</f>
        <v>150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121.35</v>
      </c>
      <c r="E37" s="249">
        <f>'数据-取费表'!B35</f>
        <v>150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8.0000000000000004E-4</v>
      </c>
      <c r="D44" s="238"/>
      <c r="E44" s="238"/>
      <c r="F44" s="239"/>
      <c r="G44" s="3633"/>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北京市北京经济技术开发区荣华南路16号1幢10层A座1002房地产抵押价值预评估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61.087299999999999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24270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24270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24270</v>
      </c>
      <c r="D10" s="845">
        <f ca="1">IF(B1="",'数据-汇总表'!E6,IF(INDIRECT("'数据-取费表'!c"&amp;$G$1)="住宅",INDIRECT("'数据-取费表'!s"&amp;$G$1),INDIRECT("'数据-取费表'!k"&amp;$G$1)+INDIRECT("'数据-取费表'!s"&amp;$G$1)))</f>
        <v>121.35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18203</v>
      </c>
      <c r="D19" s="849">
        <f ca="1">D9+D10</f>
        <v>121.35</v>
      </c>
      <c r="E19" s="211">
        <f>'数据-取费表'!B31</f>
        <v>150</v>
      </c>
      <c r="F19" s="231"/>
      <c r="G19" s="1856"/>
    </row>
    <row r="20" spans="1:7" s="214" customFormat="1" ht="13.5" customHeight="1">
      <c r="A20" s="255" t="s">
        <v>1574</v>
      </c>
      <c r="B20" s="210" t="s">
        <v>1575</v>
      </c>
      <c r="C20" s="232">
        <f ca="1">ROUND((C5+C19)*F20,0)</f>
        <v>849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3633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1542</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6498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6498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57862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525446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485400</v>
      </c>
      <c r="D34" s="217"/>
      <c r="E34" s="220"/>
      <c r="F34" s="257"/>
      <c r="G34" s="219"/>
    </row>
    <row r="35" spans="1:7" ht="13.5" customHeight="1">
      <c r="A35" s="780" t="s">
        <v>351</v>
      </c>
      <c r="B35" s="215" t="s">
        <v>1527</v>
      </c>
      <c r="C35" s="220">
        <f ca="1">ROUND(C34*F35,0)</f>
        <v>14562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18203</v>
      </c>
      <c r="D37" s="217">
        <f ca="1">D19</f>
        <v>121.35</v>
      </c>
      <c r="E37" s="249">
        <f>'数据-取费表'!B35</f>
        <v>150</v>
      </c>
      <c r="F37" s="259"/>
      <c r="G37" s="261"/>
    </row>
    <row r="38" spans="1:7" ht="13.5" customHeight="1">
      <c r="A38" s="780" t="s">
        <v>354</v>
      </c>
      <c r="B38" s="215" t="s">
        <v>1533</v>
      </c>
      <c r="C38" s="220">
        <f ca="1">ROUND(C34*F38,0)</f>
        <v>7281</v>
      </c>
      <c r="D38" s="220"/>
      <c r="E38" s="220"/>
      <c r="F38" s="259">
        <f>'数据-取费表'!B36</f>
        <v>1.4999999999999999E-2</v>
      </c>
      <c r="G38" s="219" t="s">
        <v>1528</v>
      </c>
    </row>
    <row r="39" spans="1:7" s="214" customFormat="1" ht="13.5" customHeight="1">
      <c r="A39" s="255" t="s">
        <v>1534</v>
      </c>
      <c r="B39" s="210" t="s">
        <v>1535</v>
      </c>
      <c r="C39" s="232">
        <f ca="1">ROUND(C33*F20,0)</f>
        <v>10509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22242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21806</v>
      </c>
      <c r="D42" s="238"/>
      <c r="E42" s="238"/>
      <c r="F42" s="239"/>
      <c r="G42" s="3631" t="s">
        <v>1591</v>
      </c>
    </row>
    <row r="43" spans="1:7" ht="13.5" customHeight="1">
      <c r="A43" s="780" t="s">
        <v>347</v>
      </c>
      <c r="B43" s="215" t="s">
        <v>1545</v>
      </c>
      <c r="C43" s="238">
        <f ca="1">ROUND(IF('数据-取费表'!B22&lt;=1,C39*F22*'数据-取费表'!B20/2,C39*(POWER((1+F22),'数据-取费表'!B20/2)-1)),0)</f>
        <v>436</v>
      </c>
      <c r="D43" s="238"/>
      <c r="E43" s="238"/>
      <c r="F43" s="239"/>
      <c r="G43" s="3632"/>
    </row>
    <row r="44" spans="1:7" ht="13.5" customHeight="1">
      <c r="A44" s="780" t="s">
        <v>348</v>
      </c>
      <c r="B44" s="215" t="s">
        <v>1546</v>
      </c>
      <c r="C44" s="238">
        <f ca="1">ROUND(IF('数据-取费表'!B22&lt;=1,C40*F22*'数据-取费表'!B20/2,C40*(POWER((1+F22),'数据-取费表'!B20/2)-1)),4)</f>
        <v>8.0000000000000004E-4</v>
      </c>
      <c r="D44" s="238"/>
      <c r="E44" s="238"/>
      <c r="F44" s="239"/>
      <c r="G44" s="3633"/>
    </row>
    <row r="45" spans="1:7" s="214" customFormat="1" ht="13.5" customHeight="1">
      <c r="A45" s="255" t="s">
        <v>1547</v>
      </c>
      <c r="B45" s="244" t="s">
        <v>1513</v>
      </c>
      <c r="C45" s="245">
        <f ca="1">C46</f>
        <v>80393</v>
      </c>
      <c r="D45" s="235">
        <f ca="1">C47</f>
        <v>3.0000000000000001E-3</v>
      </c>
      <c r="E45" s="236" t="s">
        <v>1539</v>
      </c>
      <c r="F45" s="246">
        <f ca="1">F27</f>
        <v>0.15</v>
      </c>
      <c r="G45" s="247" t="s">
        <v>1548</v>
      </c>
    </row>
    <row r="46" spans="1:7" s="214" customFormat="1" ht="13.5" customHeight="1">
      <c r="A46" s="780" t="s">
        <v>346</v>
      </c>
      <c r="B46" s="248" t="s">
        <v>1549</v>
      </c>
      <c r="C46" s="249">
        <f ca="1">ROUND((C33+C39)*F27,0)</f>
        <v>80393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691264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553011</v>
      </c>
      <c r="D51" s="232"/>
      <c r="E51" s="232"/>
      <c r="F51" s="264"/>
      <c r="G51" s="234" t="s">
        <v>1560</v>
      </c>
    </row>
    <row r="52" spans="1:7" s="208" customFormat="1" ht="16.5" thickBot="1">
      <c r="A52" s="265" t="s">
        <v>1561</v>
      </c>
      <c r="B52" s="266"/>
      <c r="C52" s="267">
        <f ca="1">C31+C51</f>
        <v>610873</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121.35</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-0.43000000000000016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121.35</v>
      </c>
      <c r="E20" s="21">
        <f>'数据-取费表'!B28</f>
        <v>200</v>
      </c>
      <c r="F20" s="804"/>
      <c r="G20" s="12"/>
      <c r="H20" s="809"/>
      <c r="I20" s="809"/>
      <c r="J20" s="809"/>
      <c r="K20" s="810"/>
    </row>
    <row r="21" spans="1:33" s="803" customFormat="1" ht="13.5" customHeight="1">
      <c r="A21" s="790" t="s">
        <v>357</v>
      </c>
      <c r="B21" s="813" t="s">
        <v>1628</v>
      </c>
      <c r="C21" s="814">
        <f ca="1">C16+C17+C18</f>
        <v>-0.43000000000000016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0</v>
      </c>
      <c r="D6" s="155" t="s">
        <v>2109</v>
      </c>
      <c r="E6" s="302" t="s">
        <v>696</v>
      </c>
      <c r="F6" s="303">
        <f ca="1">INDIRECT("'数据-取费表'!u"&amp;$G$1)</f>
        <v>0</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0</v>
      </c>
      <c r="G7" s="1384"/>
      <c r="H7" s="304"/>
      <c r="I7" s="3637"/>
      <c r="J7" s="306"/>
      <c r="K7" s="307"/>
      <c r="L7" s="302" t="s">
        <v>697</v>
      </c>
      <c r="M7" s="303">
        <f ca="1">F7</f>
        <v>0</v>
      </c>
    </row>
    <row r="8" spans="1:37" ht="18" customHeight="1">
      <c r="A8" s="304"/>
      <c r="B8" s="3637"/>
      <c r="C8" s="306"/>
      <c r="D8" s="307"/>
      <c r="E8" s="302" t="s">
        <v>698</v>
      </c>
      <c r="F8" s="303">
        <f ca="1">INDIRECT("'数据-取费表'!ai"&amp;$G$1)</f>
        <v>0</v>
      </c>
      <c r="G8" s="1384"/>
      <c r="H8" s="304"/>
      <c r="I8" s="3637"/>
      <c r="J8" s="306"/>
      <c r="K8" s="307"/>
      <c r="L8" s="302" t="s">
        <v>698</v>
      </c>
      <c r="M8" s="303">
        <f ca="1">INDIRECT("'数据-取费表'!ai"&amp;$G$1)</f>
        <v>0</v>
      </c>
    </row>
    <row r="9" spans="1:37" ht="18" customHeight="1">
      <c r="A9" s="304"/>
      <c r="B9" s="3638"/>
      <c r="C9" s="306"/>
      <c r="D9" s="307"/>
      <c r="E9" s="302" t="s">
        <v>699</v>
      </c>
      <c r="F9" s="312">
        <f ca="1">INDIRECT("'数据-取费表'!w"&amp;$G$1)</f>
        <v>0</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2305</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L39" sqref="L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3393</v>
      </c>
      <c r="E1" s="3424" t="s">
        <v>3409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255.68450000000001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21070</v>
      </c>
      <c r="C3" s="354" t="s">
        <v>1768</v>
      </c>
      <c r="D3" s="353">
        <f>IF(D1="",'数据-汇总表'!E3,SUMIF('数据-汇总表'!$C19:$C33,D1,'数据-汇总表'!$E19:$E33))</f>
        <v>121.35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15">
      <c r="A5" s="358"/>
      <c r="B5" s="359"/>
      <c r="C5" s="3788" t="s">
        <v>3388</v>
      </c>
      <c r="D5" s="3698"/>
      <c r="E5" s="3704" t="str">
        <f>C5</f>
        <v>中冀斯巴鲁大厦</v>
      </c>
      <c r="F5" s="3705"/>
      <c r="G5" s="3697" t="str">
        <f>C5</f>
        <v>中冀斯巴鲁大厦</v>
      </c>
      <c r="H5" s="3698"/>
      <c r="I5" s="3697" t="str">
        <f>C5</f>
        <v>中冀斯巴鲁大厦</v>
      </c>
      <c r="J5" s="3698"/>
      <c r="K5" s="559"/>
      <c r="L5" s="2713"/>
      <c r="M5" s="2714"/>
      <c r="N5" s="2714"/>
      <c r="O5" s="2714"/>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45056</v>
      </c>
      <c r="D7" s="365">
        <v>100</v>
      </c>
      <c r="E7" s="366">
        <f>C7</f>
        <v>45056</v>
      </c>
      <c r="F7" s="367">
        <f>SUMIF(58:58,YEAR(E7)&amp;"-"&amp;MONTH(E7),59:59)</f>
        <v>100</v>
      </c>
      <c r="G7" s="366">
        <f>C7</f>
        <v>45056</v>
      </c>
      <c r="H7" s="365">
        <f>SUMIF(58:58,YEAR(G7)&amp;"-"&amp;MONTH(G7),59:59)</f>
        <v>100</v>
      </c>
      <c r="I7" s="366">
        <f>C7</f>
        <v>45056</v>
      </c>
      <c r="J7" s="365">
        <f>SUMIF(58:58,YEAR(I7)&amp;"-"&amp;MONTH(I7),59:59)</f>
        <v>100</v>
      </c>
      <c r="K7" s="560"/>
      <c r="L7" s="2715"/>
      <c r="M7" s="2716"/>
      <c r="N7" s="2716"/>
      <c r="O7" s="2716"/>
      <c r="P7" s="3699" t="s">
        <v>1680</v>
      </c>
      <c r="Q7" s="3701"/>
      <c r="R7" s="701" t="s">
        <v>14</v>
      </c>
      <c r="S7" s="702">
        <f t="shared" ref="S7:S15" si="0">F7</f>
        <v>100</v>
      </c>
      <c r="T7" s="701" t="s">
        <v>14</v>
      </c>
      <c r="U7" s="702">
        <f t="shared" ref="U7:U15" si="1">H7</f>
        <v>100</v>
      </c>
      <c r="V7" s="701" t="s">
        <v>14</v>
      </c>
      <c r="W7" s="702">
        <f t="shared" ref="W7:W15" si="2">J7</f>
        <v>100</v>
      </c>
      <c r="X7" s="703"/>
      <c r="Y7" s="3699" t="s">
        <v>1680</v>
      </c>
      <c r="Z7" s="3700"/>
      <c r="AA7" s="704">
        <f>D7/F7</f>
        <v>1</v>
      </c>
      <c r="AB7" s="704">
        <f>D7/H7</f>
        <v>1</v>
      </c>
      <c r="AC7" s="704">
        <f>D7/J7</f>
        <v>1</v>
      </c>
    </row>
    <row r="8" spans="1:29" s="108" customFormat="1" ht="15.75" thickBot="1">
      <c r="A8" s="362" t="s">
        <v>1681</v>
      </c>
      <c r="B8" s="363"/>
      <c r="C8" s="368" t="s">
        <v>3426</v>
      </c>
      <c r="D8" s="365">
        <v>100</v>
      </c>
      <c r="E8" s="368" t="s">
        <v>3427</v>
      </c>
      <c r="F8" s="367">
        <f>SUMIF(61:61,E8,62:62)-SUMIF(61:61,C8,62:62)+100</f>
        <v>102</v>
      </c>
      <c r="G8" s="368" t="s">
        <v>3427</v>
      </c>
      <c r="H8" s="365">
        <f>SUMIF(61:61,G8,62:62)-SUMIF(61:61,C8,62:62)+100</f>
        <v>102</v>
      </c>
      <c r="I8" s="368" t="s">
        <v>3427</v>
      </c>
      <c r="J8" s="365">
        <f>SUMIF(61:61,I8,62:62)-SUMIF(61:61,C8,62:62)+100</f>
        <v>102</v>
      </c>
      <c r="K8" s="560"/>
      <c r="L8" s="2715"/>
      <c r="M8" s="2716"/>
      <c r="N8" s="2716"/>
      <c r="O8" s="2716"/>
      <c r="P8" s="3699" t="s">
        <v>1683</v>
      </c>
      <c r="Q8" s="3700"/>
      <c r="R8" s="701" t="s">
        <v>14</v>
      </c>
      <c r="S8" s="702">
        <f t="shared" si="0"/>
        <v>102</v>
      </c>
      <c r="T8" s="701" t="s">
        <v>14</v>
      </c>
      <c r="U8" s="702">
        <f t="shared" si="1"/>
        <v>102</v>
      </c>
      <c r="V8" s="701" t="s">
        <v>14</v>
      </c>
      <c r="W8" s="702">
        <f t="shared" si="2"/>
        <v>102</v>
      </c>
      <c r="X8" s="703"/>
      <c r="Y8" s="3699" t="s">
        <v>1683</v>
      </c>
      <c r="Z8" s="3700"/>
      <c r="AA8" s="704">
        <f t="shared" ref="AA8:AA46" si="3">D8/F8</f>
        <v>0.98039215686274506</v>
      </c>
      <c r="AB8" s="704">
        <f t="shared" ref="AB8:AB46" si="4">D8/H8</f>
        <v>0.98039215686274506</v>
      </c>
      <c r="AC8" s="704">
        <f t="shared" ref="AC8:AC46" si="5">D8/J8</f>
        <v>0.98039215686274506</v>
      </c>
    </row>
    <row r="9" spans="1:29" s="108" customFormat="1" ht="15">
      <c r="A9" s="369" t="s">
        <v>1684</v>
      </c>
      <c r="B9" s="63" t="s">
        <v>1685</v>
      </c>
      <c r="C9" s="3797" t="s">
        <v>3429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f>'数据-取费表'!F6</f>
        <v>23</v>
      </c>
      <c r="D10" s="127">
        <v>100</v>
      </c>
      <c r="E10" s="3433">
        <f>C10</f>
        <v>23</v>
      </c>
      <c r="F10" s="376">
        <f>SUMIF(65:65,E10,66:66)-SUMIF(65:65,C10,66:66)+100</f>
        <v>100</v>
      </c>
      <c r="G10" s="3432">
        <f>C10</f>
        <v>23</v>
      </c>
      <c r="H10" s="127">
        <f>SUMIF(65:65,G10,66:66)-SUMIF(65:65,C10,66:66)+100</f>
        <v>100</v>
      </c>
      <c r="I10" s="3432">
        <f>C10</f>
        <v>23</v>
      </c>
      <c r="J10" s="127">
        <f>SUMIF(65:65,I10,66:66)-SUMIF(65:65,C10,66:66)+100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75" thickBot="1">
      <c r="A11" s="379"/>
      <c r="B11" s="375" t="s">
        <v>1689</v>
      </c>
      <c r="C11" s="380">
        <v>3.5</v>
      </c>
      <c r="D11" s="127">
        <v>100</v>
      </c>
      <c r="E11" s="380">
        <v>3.5</v>
      </c>
      <c r="F11" s="376">
        <f>LOOKUP(E11,68:68,69:69)-LOOKUP(C11,68:68,69:69)+100</f>
        <v>100</v>
      </c>
      <c r="G11" s="380">
        <v>3.5</v>
      </c>
      <c r="H11" s="127">
        <f>LOOKUP(G11,68:68,69:69)-LOOKUP(C11,68:68,69:69)+100</f>
        <v>100</v>
      </c>
      <c r="I11" s="380">
        <v>3.5</v>
      </c>
      <c r="J11" s="127">
        <f>LOOKUP(I11,68:68,69:69)-LOOKUP(C11,68:68,69:69)+100</f>
        <v>100</v>
      </c>
      <c r="K11" s="561">
        <v>2</v>
      </c>
      <c r="L11" s="2719"/>
      <c r="M11" s="2714"/>
      <c r="N11" s="2714"/>
      <c r="O11" s="2714"/>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3401</v>
      </c>
      <c r="F15" s="394">
        <f>SUMIF(76:76,E16,77:77)-SUMIF(76:76,C16,77:77)+100</f>
        <v>100</v>
      </c>
      <c r="G15" s="393" t="s">
        <v>3401</v>
      </c>
      <c r="H15" s="392">
        <f>SUMIF(76:76,G16,77:77)-SUMIF(76:76,C16,77:77)+100</f>
        <v>100</v>
      </c>
      <c r="I15" s="393" t="s">
        <v>3401</v>
      </c>
      <c r="J15" s="392">
        <f>SUMIF(76:76,I16,77:77)-SUMIF(76:76,C16,77:77)+100</f>
        <v>100</v>
      </c>
      <c r="K15" s="563">
        <v>2</v>
      </c>
      <c r="L15" s="2720"/>
      <c r="M15" s="2714"/>
      <c r="N15" s="2714"/>
      <c r="O15" s="2714"/>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t="s">
        <v>3401</v>
      </c>
      <c r="D16" s="399"/>
      <c r="E16" s="398" t="s">
        <v>3401</v>
      </c>
      <c r="F16" s="400"/>
      <c r="G16" s="398" t="s">
        <v>3401</v>
      </c>
      <c r="H16" s="401"/>
      <c r="I16" s="398" t="s">
        <v>3401</v>
      </c>
      <c r="J16" s="399"/>
      <c r="K16" s="564"/>
      <c r="L16" s="2720"/>
      <c r="M16" s="2714"/>
      <c r="N16" s="2714"/>
      <c r="O16" s="2714"/>
      <c r="P16" s="3673"/>
      <c r="Q16" s="1352"/>
      <c r="R16" s="705"/>
      <c r="S16" s="706"/>
      <c r="T16" s="705"/>
      <c r="U16" s="706"/>
      <c r="V16" s="705"/>
      <c r="W16" s="706"/>
      <c r="X16" s="1355"/>
      <c r="Y16" s="3666"/>
      <c r="Z16" s="1356"/>
      <c r="AA16" s="1353">
        <v>1</v>
      </c>
      <c r="AB16" s="1353">
        <v>1</v>
      </c>
      <c r="AC16" s="1353">
        <v>1</v>
      </c>
    </row>
    <row r="17" spans="1:29" ht="15">
      <c r="A17" s="379"/>
      <c r="B17" s="402" t="s">
        <v>1259</v>
      </c>
      <c r="C17" s="1900" t="str">
        <f>估价对象房地状况!C6</f>
        <v>较好</v>
      </c>
      <c r="D17" s="401">
        <v>100</v>
      </c>
      <c r="E17" s="403" t="s">
        <v>3400</v>
      </c>
      <c r="F17" s="404">
        <f>SUMIF(78:78,E18,79:79)-SUMIF(78:78,C18,79:79)+100</f>
        <v>100</v>
      </c>
      <c r="G17" s="403" t="s">
        <v>3400</v>
      </c>
      <c r="H17" s="406">
        <f>SUMIF(78:78,G18,79:79)-SUMIF(78:78,C18,79:79)+100</f>
        <v>100</v>
      </c>
      <c r="I17" s="403" t="s">
        <v>3400</v>
      </c>
      <c r="J17" s="406">
        <f>SUMIF(78:78,I18,79:79)-SUMIF(78:78,C18,79:79)+100</f>
        <v>100</v>
      </c>
      <c r="K17" s="563">
        <v>2</v>
      </c>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t="s">
        <v>3400</v>
      </c>
      <c r="D18" s="401"/>
      <c r="E18" s="1903" t="s">
        <v>3400</v>
      </c>
      <c r="F18" s="404"/>
      <c r="G18" s="1903" t="s">
        <v>3400</v>
      </c>
      <c r="H18" s="399"/>
      <c r="I18" s="1903" t="s">
        <v>3400</v>
      </c>
      <c r="J18" s="399"/>
      <c r="K18" s="564"/>
      <c r="L18" s="2720"/>
      <c r="M18" s="2714"/>
      <c r="N18" s="2714"/>
      <c r="O18" s="2714"/>
      <c r="P18" s="3673"/>
      <c r="Q18" s="1352"/>
      <c r="R18" s="705"/>
      <c r="S18" s="706"/>
      <c r="T18" s="705"/>
      <c r="U18" s="706"/>
      <c r="V18" s="705"/>
      <c r="W18" s="706"/>
      <c r="X18" s="1355"/>
      <c r="Y18" s="3666"/>
      <c r="Z18" s="1356"/>
      <c r="AA18" s="1353">
        <v>1</v>
      </c>
      <c r="AB18" s="1353">
        <v>1</v>
      </c>
      <c r="AC18" s="1353">
        <v>1</v>
      </c>
    </row>
    <row r="19" spans="1:29" ht="15">
      <c r="A19" s="379"/>
      <c r="B19" s="402" t="s">
        <v>1778</v>
      </c>
      <c r="C19" s="1900" t="str">
        <f>估价对象房地状况!C7</f>
        <v>一般</v>
      </c>
      <c r="D19" s="406">
        <v>100</v>
      </c>
      <c r="E19" s="408" t="s">
        <v>3401</v>
      </c>
      <c r="F19" s="409">
        <f>SUMIF(80:80,E20,81:81)-SUMIF(80:80,C20,81:81)+100</f>
        <v>100</v>
      </c>
      <c r="G19" s="408" t="s">
        <v>3401</v>
      </c>
      <c r="H19" s="401">
        <f>SUMIF(80:80,G20,81:81)-SUMIF(80:80,C20,81:81)+100</f>
        <v>100</v>
      </c>
      <c r="I19" s="408" t="s">
        <v>3401</v>
      </c>
      <c r="J19" s="401">
        <f>SUMIF(80:80,I20,81:81)-SUMIF(80:80,C20,81:81)+100</f>
        <v>100</v>
      </c>
      <c r="K19" s="563">
        <v>2</v>
      </c>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8" t="s">
        <v>3401</v>
      </c>
      <c r="H20" s="399"/>
      <c r="I20" s="1898" t="s">
        <v>3401</v>
      </c>
      <c r="J20" s="399"/>
      <c r="K20" s="564"/>
      <c r="L20" s="2720"/>
      <c r="M20" s="2714"/>
      <c r="N20" s="2714"/>
      <c r="O20" s="2714"/>
      <c r="P20" s="3673"/>
      <c r="Q20" s="1352"/>
      <c r="R20" s="705"/>
      <c r="S20" s="706"/>
      <c r="T20" s="705"/>
      <c r="U20" s="706"/>
      <c r="V20" s="705"/>
      <c r="W20" s="706"/>
      <c r="X20" s="1355"/>
      <c r="Y20" s="3666"/>
      <c r="Z20" s="1356"/>
      <c r="AA20" s="1353">
        <v>1</v>
      </c>
      <c r="AB20" s="1353">
        <v>1</v>
      </c>
      <c r="AC20" s="1353">
        <v>1</v>
      </c>
    </row>
    <row r="21" spans="1:29" ht="15">
      <c r="A21" s="379"/>
      <c r="B21" s="1131" t="s">
        <v>1779</v>
      </c>
      <c r="C21" s="1900" t="str">
        <f>估价对象房地状况!C8</f>
        <v>七通</v>
      </c>
      <c r="D21" s="406">
        <v>100</v>
      </c>
      <c r="E21" s="408" t="s">
        <v>3407</v>
      </c>
      <c r="F21" s="409">
        <f>SUMIF(82:82,E22,83:83)-SUMIF(82:82,C22,83:83)+100</f>
        <v>100</v>
      </c>
      <c r="G21" s="408" t="s">
        <v>3407</v>
      </c>
      <c r="H21" s="401">
        <f>SUMIF(82:82,G22,83:83)-SUMIF(82:82,C22,83:83)+100</f>
        <v>100</v>
      </c>
      <c r="I21" s="408" t="s">
        <v>3407</v>
      </c>
      <c r="J21" s="401">
        <f>SUMIF(82:82,I22,83:83)-SUMIF(82:82,C22,83:83)+100</f>
        <v>100</v>
      </c>
      <c r="K21" s="563">
        <v>1</v>
      </c>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t="s">
        <v>3407</v>
      </c>
      <c r="D22" s="399"/>
      <c r="E22" s="398" t="s">
        <v>3407</v>
      </c>
      <c r="F22" s="400"/>
      <c r="G22" s="398" t="s">
        <v>3407</v>
      </c>
      <c r="H22" s="399"/>
      <c r="I22" s="398" t="s">
        <v>3407</v>
      </c>
      <c r="J22" s="399"/>
      <c r="K22" s="1130"/>
      <c r="L22" s="2720"/>
      <c r="M22" s="2714"/>
      <c r="N22" s="2714"/>
      <c r="O22" s="2714"/>
      <c r="P22" s="3673"/>
      <c r="Q22" s="1352"/>
      <c r="R22" s="705"/>
      <c r="S22" s="706"/>
      <c r="T22" s="705"/>
      <c r="U22" s="706"/>
      <c r="V22" s="705"/>
      <c r="W22" s="706"/>
      <c r="X22" s="1355"/>
      <c r="Y22" s="3666"/>
      <c r="Z22" s="1356"/>
      <c r="AA22" s="1353">
        <v>1</v>
      </c>
      <c r="AB22" s="1353">
        <v>1</v>
      </c>
      <c r="AC22" s="1353">
        <v>1</v>
      </c>
    </row>
    <row r="23" spans="1:29" ht="15">
      <c r="A23" s="379"/>
      <c r="B23" s="402" t="s">
        <v>1261</v>
      </c>
      <c r="C23" s="1955" t="str">
        <f>估价对象房地状况!C9</f>
        <v>一般</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20"/>
      <c r="M23" s="2714"/>
      <c r="N23" s="2714"/>
      <c r="O23" s="2714"/>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t="s">
        <v>3401</v>
      </c>
      <c r="D24" s="399"/>
      <c r="E24" s="1898" t="s">
        <v>3401</v>
      </c>
      <c r="F24" s="400"/>
      <c r="G24" s="1898" t="s">
        <v>3401</v>
      </c>
      <c r="H24" s="399"/>
      <c r="I24" s="1898" t="s">
        <v>3401</v>
      </c>
      <c r="J24" s="399"/>
      <c r="K24" s="564"/>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75" thickBot="1">
      <c r="A28" s="379"/>
      <c r="B28" s="375" t="s">
        <v>1783</v>
      </c>
      <c r="C28" s="565" t="s">
        <v>3413</v>
      </c>
      <c r="D28" s="386">
        <v>100</v>
      </c>
      <c r="E28" s="565" t="s">
        <v>3413</v>
      </c>
      <c r="F28" s="412">
        <f>SUMIF(92:92,E28,93:93)-SUMIF(92:92,C28,93:93)+100</f>
        <v>100</v>
      </c>
      <c r="G28" s="565" t="s">
        <v>3411</v>
      </c>
      <c r="H28" s="386">
        <f>SUMIF(92:92,G28,93:93)-SUMIF(92:92,C28,93:93)+100</f>
        <v>102</v>
      </c>
      <c r="I28" s="565" t="s">
        <v>3411</v>
      </c>
      <c r="J28" s="386">
        <f>SUMIF(92:92,I28,93:93)-SUMIF(92:92,C28,93:93)+100</f>
        <v>102</v>
      </c>
      <c r="K28" s="562"/>
      <c r="L28" s="2720"/>
      <c r="M28" s="2714"/>
      <c r="N28" s="2714"/>
      <c r="O28" s="2714"/>
      <c r="P28" s="3673"/>
      <c r="Q28" s="1352" t="str">
        <f t="shared" si="11"/>
        <v>楼层</v>
      </c>
      <c r="R28" s="705" t="s">
        <v>14</v>
      </c>
      <c r="S28" s="706">
        <f t="shared" ref="S28:S46" si="12">F28</f>
        <v>100</v>
      </c>
      <c r="T28" s="705" t="s">
        <v>14</v>
      </c>
      <c r="U28" s="706">
        <f t="shared" ref="U28:U46" si="13">H28</f>
        <v>102</v>
      </c>
      <c r="V28" s="705" t="s">
        <v>14</v>
      </c>
      <c r="W28" s="706">
        <f t="shared" ref="W28:W46" si="14">J28</f>
        <v>102</v>
      </c>
      <c r="X28" s="1355"/>
      <c r="Y28" s="3666"/>
      <c r="Z28" s="1356" t="str">
        <f t="shared" ref="Z28:Z46" si="15">Q28</f>
        <v>楼层</v>
      </c>
      <c r="AA28" s="1353">
        <f t="shared" si="3"/>
        <v>1</v>
      </c>
      <c r="AB28" s="1353">
        <f t="shared" si="4"/>
        <v>0.98039215686274506</v>
      </c>
      <c r="AC28" s="1353">
        <f t="shared" si="5"/>
        <v>0.98039215686274506</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t="s">
        <v>3416</v>
      </c>
      <c r="D32" s="418">
        <v>100</v>
      </c>
      <c r="E32" s="1910" t="s">
        <v>3416</v>
      </c>
      <c r="F32" s="412">
        <f>SUMIF(100:100,E32,101:101)-SUMIF(100:100,C32,101:101)+100</f>
        <v>100</v>
      </c>
      <c r="G32" s="1910" t="s">
        <v>3416</v>
      </c>
      <c r="H32" s="386">
        <f>SUMIF(100:100,G32,101:101)-SUMIF(100:100,C32,101:101)+100</f>
        <v>100</v>
      </c>
      <c r="I32" s="1910" t="s">
        <v>3416</v>
      </c>
      <c r="J32" s="418">
        <f>SUMIF(100:100,I32,101:101)-SUMIF(100:100,C32,101:101)+100</f>
        <v>100</v>
      </c>
      <c r="K32" s="561">
        <v>2</v>
      </c>
      <c r="L32" s="2720"/>
      <c r="M32" s="2714"/>
      <c r="N32" s="2714"/>
      <c r="O32" s="2714"/>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121.35</v>
      </c>
      <c r="D33" s="127">
        <v>100</v>
      </c>
      <c r="E33" s="381">
        <f>案例!B2</f>
        <v>108.41</v>
      </c>
      <c r="F33" s="376">
        <f>LOOKUP(E33,103:103,104:104)-LOOKUP(C33,103:103,104:104)+100</f>
        <v>100</v>
      </c>
      <c r="G33" s="381">
        <f>案例!B3</f>
        <v>121.35</v>
      </c>
      <c r="H33" s="127">
        <f>LOOKUP(G33,103:103,104:104)-LOOKUP(C33,103:103,104:104)+100</f>
        <v>100</v>
      </c>
      <c r="I33" s="381">
        <f>案例!B4</f>
        <v>59.92</v>
      </c>
      <c r="J33" s="127">
        <f>LOOKUP(I33,103:103,104:104)-LOOKUP(C33,103:103,104:104)+100</f>
        <v>104</v>
      </c>
      <c r="K33" s="562"/>
      <c r="L33" s="2719"/>
      <c r="M33" s="2721"/>
      <c r="N33" s="2721"/>
      <c r="O33" s="2721"/>
      <c r="P33" s="3668"/>
      <c r="Q33" s="707" t="str">
        <f t="shared" si="11"/>
        <v>项目建筑规模</v>
      </c>
      <c r="R33" s="708" t="s">
        <v>14</v>
      </c>
      <c r="S33" s="709">
        <f t="shared" si="12"/>
        <v>100</v>
      </c>
      <c r="T33" s="708" t="s">
        <v>14</v>
      </c>
      <c r="U33" s="709">
        <f t="shared" si="13"/>
        <v>100</v>
      </c>
      <c r="V33" s="708" t="s">
        <v>14</v>
      </c>
      <c r="W33" s="709">
        <f t="shared" si="14"/>
        <v>104</v>
      </c>
      <c r="X33" s="710"/>
      <c r="Y33" s="3670"/>
      <c r="Z33" s="711" t="str">
        <f t="shared" si="15"/>
        <v>项目建筑规模</v>
      </c>
      <c r="AA33" s="1353">
        <f t="shared" si="3"/>
        <v>1</v>
      </c>
      <c r="AB33" s="1353">
        <f t="shared" si="4"/>
        <v>1</v>
      </c>
      <c r="AC33" s="1353">
        <f t="shared" si="5"/>
        <v>0.96153846153846156</v>
      </c>
    </row>
    <row r="34" spans="1:29" ht="15">
      <c r="A34" s="423"/>
      <c r="B34" s="375" t="s">
        <v>1698</v>
      </c>
      <c r="C34" s="1912" t="s">
        <v>3419</v>
      </c>
      <c r="D34" s="386">
        <v>100</v>
      </c>
      <c r="E34" s="1912" t="s">
        <v>3419</v>
      </c>
      <c r="F34" s="412">
        <f>SUMIF(105:105,E34,106:106)-SUMIF(105:105,C34,106:106)+100</f>
        <v>100</v>
      </c>
      <c r="G34" s="1912" t="s">
        <v>3419</v>
      </c>
      <c r="H34" s="386">
        <f>SUMIF(105:105,G34,106:106)-SUMIF(105:105,C34,106:106)+100</f>
        <v>100</v>
      </c>
      <c r="I34" s="1912" t="s">
        <v>3419</v>
      </c>
      <c r="J34" s="386">
        <f>SUMIF(105:105,I34,106:106)-SUMIF(105:105,C34,106:106)+100</f>
        <v>100</v>
      </c>
      <c r="K34" s="561">
        <v>2</v>
      </c>
      <c r="L34" s="2720"/>
      <c r="M34" s="2714"/>
      <c r="N34" s="2714"/>
      <c r="O34" s="2714"/>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t="s">
        <v>3422</v>
      </c>
      <c r="D35" s="386">
        <v>100</v>
      </c>
      <c r="E35" s="1906" t="s">
        <v>3422</v>
      </c>
      <c r="F35" s="412">
        <f>SUMIF(107:107,E35,108:108)-SUMIF(107:107,C35,108:108)+100</f>
        <v>100</v>
      </c>
      <c r="G35" s="1906" t="s">
        <v>3422</v>
      </c>
      <c r="H35" s="386">
        <f>SUMIF(107:107,G35,108:108)-SUMIF(107:107,C35,108:108)+100</f>
        <v>100</v>
      </c>
      <c r="I35" s="1906" t="s">
        <v>3422</v>
      </c>
      <c r="J35" s="386">
        <f>SUMIF(107:107,I35,108:108)-SUMIF(107:107,C35,108:108)+100</f>
        <v>100</v>
      </c>
      <c r="K35" s="561">
        <v>2</v>
      </c>
      <c r="L35" s="2720"/>
      <c r="M35" s="2714"/>
      <c r="N35" s="2714"/>
      <c r="O35" s="2714"/>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f>'数据-取费表'!N6</f>
        <v>0.8</v>
      </c>
      <c r="D36" s="386">
        <v>100</v>
      </c>
      <c r="E36" s="425">
        <v>0.75</v>
      </c>
      <c r="F36" s="412">
        <f>LOOKUP(E36,110:110,111:111)-LOOKUP(C36,110:110,111:111)+100</f>
        <v>99</v>
      </c>
      <c r="G36" s="425">
        <v>0.75</v>
      </c>
      <c r="H36" s="412">
        <f>LOOKUP(G36,110:110,111:111)-LOOKUP(C36,110:110,111:111)+100</f>
        <v>99</v>
      </c>
      <c r="I36" s="425">
        <v>0.75</v>
      </c>
      <c r="J36" s="386">
        <f>LOOKUP(I36,110:110,111:111)-LOOKUP(C36,110:110,111:111)+100</f>
        <v>99</v>
      </c>
      <c r="K36" s="561">
        <v>1</v>
      </c>
      <c r="L36" s="2720"/>
      <c r="M36" s="2714"/>
      <c r="N36" s="2714"/>
      <c r="O36" s="2714"/>
      <c r="P36" s="3668"/>
      <c r="Q36" s="1352" t="str">
        <f t="shared" si="11"/>
        <v>成新度</v>
      </c>
      <c r="R36" s="705" t="s">
        <v>14</v>
      </c>
      <c r="S36" s="706">
        <f t="shared" si="12"/>
        <v>99</v>
      </c>
      <c r="T36" s="705" t="s">
        <v>14</v>
      </c>
      <c r="U36" s="706">
        <f t="shared" si="13"/>
        <v>99</v>
      </c>
      <c r="V36" s="705" t="s">
        <v>14</v>
      </c>
      <c r="W36" s="706">
        <f t="shared" si="14"/>
        <v>99</v>
      </c>
      <c r="X36" s="1355"/>
      <c r="Y36" s="3670"/>
      <c r="Z36" s="1356" t="str">
        <f t="shared" si="15"/>
        <v>成新度</v>
      </c>
      <c r="AA36" s="1353">
        <f t="shared" si="3"/>
        <v>1.0101010101010102</v>
      </c>
      <c r="AB36" s="1353">
        <f t="shared" si="4"/>
        <v>1.0101010101010102</v>
      </c>
      <c r="AC36" s="1353">
        <f t="shared" si="5"/>
        <v>1.0101010101010102</v>
      </c>
    </row>
    <row r="37" spans="1:29" s="108" customFormat="1" ht="15">
      <c r="A37" s="424"/>
      <c r="B37" s="375" t="s">
        <v>1787</v>
      </c>
      <c r="C37" s="1906" t="s">
        <v>3430</v>
      </c>
      <c r="D37" s="127">
        <v>100</v>
      </c>
      <c r="E37" s="1906" t="s">
        <v>3430</v>
      </c>
      <c r="F37" s="412">
        <f>SUMIF(112:112,E37,113:113)-SUMIF(112:112,C37,113:113)+100</f>
        <v>100</v>
      </c>
      <c r="G37" s="1906" t="s">
        <v>3430</v>
      </c>
      <c r="H37" s="386">
        <f>SUMIF(112:112,G37,113:113)-SUMIF(112:112,C37,113:113)+100</f>
        <v>100</v>
      </c>
      <c r="I37" s="1906" t="s">
        <v>3430</v>
      </c>
      <c r="J37" s="386">
        <f>SUMIF(112:112,I37,113:113)-SUMIF(112:112,C37,113:113)+100</f>
        <v>100</v>
      </c>
      <c r="K37" s="561">
        <v>1</v>
      </c>
      <c r="L37" s="2715"/>
      <c r="M37" s="2716"/>
      <c r="N37" s="2716"/>
      <c r="O37" s="2716"/>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t="s">
        <v>3422</v>
      </c>
      <c r="D42" s="386">
        <v>100</v>
      </c>
      <c r="E42" s="1906" t="s">
        <v>3422</v>
      </c>
      <c r="F42" s="412">
        <f>SUMIF(122:122,E42,123:123)-SUMIF(122:122,C42,123:123)+100</f>
        <v>100</v>
      </c>
      <c r="G42" s="1906" t="s">
        <v>3422</v>
      </c>
      <c r="H42" s="386">
        <f>SUMIF(122:122,G42,123:123)-SUMIF(122:122,C42,123:123)+100</f>
        <v>100</v>
      </c>
      <c r="I42" s="1906" t="s">
        <v>3422</v>
      </c>
      <c r="J42" s="386">
        <f>SUMIF(122:122,I42,123:123)-SUMIF(122:122,C42,123:123)+100</f>
        <v>100</v>
      </c>
      <c r="K42" s="561">
        <v>2</v>
      </c>
      <c r="L42" s="2720"/>
      <c r="M42" s="2714"/>
      <c r="N42" s="2714"/>
      <c r="O42" s="2714"/>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75" thickBot="1">
      <c r="A43" s="423"/>
      <c r="B43" s="375" t="s">
        <v>1707</v>
      </c>
      <c r="C43" s="1906" t="s">
        <v>3400</v>
      </c>
      <c r="D43" s="386">
        <v>100</v>
      </c>
      <c r="E43" s="1906" t="s">
        <v>3400</v>
      </c>
      <c r="F43" s="412">
        <f>SUMIF(124:124,E43,125:125)-SUMIF(124:124,C43,125:125)+100</f>
        <v>100</v>
      </c>
      <c r="G43" s="1906" t="s">
        <v>3400</v>
      </c>
      <c r="H43" s="386">
        <f>SUMIF(124:124,G43,125:125)-SUMIF(124:124,C43,125:125)+100</f>
        <v>100</v>
      </c>
      <c r="I43" s="1906" t="s">
        <v>3400</v>
      </c>
      <c r="J43" s="386">
        <f>SUMIF(124:124,I43,125:125)-SUMIF(124:124,C43,125:125)+100</f>
        <v>100</v>
      </c>
      <c r="K43" s="561">
        <v>2</v>
      </c>
      <c r="L43" s="2720"/>
      <c r="M43" s="2714"/>
      <c r="N43" s="2714"/>
      <c r="O43" s="2714"/>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f>案例!E2</f>
        <v>20755</v>
      </c>
      <c r="F47" s="1157"/>
      <c r="G47" s="1158">
        <f>案例!E3</f>
        <v>23074</v>
      </c>
      <c r="H47" s="1159"/>
      <c r="I47" s="1156">
        <f>案例!E4</f>
        <v>21696</v>
      </c>
      <c r="J47" s="1159"/>
      <c r="K47" s="714"/>
      <c r="L47" s="2722"/>
      <c r="M47" s="2723"/>
      <c r="N47" s="2714"/>
      <c r="O47" s="2723"/>
      <c r="P47" s="3663" t="str">
        <f>A47</f>
        <v>成交单价（元/平方米）</v>
      </c>
      <c r="Q47" s="3663"/>
      <c r="R47" s="3694">
        <f>E47</f>
        <v>20755</v>
      </c>
      <c r="S47" s="3694"/>
      <c r="T47" s="3694">
        <f>G47</f>
        <v>23074</v>
      </c>
      <c r="U47" s="3694"/>
      <c r="V47" s="3694">
        <f>I47</f>
        <v>21696</v>
      </c>
      <c r="W47" s="3694"/>
      <c r="X47" s="690"/>
      <c r="Y47" s="712"/>
      <c r="Z47" s="690"/>
      <c r="AA47" s="690"/>
      <c r="AB47" s="690"/>
      <c r="AC47" s="690"/>
    </row>
    <row r="48" spans="1:29" ht="15.75" thickBot="1">
      <c r="A48" s="437" t="s">
        <v>1793</v>
      </c>
      <c r="B48" s="438"/>
      <c r="C48" s="1160">
        <f>R49</f>
        <v>21070</v>
      </c>
      <c r="D48" s="2317" t="s">
        <v>2138</v>
      </c>
      <c r="E48" s="1161">
        <f>R48</f>
        <v>20554</v>
      </c>
      <c r="F48" s="2318"/>
      <c r="G48" s="1160">
        <f>T48</f>
        <v>22402</v>
      </c>
      <c r="H48" s="2318"/>
      <c r="I48" s="1161">
        <f>V48</f>
        <v>20254</v>
      </c>
      <c r="J48" s="2318"/>
      <c r="K48" s="2320">
        <f>F48+H48+J48</f>
        <v>0</v>
      </c>
      <c r="L48" s="2722"/>
      <c r="M48" s="2723"/>
      <c r="N48" s="2714"/>
      <c r="O48" s="2723"/>
      <c r="P48" s="3663" t="str">
        <f>A48</f>
        <v>比较价值（元/平方米）</v>
      </c>
      <c r="Q48" s="3663"/>
      <c r="R48" s="3664">
        <f>IF(F1="售价",ROUND(PRODUCT(R47,AA7:AA46),0),ROUND(PRODUCT(R47,AA7:AA46),1))</f>
        <v>20554</v>
      </c>
      <c r="S48" s="3664"/>
      <c r="T48" s="3664">
        <f>IF(F1="售价",ROUND(PRODUCT(T47,AB7:AB46),0),ROUND(PRODUCT(T47,AB7:AB46),1))</f>
        <v>22402</v>
      </c>
      <c r="U48" s="3664"/>
      <c r="V48" s="3664">
        <f>IF(F1="售价",ROUND(PRODUCT(V47,AC7:AC46),0),ROUND(PRODUCT(V47,AC7:AC46),1))</f>
        <v>20254</v>
      </c>
      <c r="W48" s="3664"/>
      <c r="X48" s="690"/>
      <c r="Y48" s="690"/>
      <c r="Z48" s="690"/>
      <c r="AA48" s="690"/>
      <c r="AB48" s="690"/>
      <c r="AC48" s="690"/>
    </row>
    <row r="49" spans="1:29" ht="15.75" thickBot="1">
      <c r="A49" s="441" t="s">
        <v>1794</v>
      </c>
      <c r="B49" s="442"/>
      <c r="C49" s="1163">
        <f>R49</f>
        <v>21070</v>
      </c>
      <c r="D49" s="1163"/>
      <c r="E49" s="1163"/>
      <c r="F49" s="1163"/>
      <c r="G49" s="1163"/>
      <c r="H49" s="1163"/>
      <c r="I49" s="1163"/>
      <c r="J49" s="1163"/>
      <c r="K49" s="715"/>
      <c r="L49" s="2722"/>
      <c r="M49" s="2723"/>
      <c r="N49" s="2714"/>
      <c r="O49" s="2723"/>
      <c r="P49" s="3660" t="str">
        <f>A49</f>
        <v>估价对象XX用房的比较价值（楼面单价，元/平方米）</v>
      </c>
      <c r="Q49" s="3661"/>
      <c r="R49" s="3662">
        <f>IF(F1="售价",ROUND(IF(D48="简单平均",AVERAGE(R48:V48),R48*F48+T48*H48+V48*J48),0),ROUND(IF(D48="简单平均",AVERAGE(R48:V48),R48*F48+T48*H48+V48*J48),1))</f>
        <v>21070</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9.7791184197724146E-3</v>
      </c>
      <c r="F52" s="449" t="str">
        <f>IF(OR(E52&gt;=0.3,E52&lt;=-0.3),"超过30%","")</f>
        <v/>
      </c>
      <c r="G52" s="448">
        <f>IF(G47&lt;G48,G48/G47-1,G47/G48-1)</f>
        <v>2.9997321667708299E-2</v>
      </c>
      <c r="H52" s="449" t="str">
        <f>IF(OR(G52&gt;=0.3,G52&lt;=-0.3),"超过30%","")</f>
        <v/>
      </c>
      <c r="I52" s="448">
        <f>IF(I47&lt;I48,I48/I47-1,I47/I48-1)</f>
        <v>7.1195813172706623E-2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8.9909506665369232E-2</v>
      </c>
      <c r="F53" s="449" t="str">
        <f>IF(OR(E53&gt;=0.2,E53&lt;=-0.2),"超过20%","")</f>
        <v/>
      </c>
      <c r="G53" s="448">
        <f>IF(G48&lt;I48,I48/G48-1,G48/I48-1)</f>
        <v>0.10605312530858102</v>
      </c>
      <c r="H53" s="449" t="str">
        <f>IF(OR(G53&gt;=0.2,G53&lt;=-0.2),"超过20%","")</f>
        <v/>
      </c>
      <c r="I53" s="448">
        <f>IF(I48&lt;E48,E48/I48-1,I48/E48-1)</f>
        <v>1.4811889009578305E-2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0.11173211274391703</v>
      </c>
      <c r="F54" s="449" t="str">
        <f>IF(OR(E54&gt;=0.3,E54&lt;=-0.3),"超过30%","")</f>
        <v/>
      </c>
      <c r="G54" s="448">
        <f>IF(G47&lt;I47,I47/G47-1,G47/I47-1)</f>
        <v>6.3514011799409964E-2</v>
      </c>
      <c r="H54" s="449" t="str">
        <f>IF(OR(G54&gt;=0.3,G54&lt;=-0.3),"超过30%","")</f>
        <v/>
      </c>
      <c r="I54" s="448">
        <f>IF(I47&lt;E47,E47/I47-1,I47/E47-1)</f>
        <v>4.5338472657191042E-2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v>100</v>
      </c>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796" t="s">
        <v>3428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5</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3793" t="s">
        <v>3412</v>
      </c>
      <c r="D92" s="3793" t="s">
        <v>3414</v>
      </c>
      <c r="E92" s="3793" t="s">
        <v>3415</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f>C93-2</f>
        <v>98</v>
      </c>
      <c r="E93" s="485">
        <f>D93-2</f>
        <v>96</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794" t="s">
        <v>3417</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0(含)-60</v>
      </c>
      <c r="D102" s="527" t="str">
        <f t="shared" ref="D102:L102" si="23">D103&amp;"(含)"&amp;"-"&amp;E103</f>
        <v>60(含)-90</v>
      </c>
      <c r="E102" s="527" t="str">
        <f t="shared" si="23"/>
        <v>90(含)-150</v>
      </c>
      <c r="F102" s="527" t="str">
        <f t="shared" si="23"/>
        <v xml:space="preserve">150(含)- </v>
      </c>
      <c r="G102" s="527" t="str">
        <f t="shared" si="23"/>
        <v xml:space="preserve"> (含)-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60</v>
      </c>
      <c r="E103" s="544">
        <v>90</v>
      </c>
      <c r="F103" s="544">
        <v>150</v>
      </c>
      <c r="G103" s="544" t="s">
        <v>3418</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D104-2</f>
        <v>96</v>
      </c>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793" t="s">
        <v>3420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793" t="s">
        <v>3421</v>
      </c>
      <c r="D107" s="3793" t="s">
        <v>3423</v>
      </c>
      <c r="E107" s="3793" t="s">
        <v>3424</v>
      </c>
      <c r="F107" s="3795" t="s">
        <v>3425</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t="str">
        <f>C107</f>
        <v>精装修</v>
      </c>
      <c r="D122" s="503" t="str">
        <f>D107</f>
        <v>普通装修</v>
      </c>
      <c r="E122" s="503" t="str">
        <f>E107</f>
        <v>简单装修</v>
      </c>
      <c r="F122" s="503" t="str">
        <f>F107</f>
        <v>毛坯</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23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134.8631</v>
      </c>
      <c r="C2" s="1387" t="s">
        <v>879</v>
      </c>
      <c r="D2" s="1471">
        <f ca="1">C40+J29+L46</f>
        <v>1348631</v>
      </c>
      <c r="E2" s="1388" t="s">
        <v>880</v>
      </c>
      <c r="F2" s="1389"/>
      <c r="G2" s="2704"/>
      <c r="H2" s="2693"/>
      <c r="I2" s="2693"/>
      <c r="J2" s="2693"/>
      <c r="K2" s="2694"/>
      <c r="L2" s="2693"/>
      <c r="M2" s="2693"/>
    </row>
    <row r="3" spans="1:37" ht="18" customHeight="1" thickBot="1">
      <c r="A3" s="1390" t="s">
        <v>881</v>
      </c>
      <c r="B3" s="1391">
        <f ca="1">IF(ISERROR(D2/F43),0,ROUND(D2/F43,0))</f>
        <v>11114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91801</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91686</v>
      </c>
      <c r="D6" s="155" t="s">
        <v>2106</v>
      </c>
      <c r="E6" s="302" t="s">
        <v>696</v>
      </c>
      <c r="F6" s="303">
        <f ca="1">INDIRECT("'数据-取费表'!u"&amp;$G$1)</f>
        <v>2.2999999999999998</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121.35</v>
      </c>
      <c r="G7" s="1384"/>
      <c r="H7" s="304"/>
      <c r="I7" s="3637"/>
      <c r="J7" s="306"/>
      <c r="K7" s="307"/>
      <c r="L7" s="302" t="s">
        <v>697</v>
      </c>
      <c r="M7" s="303">
        <f ca="1">F7</f>
        <v>121.35</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115</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553011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485400</v>
      </c>
      <c r="D14" s="1345" t="s">
        <v>708</v>
      </c>
      <c r="E14" s="1342"/>
      <c r="F14" s="319"/>
      <c r="G14" s="1384"/>
      <c r="H14" s="982" t="s">
        <v>398</v>
      </c>
      <c r="I14" s="302" t="s">
        <v>709</v>
      </c>
      <c r="J14" s="21">
        <f ca="1">C29</f>
        <v>691264</v>
      </c>
      <c r="K14" s="12"/>
      <c r="L14" s="807"/>
      <c r="M14" s="808"/>
    </row>
    <row r="15" spans="1:37" s="1397" customFormat="1" ht="18" customHeight="1" thickBot="1">
      <c r="A15" s="982" t="s">
        <v>399</v>
      </c>
      <c r="B15" s="302" t="s">
        <v>710</v>
      </c>
      <c r="C15" s="21">
        <f ca="1">ROUND(C14*F15,0)</f>
        <v>14562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6913</v>
      </c>
      <c r="K16" s="1087" t="s">
        <v>715</v>
      </c>
      <c r="L16" s="1088"/>
      <c r="M16" s="1072"/>
    </row>
    <row r="17" spans="1:37" s="1397" customFormat="1" ht="18" customHeight="1">
      <c r="A17" s="982" t="s">
        <v>681</v>
      </c>
      <c r="B17" s="302" t="s">
        <v>716</v>
      </c>
      <c r="C17" s="21">
        <f ca="1">ROUND(F17*(F43+INDIRECT("'数据-取费表'!S"&amp;$G$1)),0)</f>
        <v>18203</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7281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525446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10509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6913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22242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-6913</v>
      </c>
      <c r="K25" s="1095" t="s">
        <v>753</v>
      </c>
      <c r="L25" s="1096"/>
      <c r="M25" s="1097"/>
    </row>
    <row r="26" spans="1:37" ht="18" customHeight="1">
      <c r="A26" s="982" t="s">
        <v>397</v>
      </c>
      <c r="B26" s="302" t="s">
        <v>754</v>
      </c>
      <c r="C26" s="21">
        <f ca="1">ROUND((C19+C20)*F26,0)</f>
        <v>80393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691264</v>
      </c>
      <c r="D29" s="1092"/>
      <c r="E29" s="1090"/>
      <c r="F29" s="1093"/>
      <c r="G29" s="1396"/>
      <c r="H29" s="334" t="s">
        <v>396</v>
      </c>
      <c r="I29" s="335" t="s">
        <v>768</v>
      </c>
      <c r="J29" s="336">
        <f ca="1">ROUND(J26/(1+F40)^F41,0)</f>
        <v>0</v>
      </c>
      <c r="K29" s="337" t="s">
        <v>769</v>
      </c>
      <c r="L29" s="338"/>
      <c r="M29" s="339">
        <f ca="1">INDIRECT("'数据-取费表'!k"&amp;$G$1)</f>
        <v>121.35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14773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6112</v>
      </c>
      <c r="D31" s="1345" t="s">
        <v>720</v>
      </c>
      <c r="E31" s="1344" t="s">
        <v>770</v>
      </c>
      <c r="F31" s="2315">
        <f ca="1">IF(项目基本情况!B11="企业","——",IF(M47="住宅",IF(F6*F7*F8/12/(1+'数据-取费表'!F30)&gt;100000,4%,2.5%),IF(F6*F7*F8/12/(1+'数据-取费表'!F30)&gt;100000,12%,7%)))</f>
        <v>7.0000000000000007E-2</v>
      </c>
      <c r="G31" s="1384"/>
      <c r="H31" s="2806" t="s">
        <v>2305</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6913</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830</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918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77028</v>
      </c>
      <c r="D39" s="1095" t="s">
        <v>773</v>
      </c>
      <c r="E39" s="1096"/>
      <c r="F39" s="1097"/>
      <c r="G39" s="1384"/>
      <c r="H39" s="2698"/>
      <c r="I39" s="1398"/>
      <c r="J39" s="1399"/>
      <c r="K39" s="2702"/>
      <c r="L39" s="2698"/>
      <c r="M39" s="2698"/>
    </row>
    <row r="40" spans="1:18" ht="18" customHeight="1">
      <c r="A40" s="299" t="s">
        <v>395</v>
      </c>
      <c r="B40" s="300" t="s">
        <v>774</v>
      </c>
      <c r="C40" s="301">
        <f ca="1">ROUND(C39*(1-((1+F42)/(1+F40))^F41)/(F40-F42),0)</f>
        <v>1306284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23</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10765</v>
      </c>
      <c r="D43" s="337" t="s">
        <v>777</v>
      </c>
      <c r="E43" s="338" t="s">
        <v>778</v>
      </c>
      <c r="F43" s="339">
        <f ca="1">INDIRECT("'数据-取费表'!k"&amp;$G$1)</f>
        <v>121.35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-140.5975</v>
      </c>
      <c r="D45" s="3430" t="s">
        <v>3353</v>
      </c>
      <c r="E45" s="1400"/>
      <c r="F45" s="1400"/>
      <c r="O45" s="1403" t="s">
        <v>808</v>
      </c>
      <c r="P45" s="1461"/>
      <c r="Q45" s="1461"/>
      <c r="R45" s="1461"/>
    </row>
    <row r="46" spans="1:18" s="1384" customFormat="1" ht="13.5" thickBot="1">
      <c r="A46" s="1404" t="s">
        <v>809</v>
      </c>
      <c r="C46" s="1405">
        <f ca="1">ROUND(C45,0)</f>
        <v>-141</v>
      </c>
      <c r="D46" s="1406" t="str">
        <f>C2</f>
        <v>万元</v>
      </c>
      <c r="I46" s="1407" t="s">
        <v>810</v>
      </c>
      <c r="J46" s="1408"/>
      <c r="K46" s="1409"/>
      <c r="L46" s="1410">
        <f ca="1">IF(M47="住宅",0,IF(L48&gt;J51,L60,J60))</f>
        <v>42347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3419</v>
      </c>
      <c r="K47" s="1416" t="s">
        <v>816</v>
      </c>
      <c r="L47" s="1417">
        <f ca="1">INDIRECT("'数据-取费表'!d"&amp;$G$1)</f>
        <v>40</v>
      </c>
      <c r="M47" s="1380" t="str">
        <f>IF(ISNUMBER(FIND("住宅",C1)),"住宅","非住宅")</f>
        <v>非住宅</v>
      </c>
      <c r="O47" s="1418" t="s">
        <v>403</v>
      </c>
      <c r="P47" s="1419" t="s">
        <v>817</v>
      </c>
      <c r="Q47" s="1420">
        <f ca="1">C40+J29</f>
        <v>1306284</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23</v>
      </c>
      <c r="O48" s="1418" t="s">
        <v>404</v>
      </c>
      <c r="P48" s="1419" t="s">
        <v>821</v>
      </c>
      <c r="Q48" s="1420">
        <f ca="1">J60</f>
        <v>42347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691264</v>
      </c>
      <c r="R49" s="1420" t="s">
        <v>818</v>
      </c>
    </row>
    <row r="50" spans="1:18" s="1384" customFormat="1" ht="13.5" thickBot="1">
      <c r="A50" s="976"/>
      <c r="B50" s="979"/>
      <c r="C50" s="980"/>
      <c r="D50" s="953"/>
      <c r="E50" s="1056" t="s">
        <v>697</v>
      </c>
      <c r="F50" s="1057">
        <f ca="1">F7</f>
        <v>121.35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582761</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23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v>
      </c>
      <c r="K53" s="3634" t="s">
        <v>837</v>
      </c>
      <c r="L53" s="3635"/>
      <c r="O53" s="1418" t="s">
        <v>409</v>
      </c>
      <c r="P53" s="1419" t="s">
        <v>838</v>
      </c>
      <c r="Q53" s="1420">
        <f ca="1">Q47+Q48</f>
        <v>1348631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553011</v>
      </c>
      <c r="D56" s="1447"/>
      <c r="E56" s="1448"/>
      <c r="F56" s="1440"/>
      <c r="I56" s="1449" t="s">
        <v>842</v>
      </c>
      <c r="J56" s="1450" t="s">
        <v>3433</v>
      </c>
      <c r="K56" s="1421" t="s">
        <v>843</v>
      </c>
      <c r="L56" s="1424" t="str">
        <f ca="1">IF(L48&lt;J51,"——",L48-J51)</f>
        <v>——</v>
      </c>
      <c r="O56" s="1418" t="s">
        <v>403</v>
      </c>
      <c r="P56" s="1419" t="s">
        <v>817</v>
      </c>
      <c r="Q56" s="1420">
        <f ca="1">C40+J29</f>
        <v>1306284</v>
      </c>
      <c r="R56" s="1420" t="s">
        <v>818</v>
      </c>
    </row>
    <row r="57" spans="1:18" s="1384" customFormat="1" ht="24.75" thickBot="1">
      <c r="A57" s="1451"/>
      <c r="B57" s="950" t="s">
        <v>767</v>
      </c>
      <c r="C57" s="238">
        <f ca="1">C29</f>
        <v>691264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7743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276506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42347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1306284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6913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830</v>
      </c>
      <c r="D65" s="964" t="s">
        <v>743</v>
      </c>
      <c r="E65" s="950" t="s">
        <v>744</v>
      </c>
      <c r="F65" s="330">
        <f t="shared" ca="1" si="0"/>
        <v>1.5E-3</v>
      </c>
      <c r="I65" s="1462" t="s">
        <v>867</v>
      </c>
      <c r="J65" s="1463">
        <v>40</v>
      </c>
      <c r="K65" s="1463">
        <v>30</v>
      </c>
      <c r="L65" s="1463">
        <v>50</v>
      </c>
      <c r="M65" s="1465">
        <v>0.02</v>
      </c>
      <c r="O65" s="1418" t="s">
        <v>403</v>
      </c>
      <c r="P65" s="1419" t="s">
        <v>868</v>
      </c>
      <c r="Q65" s="1420">
        <f ca="1">C40+J29</f>
        <v>1306284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-7743</v>
      </c>
      <c r="D67" s="963" t="s">
        <v>753</v>
      </c>
      <c r="E67" s="968"/>
      <c r="F67" s="969"/>
      <c r="O67" s="1428" t="s">
        <v>405</v>
      </c>
      <c r="P67" s="1419" t="s">
        <v>850</v>
      </c>
      <c r="Q67" s="1466">
        <f ca="1">L51</f>
        <v>582761</v>
      </c>
      <c r="R67" s="1420" t="s">
        <v>870</v>
      </c>
    </row>
    <row r="68" spans="1:18" s="1384" customFormat="1" ht="16.5" thickBot="1">
      <c r="A68" s="947" t="s">
        <v>395</v>
      </c>
      <c r="B68" s="948" t="s">
        <v>774</v>
      </c>
      <c r="C68" s="301">
        <f ca="1">ROUND(C67*(1-((1+F70)/(1+F68))^F69)/(F68-F70),0)</f>
        <v>-99691</v>
      </c>
      <c r="D68" s="965" t="s">
        <v>758</v>
      </c>
      <c r="E68" s="950" t="s">
        <v>759</v>
      </c>
      <c r="F68" s="312">
        <f ca="1">F40</f>
        <v>5.5E-2</v>
      </c>
      <c r="O68" s="1428" t="s">
        <v>406</v>
      </c>
      <c r="P68" s="1467" t="s">
        <v>871</v>
      </c>
      <c r="Q68" s="1420">
        <f ca="1">ROUND(Q69-Q70*Q71,0)</f>
        <v>32787</v>
      </c>
      <c r="R68" s="1420" t="s">
        <v>414</v>
      </c>
    </row>
    <row r="69" spans="1:18" s="1384" customFormat="1" ht="13.5" thickBot="1">
      <c r="A69" s="951"/>
      <c r="B69" s="952"/>
      <c r="C69" s="306"/>
      <c r="D69" s="970" t="s">
        <v>762</v>
      </c>
      <c r="E69" s="950" t="s">
        <v>763</v>
      </c>
      <c r="F69" s="333">
        <f ca="1">F41</f>
        <v>23</v>
      </c>
      <c r="O69" s="1428" t="s">
        <v>411</v>
      </c>
      <c r="P69" s="1467" t="s">
        <v>872</v>
      </c>
      <c r="Q69" s="1420">
        <f ca="1">C39</f>
        <v>77028</v>
      </c>
      <c r="R69" s="1420" t="s">
        <v>818</v>
      </c>
    </row>
    <row r="70" spans="1:18" s="1384" customFormat="1" ht="13.5" thickBot="1">
      <c r="A70" s="954"/>
      <c r="B70" s="955"/>
      <c r="C70" s="310"/>
      <c r="D70" s="966"/>
      <c r="E70" s="950" t="s">
        <v>766</v>
      </c>
      <c r="F70" s="1054"/>
      <c r="O70" s="1428" t="s">
        <v>412</v>
      </c>
      <c r="P70" s="1467" t="s">
        <v>873</v>
      </c>
      <c r="Q70" s="1420">
        <f ca="1">C13</f>
        <v>553011</v>
      </c>
      <c r="R70" s="1420" t="s">
        <v>818</v>
      </c>
    </row>
    <row r="71" spans="1:18" s="1384" customFormat="1" ht="13.5" thickBot="1">
      <c r="A71" s="971" t="s">
        <v>396</v>
      </c>
      <c r="B71" s="972" t="s">
        <v>776</v>
      </c>
      <c r="C71" s="336">
        <f ca="1">ROUND(C68/F71,0)</f>
        <v>-822</v>
      </c>
      <c r="D71" s="973" t="s">
        <v>777</v>
      </c>
      <c r="E71" s="974" t="s">
        <v>778</v>
      </c>
      <c r="F71" s="339">
        <f ca="1">F43</f>
        <v>121.35</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44241</v>
      </c>
      <c r="D75" s="1384"/>
      <c r="E75" s="1384"/>
      <c r="F75" s="1384"/>
      <c r="K75" s="1402"/>
      <c r="L75" s="1384"/>
      <c r="O75" s="1418" t="s">
        <v>409</v>
      </c>
      <c r="P75" s="1419" t="s">
        <v>838</v>
      </c>
      <c r="Q75" s="1420">
        <f ca="1">Q65+Q66</f>
        <v>1306284</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0.42600000000000005</v>
      </c>
    </row>
    <row r="80" spans="1:18">
      <c r="B80" s="340" t="s">
        <v>800</v>
      </c>
      <c r="C80" s="274">
        <f ca="1">ROUND(C75/C39,3)</f>
        <v>0.57399999999999995</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15" customHeight="1">
      <c r="A2" s="1385" t="s">
        <v>2313</v>
      </c>
      <c r="B2" s="2841" t="e">
        <f>IF(D2="——",C40,C40+E2)</f>
        <v>#DIV/0!</v>
      </c>
      <c r="C2" s="2842" t="s">
        <v>2314</v>
      </c>
      <c r="D2" s="3441" t="s">
        <v>3359</v>
      </c>
      <c r="E2" s="3442"/>
      <c r="F2" s="2844"/>
      <c r="G2" s="2845"/>
      <c r="H2" s="2846"/>
      <c r="I2" s="2847"/>
      <c r="J2" s="3645" t="s">
        <v>2315</v>
      </c>
      <c r="K2" s="3646"/>
      <c r="L2" s="2848" t="s">
        <v>2316</v>
      </c>
      <c r="M2" s="2848" t="s">
        <v>2317</v>
      </c>
      <c r="N2" s="2848" t="s">
        <v>2318</v>
      </c>
      <c r="O2" s="2848" t="s">
        <v>2319</v>
      </c>
      <c r="P2" s="2848" t="s">
        <v>2320</v>
      </c>
      <c r="Q2" s="2849" t="s">
        <v>2321</v>
      </c>
      <c r="R2" s="2850" t="s">
        <v>2322</v>
      </c>
      <c r="S2" s="2839"/>
      <c r="T2" s="2839"/>
      <c r="U2" s="2839"/>
      <c r="V2" s="2847"/>
    </row>
    <row r="3" spans="1:22" s="2851" customFormat="1" ht="13.15" customHeight="1">
      <c r="A3" s="2852" t="s">
        <v>2323</v>
      </c>
      <c r="B3" s="2853" t="e">
        <f>ROUND(B2*10000/B4,0)</f>
        <v>#DIV/0!</v>
      </c>
      <c r="C3" s="2842" t="s">
        <v>2324</v>
      </c>
      <c r="D3" s="2842"/>
      <c r="E3" s="2843"/>
      <c r="F3" s="2844"/>
      <c r="G3" s="2845"/>
      <c r="H3" s="2846"/>
      <c r="I3" s="2847"/>
      <c r="J3" s="3647" t="s">
        <v>2325</v>
      </c>
      <c r="K3" s="3648"/>
      <c r="L3" s="2854"/>
      <c r="M3" s="2854"/>
      <c r="N3" s="2854"/>
      <c r="O3" s="2854"/>
      <c r="P3" s="2854"/>
      <c r="Q3" s="2855"/>
      <c r="R3" s="2856">
        <f>SUM(L3:Q3)</f>
        <v>0</v>
      </c>
      <c r="S3" s="2839"/>
      <c r="T3" s="2839"/>
      <c r="U3" s="2839"/>
      <c r="V3" s="2847"/>
    </row>
    <row r="4" spans="1:22" s="2851" customFormat="1" ht="13.15" customHeight="1">
      <c r="A4" s="2857" t="s">
        <v>2326</v>
      </c>
      <c r="B4" s="2858"/>
      <c r="C4" s="2842"/>
      <c r="D4" s="2842"/>
      <c r="E4" s="2843"/>
      <c r="F4" s="2844"/>
      <c r="G4" s="2845"/>
      <c r="H4" s="2846"/>
      <c r="I4" s="2847"/>
      <c r="J4" s="3647" t="s">
        <v>2327</v>
      </c>
      <c r="K4" s="3648"/>
      <c r="L4" s="2859"/>
      <c r="M4" s="2859"/>
      <c r="N4" s="2859"/>
      <c r="O4" s="2859"/>
      <c r="P4" s="2859"/>
      <c r="Q4" s="2860"/>
      <c r="R4" s="2861">
        <f>SUM(L4:Q4)</f>
        <v>0</v>
      </c>
      <c r="S4" s="2839"/>
      <c r="T4" s="2839"/>
      <c r="U4" s="2839"/>
      <c r="V4" s="2847"/>
    </row>
    <row r="5" spans="1:22" s="2851" customFormat="1" ht="13.15"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15" customHeight="1" thickBot="1">
      <c r="A6" s="3653" t="s">
        <v>2331</v>
      </c>
      <c r="B6" s="3654"/>
      <c r="C6" s="3655"/>
      <c r="D6" s="2868"/>
      <c r="E6" s="2869"/>
      <c r="F6" s="2870"/>
      <c r="G6" s="2871"/>
      <c r="H6" s="2846"/>
      <c r="I6" s="2847"/>
      <c r="J6" s="3639">
        <v>1</v>
      </c>
      <c r="K6" s="3640"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15" customHeight="1">
      <c r="A7" s="2874" t="s">
        <v>2341</v>
      </c>
      <c r="B7" s="2875"/>
      <c r="C7" s="2876"/>
      <c r="D7" s="2877">
        <f>SUM(D9,D10,D11,D17,0)</f>
        <v>0</v>
      </c>
      <c r="E7" s="2878" t="e">
        <f>E9+E10+E11+E17</f>
        <v>#DIV/0!</v>
      </c>
      <c r="F7" s="2879"/>
      <c r="G7" s="2880"/>
      <c r="H7" s="2846"/>
      <c r="I7" s="2847"/>
      <c r="J7" s="3639"/>
      <c r="K7" s="3641"/>
      <c r="L7" s="2881" t="s">
        <v>2342</v>
      </c>
      <c r="M7" s="2882"/>
      <c r="N7" s="2858"/>
      <c r="O7" s="2883"/>
      <c r="P7" s="2883"/>
      <c r="Q7" s="2884">
        <v>365</v>
      </c>
      <c r="R7" s="2885">
        <f>ROUND(M7*N7*O7*P7*Q7/10000,0)</f>
        <v>0</v>
      </c>
      <c r="S7" s="2839"/>
      <c r="T7" s="2839" t="s">
        <v>2343</v>
      </c>
      <c r="U7" s="2839"/>
      <c r="V7" s="2847"/>
    </row>
    <row r="8" spans="1:22" s="2851" customFormat="1" ht="13.15" customHeight="1">
      <c r="A8" s="2886" t="s">
        <v>2344</v>
      </c>
      <c r="B8" s="3656" t="s">
        <v>2345</v>
      </c>
      <c r="C8" s="3657"/>
      <c r="D8" s="2887" t="s">
        <v>2346</v>
      </c>
      <c r="E8" s="2888" t="s">
        <v>2347</v>
      </c>
      <c r="F8" s="2889" t="s">
        <v>2348</v>
      </c>
      <c r="G8" s="2890"/>
      <c r="H8" s="2846"/>
      <c r="I8" s="2847"/>
      <c r="J8" s="3639"/>
      <c r="K8" s="3641"/>
      <c r="L8" s="2881" t="s">
        <v>2349</v>
      </c>
      <c r="M8" s="2882"/>
      <c r="N8" s="2858"/>
      <c r="O8" s="2883"/>
      <c r="P8" s="2883"/>
      <c r="Q8" s="2884">
        <v>365</v>
      </c>
      <c r="R8" s="2885">
        <f t="shared" ref="R8:R13" si="0">ROUND(M8*N8*O8*P8*Q8/10000,0)</f>
        <v>0</v>
      </c>
      <c r="S8" s="2839"/>
      <c r="T8" s="2839" t="s">
        <v>2350</v>
      </c>
      <c r="U8" s="2839"/>
      <c r="V8" s="2847"/>
    </row>
    <row r="9" spans="1:22" s="2851" customFormat="1" ht="13.15" customHeight="1">
      <c r="A9" s="2886">
        <v>1</v>
      </c>
      <c r="B9" s="3656" t="s">
        <v>2351</v>
      </c>
      <c r="C9" s="3657"/>
      <c r="D9" s="2887">
        <f>ROUND(D6*E9,0)</f>
        <v>0</v>
      </c>
      <c r="E9" s="2891"/>
      <c r="F9" s="2892" t="s">
        <v>2352</v>
      </c>
      <c r="G9" s="2871"/>
      <c r="H9" s="2846"/>
      <c r="I9" s="2847"/>
      <c r="J9" s="3639"/>
      <c r="K9" s="3641"/>
      <c r="L9" s="2881" t="s">
        <v>2353</v>
      </c>
      <c r="M9" s="2882"/>
      <c r="N9" s="2858"/>
      <c r="O9" s="2883"/>
      <c r="P9" s="2883"/>
      <c r="Q9" s="2884">
        <v>365</v>
      </c>
      <c r="R9" s="2885">
        <f t="shared" si="0"/>
        <v>0</v>
      </c>
      <c r="S9" s="2839"/>
      <c r="T9" s="2839"/>
      <c r="U9" s="2839"/>
      <c r="V9" s="2847"/>
    </row>
    <row r="10" spans="1:22" s="2851" customFormat="1" ht="13.15" customHeight="1">
      <c r="A10" s="2886">
        <v>2</v>
      </c>
      <c r="B10" s="3656" t="s">
        <v>2354</v>
      </c>
      <c r="C10" s="3657"/>
      <c r="D10" s="2887">
        <f>ROUND(D6*E10,0)</f>
        <v>0</v>
      </c>
      <c r="E10" s="2891"/>
      <c r="F10" s="2892" t="s">
        <v>2355</v>
      </c>
      <c r="G10" s="2871"/>
      <c r="H10" s="2846"/>
      <c r="I10" s="2847"/>
      <c r="J10" s="3639"/>
      <c r="K10" s="3641"/>
      <c r="L10" s="2881" t="s">
        <v>2356</v>
      </c>
      <c r="M10" s="2882"/>
      <c r="N10" s="2858"/>
      <c r="O10" s="2883"/>
      <c r="P10" s="2883"/>
      <c r="Q10" s="2884">
        <v>365</v>
      </c>
      <c r="R10" s="2885">
        <f t="shared" si="0"/>
        <v>0</v>
      </c>
      <c r="S10" s="2839"/>
      <c r="T10" s="2839"/>
      <c r="U10" s="2839"/>
      <c r="V10" s="2847"/>
    </row>
    <row r="11" spans="1:22" s="2851" customFormat="1" ht="13.15" customHeight="1">
      <c r="A11" s="2886">
        <v>3</v>
      </c>
      <c r="B11" s="3656" t="s">
        <v>2357</v>
      </c>
      <c r="C11" s="3657"/>
      <c r="D11" s="2887">
        <f>D12+D14+D15+D16</f>
        <v>0</v>
      </c>
      <c r="E11" s="2893" t="e">
        <f>D11/D6</f>
        <v>#DIV/0!</v>
      </c>
      <c r="F11" s="2889"/>
      <c r="G11" s="2890"/>
      <c r="H11" s="2846"/>
      <c r="I11" s="2847"/>
      <c r="J11" s="3639"/>
      <c r="K11" s="3641"/>
      <c r="L11" s="2881" t="s">
        <v>2358</v>
      </c>
      <c r="M11" s="2882"/>
      <c r="N11" s="2858"/>
      <c r="O11" s="2883"/>
      <c r="P11" s="2883"/>
      <c r="Q11" s="2884">
        <v>365</v>
      </c>
      <c r="R11" s="2885">
        <f t="shared" si="0"/>
        <v>0</v>
      </c>
      <c r="S11" s="2839"/>
      <c r="T11" s="2839"/>
      <c r="U11" s="2839"/>
      <c r="V11" s="2847"/>
    </row>
    <row r="12" spans="1:22" s="2851" customFormat="1" ht="13.15" customHeight="1">
      <c r="A12" s="2894" t="s">
        <v>2359</v>
      </c>
      <c r="B12" s="3649" t="s">
        <v>2360</v>
      </c>
      <c r="C12" s="3650"/>
      <c r="D12" s="2895">
        <f>ROUND(D13*1.2%*(1-30%),0)</f>
        <v>0</v>
      </c>
      <c r="E12" s="2896">
        <v>1.2E-2</v>
      </c>
      <c r="F12" s="2889" t="s">
        <v>2361</v>
      </c>
      <c r="G12" s="2890"/>
      <c r="H12" s="2846"/>
      <c r="I12" s="2847"/>
      <c r="J12" s="3639"/>
      <c r="K12" s="3641"/>
      <c r="L12" s="2881" t="s">
        <v>2362</v>
      </c>
      <c r="M12" s="2882"/>
      <c r="N12" s="2858"/>
      <c r="O12" s="2883"/>
      <c r="P12" s="2883"/>
      <c r="Q12" s="2884">
        <v>365</v>
      </c>
      <c r="R12" s="2885">
        <f t="shared" si="0"/>
        <v>0</v>
      </c>
      <c r="S12" s="2839"/>
      <c r="T12" s="2839"/>
      <c r="U12" s="2839"/>
      <c r="V12" s="2847"/>
    </row>
    <row r="13" spans="1:22" s="2851" customFormat="1" ht="13.15" customHeight="1">
      <c r="A13" s="2894"/>
      <c r="B13" s="2897"/>
      <c r="C13" s="2898" t="s">
        <v>2363</v>
      </c>
      <c r="D13" s="2899"/>
      <c r="E13" s="2900"/>
      <c r="F13" s="2889"/>
      <c r="G13" s="2890"/>
      <c r="H13" s="2846"/>
      <c r="I13" s="2847"/>
      <c r="J13" s="3639"/>
      <c r="K13" s="3641"/>
      <c r="L13" s="2881" t="s">
        <v>2364</v>
      </c>
      <c r="M13" s="2882"/>
      <c r="N13" s="2858"/>
      <c r="O13" s="2883"/>
      <c r="P13" s="2883"/>
      <c r="Q13" s="2884">
        <v>365</v>
      </c>
      <c r="R13" s="2885">
        <f t="shared" si="0"/>
        <v>0</v>
      </c>
      <c r="S13" s="2839"/>
      <c r="T13" s="2839"/>
      <c r="U13" s="2839"/>
      <c r="V13" s="2847"/>
    </row>
    <row r="14" spans="1:22" s="2851" customFormat="1" ht="13.15" customHeight="1">
      <c r="A14" s="2894" t="s">
        <v>2365</v>
      </c>
      <c r="B14" s="3649" t="s">
        <v>2366</v>
      </c>
      <c r="C14" s="3650"/>
      <c r="D14" s="2895">
        <f>ROUND(E14*B5/10000,0)</f>
        <v>0</v>
      </c>
      <c r="E14" s="2884"/>
      <c r="F14" s="2889" t="s">
        <v>2367</v>
      </c>
      <c r="G14" s="2890"/>
      <c r="H14" s="2846"/>
      <c r="I14" s="2847"/>
      <c r="J14" s="3639"/>
      <c r="K14" s="3642"/>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2369</v>
      </c>
      <c r="B15" s="3649" t="s">
        <v>2370</v>
      </c>
      <c r="C15" s="3650"/>
      <c r="D15" s="2895">
        <f>ROUND(D6*E15,0)</f>
        <v>0</v>
      </c>
      <c r="E15" s="2896">
        <v>5.5E-2</v>
      </c>
      <c r="F15" s="2889" t="s">
        <v>2371</v>
      </c>
      <c r="G15" s="2871"/>
      <c r="H15" s="2846"/>
      <c r="I15" s="2847"/>
      <c r="J15" s="3639">
        <v>2</v>
      </c>
      <c r="K15" s="3640"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15" customHeight="1">
      <c r="A16" s="2894" t="s">
        <v>2378</v>
      </c>
      <c r="B16" s="3649" t="s">
        <v>2379</v>
      </c>
      <c r="C16" s="3650"/>
      <c r="D16" s="2906">
        <f>D6*E16</f>
        <v>0</v>
      </c>
      <c r="E16" s="2907"/>
      <c r="F16" s="2892" t="s">
        <v>2380</v>
      </c>
      <c r="G16" s="2871"/>
      <c r="H16" s="2846"/>
      <c r="I16" s="2847"/>
      <c r="J16" s="3639"/>
      <c r="K16" s="3641"/>
      <c r="L16" s="2881" t="s">
        <v>2381</v>
      </c>
      <c r="M16" s="2882"/>
      <c r="N16" s="2882"/>
      <c r="O16" s="2883"/>
      <c r="P16" s="2884">
        <v>365</v>
      </c>
      <c r="Q16" s="2858"/>
      <c r="R16" s="2905">
        <f>ROUND(M16*N16*O16*P16/10000,0)</f>
        <v>0</v>
      </c>
      <c r="S16" s="2839"/>
      <c r="T16" s="2839"/>
      <c r="U16" s="2839"/>
      <c r="V16" s="2847"/>
    </row>
    <row r="17" spans="1:22" s="2851" customFormat="1" ht="13.15" customHeight="1" thickBot="1">
      <c r="A17" s="2908">
        <v>4</v>
      </c>
      <c r="B17" s="3651" t="s">
        <v>2382</v>
      </c>
      <c r="C17" s="3652"/>
      <c r="D17" s="2909">
        <f>ROUND(D6*E17,0)</f>
        <v>0</v>
      </c>
      <c r="E17" s="2910"/>
      <c r="F17" s="2911" t="s">
        <v>2383</v>
      </c>
      <c r="G17" s="2871"/>
      <c r="H17" s="2846"/>
      <c r="I17" s="2847"/>
      <c r="J17" s="3639"/>
      <c r="K17" s="3641"/>
      <c r="L17" s="2881" t="s">
        <v>2384</v>
      </c>
      <c r="M17" s="2882"/>
      <c r="N17" s="2882"/>
      <c r="O17" s="2883"/>
      <c r="P17" s="2884">
        <v>365</v>
      </c>
      <c r="Q17" s="2858"/>
      <c r="R17" s="2905">
        <f>ROUND(M17*N17*O17*P17/10000,0)</f>
        <v>0</v>
      </c>
      <c r="S17" s="2839"/>
      <c r="T17" s="2839"/>
      <c r="U17" s="2839"/>
      <c r="V17" s="2847"/>
    </row>
    <row r="18" spans="1:22" s="2851" customFormat="1" ht="13.15" customHeight="1" thickBot="1">
      <c r="A18" s="2874" t="s">
        <v>2385</v>
      </c>
      <c r="B18" s="2875"/>
      <c r="C18" s="2875"/>
      <c r="D18" s="2912">
        <f>ROUND(D6*E18,0)</f>
        <v>0</v>
      </c>
      <c r="E18" s="2913"/>
      <c r="F18" s="2914" t="s">
        <v>2386</v>
      </c>
      <c r="G18" s="2871"/>
      <c r="H18" s="2846"/>
      <c r="I18" s="2847"/>
      <c r="J18" s="3639"/>
      <c r="K18" s="3641"/>
      <c r="L18" s="2881" t="s">
        <v>2387</v>
      </c>
      <c r="M18" s="2882"/>
      <c r="N18" s="2882"/>
      <c r="O18" s="2883"/>
      <c r="P18" s="2884">
        <v>365</v>
      </c>
      <c r="Q18" s="2858"/>
      <c r="R18" s="2905">
        <f>ROUND(M18*N18*O18*P18/10000,0)</f>
        <v>0</v>
      </c>
      <c r="S18" s="2839"/>
      <c r="T18" s="2839"/>
      <c r="U18" s="2839"/>
      <c r="V18" s="2847"/>
    </row>
    <row r="19" spans="1:22" s="2851" customFormat="1" ht="13.15" customHeight="1" thickBot="1">
      <c r="A19" s="2915" t="s">
        <v>2388</v>
      </c>
      <c r="B19" s="2869"/>
      <c r="C19" s="2869"/>
      <c r="D19" s="2869"/>
      <c r="E19" s="2869"/>
      <c r="F19" s="2870"/>
      <c r="G19" s="2890"/>
      <c r="H19" s="2846"/>
      <c r="I19" s="2847"/>
      <c r="J19" s="3639"/>
      <c r="K19" s="3642"/>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39">
        <v>3</v>
      </c>
      <c r="K20" s="3640"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15" customHeight="1">
      <c r="A21" s="2874"/>
      <c r="B21" s="2875"/>
      <c r="C21" s="2921" t="s">
        <v>2397</v>
      </c>
      <c r="D21" s="2922" t="s">
        <v>2398</v>
      </c>
      <c r="E21" s="2923" t="s">
        <v>2399</v>
      </c>
      <c r="F21" s="2918"/>
      <c r="G21" s="2890"/>
      <c r="H21" s="2846"/>
      <c r="I21" s="2847"/>
      <c r="J21" s="3639"/>
      <c r="K21" s="3641"/>
      <c r="L21" s="2881" t="s">
        <v>2400</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2401</v>
      </c>
      <c r="D22" s="2926" t="s">
        <v>2402</v>
      </c>
      <c r="E22" s="2927" t="s">
        <v>2403</v>
      </c>
      <c r="F22" s="2918"/>
      <c r="G22" s="2928"/>
      <c r="H22" s="2846"/>
      <c r="I22" s="2847"/>
      <c r="J22" s="3639"/>
      <c r="K22" s="3641"/>
      <c r="L22" s="2881" t="s">
        <v>2404</v>
      </c>
      <c r="M22" s="2882"/>
      <c r="N22" s="2882"/>
      <c r="O22" s="2883"/>
      <c r="P22" s="2884">
        <v>365</v>
      </c>
      <c r="Q22" s="2858"/>
      <c r="R22" s="2924">
        <f>ROUND(M22*N22*O22*P22/10000,0)</f>
        <v>0</v>
      </c>
      <c r="S22" s="2920"/>
      <c r="T22" s="2920"/>
      <c r="U22" s="2920"/>
      <c r="V22" s="2847"/>
    </row>
    <row r="23" spans="1:22" s="2851" customFormat="1" ht="13.15" customHeight="1">
      <c r="A23" s="2929">
        <v>1</v>
      </c>
      <c r="B23" s="2930" t="s">
        <v>2405</v>
      </c>
      <c r="C23" s="2931">
        <f>D6</f>
        <v>0</v>
      </c>
      <c r="D23" s="2932">
        <f>C23*(1+D24)</f>
        <v>0</v>
      </c>
      <c r="E23" s="2933">
        <f>D23*(1+E24)</f>
        <v>0</v>
      </c>
      <c r="F23" s="2934"/>
      <c r="G23" s="2935"/>
      <c r="H23" s="2846"/>
      <c r="I23" s="2847"/>
      <c r="J23" s="3639"/>
      <c r="K23" s="3641"/>
      <c r="L23" s="2881" t="s">
        <v>2406</v>
      </c>
      <c r="M23" s="2882"/>
      <c r="N23" s="2882"/>
      <c r="O23" s="2883"/>
      <c r="P23" s="2884">
        <v>365</v>
      </c>
      <c r="Q23" s="2858"/>
      <c r="R23" s="2924">
        <f>ROUND(M23*N23*O23*P23/10000,0)</f>
        <v>0</v>
      </c>
      <c r="S23" s="2839"/>
      <c r="T23" s="2839"/>
      <c r="U23" s="2839"/>
      <c r="V23" s="2847"/>
    </row>
    <row r="24" spans="1:22" s="2851" customFormat="1" ht="13.15" customHeight="1">
      <c r="A24" s="2936"/>
      <c r="B24" s="2937" t="s">
        <v>2407</v>
      </c>
      <c r="C24" s="2938"/>
      <c r="D24" s="2939"/>
      <c r="E24" s="2940"/>
      <c r="F24" s="2941"/>
      <c r="G24" s="2935"/>
      <c r="H24" s="2846"/>
      <c r="I24" s="2847"/>
      <c r="J24" s="3639"/>
      <c r="K24" s="3642"/>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15" customHeight="1">
      <c r="A26" s="2929">
        <v>2</v>
      </c>
      <c r="B26" s="2930" t="s">
        <v>2409</v>
      </c>
      <c r="C26" s="2931">
        <f>D7</f>
        <v>0</v>
      </c>
      <c r="D26" s="2932">
        <f>D23*D27</f>
        <v>0</v>
      </c>
      <c r="E26" s="2933">
        <f>E23*E27</f>
        <v>0</v>
      </c>
      <c r="F26" s="2934"/>
      <c r="G26" s="2935"/>
      <c r="H26" s="2846"/>
      <c r="I26" s="2847"/>
      <c r="J26" s="3643">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15" customHeight="1">
      <c r="A27" s="2936"/>
      <c r="B27" s="2937" t="s">
        <v>2415</v>
      </c>
      <c r="C27" s="2955" t="e">
        <f>E7</f>
        <v>#DIV/0!</v>
      </c>
      <c r="D27" s="2939"/>
      <c r="E27" s="2940"/>
      <c r="F27" s="2941"/>
      <c r="G27" s="2935"/>
      <c r="H27" s="2956"/>
      <c r="I27" s="2947"/>
      <c r="J27" s="364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15"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15" customHeight="1">
      <c r="A32" s="2929">
        <v>4</v>
      </c>
      <c r="B32" s="2930" t="s">
        <v>2423</v>
      </c>
      <c r="C32" s="2931">
        <f>C23-C26-C29</f>
        <v>0</v>
      </c>
      <c r="D32" s="2932">
        <f>D23-D26-D29</f>
        <v>0</v>
      </c>
      <c r="E32" s="2933">
        <f>E23-E26-E29</f>
        <v>0</v>
      </c>
      <c r="F32" s="2934"/>
      <c r="G32" s="2928"/>
      <c r="H32" s="2846"/>
      <c r="I32" s="2847"/>
      <c r="J32" s="3645" t="s">
        <v>2315</v>
      </c>
      <c r="K32" s="3646"/>
      <c r="L32" s="2848" t="s">
        <v>2316</v>
      </c>
      <c r="M32" s="2848" t="s">
        <v>2317</v>
      </c>
      <c r="N32" s="2848" t="s">
        <v>2318</v>
      </c>
      <c r="O32" s="2848" t="s">
        <v>2319</v>
      </c>
      <c r="P32" s="2848" t="s">
        <v>2320</v>
      </c>
      <c r="Q32" s="2849" t="s">
        <v>2321</v>
      </c>
      <c r="R32" s="2971" t="s">
        <v>2322</v>
      </c>
      <c r="S32" s="2920"/>
      <c r="T32" s="2839"/>
      <c r="U32" s="2839"/>
      <c r="V32" s="2947"/>
    </row>
    <row r="33" spans="1:23" s="2851" customFormat="1" ht="13.15" customHeight="1">
      <c r="A33" s="2929"/>
      <c r="B33" s="2930"/>
      <c r="C33" s="2931"/>
      <c r="D33" s="2972"/>
      <c r="E33" s="2973"/>
      <c r="F33" s="2934"/>
      <c r="G33" s="2928"/>
      <c r="H33" s="2956"/>
      <c r="I33" s="2947"/>
      <c r="J33" s="3647" t="s">
        <v>2325</v>
      </c>
      <c r="K33" s="3648"/>
      <c r="L33" s="2854"/>
      <c r="M33" s="2854"/>
      <c r="N33" s="2854"/>
      <c r="O33" s="2854"/>
      <c r="P33" s="2854"/>
      <c r="Q33" s="2855"/>
      <c r="R33" s="2974">
        <f>SUM(L33:Q33)</f>
        <v>0</v>
      </c>
      <c r="S33" s="2920"/>
      <c r="T33" s="2839"/>
      <c r="U33" s="2839"/>
      <c r="V33" s="2847"/>
    </row>
    <row r="34" spans="1:23" s="2851" customFormat="1" ht="13.15" customHeight="1">
      <c r="A34" s="2929">
        <v>5</v>
      </c>
      <c r="B34" s="2930" t="s">
        <v>2424</v>
      </c>
      <c r="C34" s="2975"/>
      <c r="D34" s="2976"/>
      <c r="E34" s="2977"/>
      <c r="F34" s="2934"/>
      <c r="G34" s="2928"/>
      <c r="H34" s="2956"/>
      <c r="I34" s="2947"/>
      <c r="J34" s="3647" t="s">
        <v>2327</v>
      </c>
      <c r="K34" s="364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15" customHeight="1" thickBot="1">
      <c r="A36" s="2929">
        <v>7</v>
      </c>
      <c r="B36" s="2984" t="s">
        <v>2426</v>
      </c>
      <c r="C36" s="2985"/>
      <c r="D36" s="2986"/>
      <c r="E36" s="2987"/>
      <c r="F36" s="2988">
        <f>C36+D36+E36</f>
        <v>0</v>
      </c>
      <c r="G36" s="2928"/>
      <c r="H36" s="2846"/>
      <c r="I36" s="2847"/>
      <c r="J36" s="3639">
        <v>1</v>
      </c>
      <c r="K36" s="3640" t="s">
        <v>2427</v>
      </c>
      <c r="L36" s="2872"/>
      <c r="M36" s="2873"/>
      <c r="N36" s="2873"/>
      <c r="O36" s="2873"/>
      <c r="P36" s="2873"/>
      <c r="Q36" s="2873"/>
      <c r="R36" s="2856" t="s">
        <v>2339</v>
      </c>
      <c r="S36" s="2920"/>
      <c r="T36" s="2839" t="s">
        <v>2340</v>
      </c>
      <c r="U36" s="2839"/>
      <c r="V36" s="2847"/>
    </row>
    <row r="37" spans="1:23" s="2851" customFormat="1" ht="13.15" customHeight="1">
      <c r="A37" s="2929"/>
      <c r="B37" s="2930"/>
      <c r="C37" s="2930"/>
      <c r="D37" s="2930"/>
      <c r="E37" s="2930"/>
      <c r="F37" s="2934"/>
      <c r="G37" s="2928"/>
      <c r="H37" s="2846"/>
      <c r="I37" s="2847"/>
      <c r="J37" s="3639"/>
      <c r="K37" s="3641"/>
      <c r="L37" s="2881"/>
      <c r="M37" s="2882"/>
      <c r="N37" s="2858"/>
      <c r="O37" s="2883"/>
      <c r="P37" s="2883"/>
      <c r="Q37" s="2884"/>
      <c r="R37" s="2885"/>
      <c r="S37" s="2920"/>
      <c r="T37" s="2839" t="s">
        <v>2343</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39"/>
      <c r="K38" s="3641"/>
      <c r="L38" s="2881"/>
      <c r="M38" s="2882"/>
      <c r="N38" s="2858"/>
      <c r="O38" s="2883"/>
      <c r="P38" s="2883"/>
      <c r="Q38" s="2884"/>
      <c r="R38" s="2885"/>
      <c r="S38" s="2920"/>
      <c r="T38" s="2839" t="s">
        <v>2350</v>
      </c>
      <c r="U38" s="2839"/>
      <c r="V38" s="2847"/>
    </row>
    <row r="39" spans="1:23" s="2851" customFormat="1" ht="13.15" customHeight="1">
      <c r="A39" s="2929">
        <v>9</v>
      </c>
      <c r="B39" s="2930" t="s">
        <v>2428</v>
      </c>
      <c r="C39" s="2895" t="e">
        <f>C38</f>
        <v>#DIV/0!</v>
      </c>
      <c r="D39" s="2930">
        <f>D38/(1+D34)^C36</f>
        <v>0</v>
      </c>
      <c r="E39" s="2930">
        <f>E38/(1+E34)^(C36+D36)</f>
        <v>0</v>
      </c>
      <c r="F39" s="2934"/>
      <c r="G39" s="2989"/>
      <c r="H39" s="2846"/>
      <c r="I39" s="2847"/>
      <c r="J39" s="3639"/>
      <c r="K39" s="3641"/>
      <c r="L39" s="2881"/>
      <c r="M39" s="2882"/>
      <c r="N39" s="2858"/>
      <c r="O39" s="2883"/>
      <c r="P39" s="2883"/>
      <c r="Q39" s="2884"/>
      <c r="R39" s="2885"/>
      <c r="S39" s="2920"/>
      <c r="T39" s="2839"/>
      <c r="U39" s="2839"/>
      <c r="V39" s="2847"/>
    </row>
    <row r="40" spans="1:23" s="2851" customFormat="1" ht="13.15" customHeight="1">
      <c r="A40" s="2990">
        <v>10</v>
      </c>
      <c r="B40" s="2930" t="s">
        <v>2429</v>
      </c>
      <c r="C40" s="2991" t="e">
        <f>C39+D39+E39</f>
        <v>#DIV/0!</v>
      </c>
      <c r="D40" s="2992"/>
      <c r="E40" s="2992"/>
      <c r="F40" s="2993"/>
      <c r="G40" s="2928"/>
      <c r="H40" s="2846"/>
      <c r="I40" s="2847"/>
      <c r="J40" s="3639"/>
      <c r="K40" s="3642"/>
      <c r="L40" s="2901" t="s">
        <v>2368</v>
      </c>
      <c r="M40" s="2902"/>
      <c r="N40" s="2902"/>
      <c r="O40" s="2903"/>
      <c r="P40" s="2903"/>
      <c r="Q40" s="2904"/>
      <c r="R40" s="2850">
        <f>SUM(R37:R39)</f>
        <v>0</v>
      </c>
      <c r="S40" s="2920"/>
      <c r="T40" s="2839"/>
      <c r="U40" s="2839"/>
      <c r="V40" s="2847"/>
    </row>
    <row r="41" spans="1:23" s="2851" customFormat="1" ht="13.15"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3">
        <v>3</v>
      </c>
      <c r="K42" s="2949" t="s">
        <v>2410</v>
      </c>
      <c r="L42" s="2950"/>
      <c r="M42" s="2951"/>
      <c r="N42" s="2952" t="s">
        <v>2411</v>
      </c>
      <c r="O42" s="2952" t="s">
        <v>2412</v>
      </c>
      <c r="P42" s="2953" t="s">
        <v>2413</v>
      </c>
      <c r="Q42" s="2953" t="s">
        <v>2414</v>
      </c>
      <c r="R42" s="2856" t="s">
        <v>2339</v>
      </c>
      <c r="S42" s="2954"/>
      <c r="T42" s="2954"/>
      <c r="U42" s="2839"/>
      <c r="V42" s="2847"/>
    </row>
    <row r="43" spans="1:23" ht="13.15" customHeight="1">
      <c r="A43" s="2851"/>
      <c r="B43" s="2851"/>
      <c r="C43" s="2851"/>
      <c r="D43" s="2851"/>
      <c r="E43" s="2851"/>
      <c r="F43" s="2851"/>
      <c r="I43" s="2834"/>
      <c r="J43" s="364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134.8631</v>
      </c>
      <c r="C2" s="1872" t="s">
        <v>1651</v>
      </c>
      <c r="D2" s="1873" t="s">
        <v>1652</v>
      </c>
      <c r="E2" s="2605">
        <f>SUM(E6:E13)</f>
        <v>121.35</v>
      </c>
      <c r="F2" s="2705"/>
      <c r="G2" s="1489"/>
      <c r="H2" s="1489"/>
      <c r="I2" s="1489"/>
      <c r="J2" s="1489"/>
      <c r="K2" s="1489"/>
      <c r="L2" s="1489"/>
      <c r="M2" s="1489"/>
      <c r="N2" s="1489"/>
      <c r="O2" s="1489"/>
      <c r="P2" s="1489"/>
      <c r="Q2" s="1489"/>
      <c r="R2" s="1489"/>
      <c r="S2" s="1489"/>
    </row>
    <row r="3" spans="1:22" ht="15.75">
      <c r="A3" s="1870" t="s">
        <v>686</v>
      </c>
      <c r="B3" s="2599">
        <f ca="1">ROUND(B2*10000/E2,0)</f>
        <v>11114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8" t="s">
        <v>1654</v>
      </c>
      <c r="C5" s="365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134.8631</v>
      </c>
      <c r="C6" s="1872" t="s">
        <v>1651</v>
      </c>
      <c r="D6" s="2707"/>
      <c r="E6" s="2604">
        <f>IF(OR(A6=0,F6="否"),0,'数据-取费表'!K6+'数据-取费表'!S6)</f>
        <v>121.35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121.35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3"/>
      <c r="M4" s="2714"/>
      <c r="N4" s="2714"/>
      <c r="O4" s="2714"/>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90"/>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1890"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4"/>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3"/>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3"/>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3"/>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3"/>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3"/>
      <c r="M5" s="2714"/>
      <c r="N5" s="2714"/>
      <c r="O5" s="2714"/>
      <c r="P5" s="3714"/>
      <c r="Q5" s="3685"/>
      <c r="R5" s="3690"/>
      <c r="S5" s="3691"/>
      <c r="T5" s="3690"/>
      <c r="U5" s="3691"/>
      <c r="V5" s="3694"/>
      <c r="W5" s="3694"/>
      <c r="X5" s="1355"/>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715"/>
      <c r="Q6" s="3687"/>
      <c r="R6" s="3690"/>
      <c r="S6" s="3691"/>
      <c r="T6" s="3692"/>
      <c r="U6" s="3693"/>
      <c r="V6" s="3694"/>
      <c r="W6" s="3694"/>
      <c r="X6" s="1355"/>
      <c r="Y6" s="3692"/>
      <c r="Z6" s="3693"/>
      <c r="AA6" s="3677"/>
      <c r="AB6" s="3677"/>
      <c r="AC6" s="3711"/>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3"/>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3"/>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3"/>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3"/>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45056</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受贵公司委托，我公司对北京市北京经济技术开发区荣华南路16号1幢10层A座1002房地产抵押价值进行了预评估。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估价对象为北京市北京经济技术开发区荣华南路16号1幢10层A座1002房地产，为所有。根据《国有土地使用证》[]，估价对象（分摊）出让国有建设用地使用权面积为0平方米，建筑面积为121.35平方米。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16号1幢10层A座1002房地产,属开发建设的，该项目尚在开发建设中。根据《国有土地使用证》[]，估价对象（分摊）出让国有建设用地使用权面积为0平方米，规划建筑面积为121.35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北京经济技术开发区荣华南路16号1幢10层A座1002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45056</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7"/>
      <c r="M10" s="2718"/>
      <c r="N10" s="2718"/>
      <c r="O10" s="2771"/>
      <c r="P10" s="3663"/>
      <c r="Q10" s="1343" t="str">
        <f t="shared" si="6"/>
        <v>土地使用年限（年）</v>
      </c>
      <c r="R10" s="701" t="s">
        <v>14</v>
      </c>
      <c r="S10" s="702">
        <f t="shared" si="0"/>
        <v>127</v>
      </c>
      <c r="T10" s="701" t="s">
        <v>14</v>
      </c>
      <c r="U10" s="702">
        <f t="shared" si="1"/>
        <v>127</v>
      </c>
      <c r="V10" s="701" t="s">
        <v>14</v>
      </c>
      <c r="W10" s="702">
        <f t="shared" si="2"/>
        <v>127</v>
      </c>
      <c r="X10" s="703"/>
      <c r="Y10" s="3538"/>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121.35</v>
      </c>
      <c r="F56" s="886" t="e">
        <f t="shared" ref="F56:F64" si="15">ROUND(B56*E56/10000,0)</f>
        <v>#DIV/0!</v>
      </c>
      <c r="G56" s="3674"/>
      <c r="H56" s="366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121.35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7"/>
      <c r="M10" s="2718"/>
      <c r="N10" s="2718"/>
      <c r="O10" s="2771"/>
      <c r="P10" s="3663"/>
      <c r="Q10" s="1343" t="str">
        <f t="shared" si="6"/>
        <v>土地使用年限（年）</v>
      </c>
      <c r="R10" s="701" t="s">
        <v>14</v>
      </c>
      <c r="S10" s="702">
        <f t="shared" si="0"/>
        <v>127</v>
      </c>
      <c r="T10" s="701" t="s">
        <v>14</v>
      </c>
      <c r="U10" s="702">
        <f t="shared" si="1"/>
        <v>127</v>
      </c>
      <c r="V10" s="701" t="s">
        <v>14</v>
      </c>
      <c r="W10" s="702">
        <f t="shared" si="2"/>
        <v>127</v>
      </c>
      <c r="X10" s="703"/>
      <c r="Y10" s="3538"/>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121.35</v>
      </c>
      <c r="F51" s="639" t="e">
        <f t="shared" ref="F51:F60" si="15">ROUND(B51*E51/10000,0)</f>
        <v>#DIV/0!</v>
      </c>
      <c r="G51" s="3674"/>
      <c r="H51" s="366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42"/>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7" t="s">
        <v>3254</v>
      </c>
      <c r="B20" s="167" t="s">
        <v>1994</v>
      </c>
      <c r="C20" s="3323" t="e">
        <f>ROUND(IF(F21="与级别开发程度一致",0,(G21-E21)/C21),0)</f>
        <v>#DIV/0!</v>
      </c>
      <c r="D20" s="3339" t="s">
        <v>1998</v>
      </c>
      <c r="E20" s="3340"/>
      <c r="F20" s="3753" t="s">
        <v>1995</v>
      </c>
      <c r="G20" s="3754"/>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4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45056</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一般</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一般</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一般</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2610</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3277</v>
      </c>
      <c r="B99" s="3368" t="str">
        <f>估价对象房地状况!C21</f>
        <v>一般</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3279</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9" t="s">
        <v>3294</v>
      </c>
      <c r="B103" s="3749"/>
      <c r="C103" s="3749"/>
      <c r="D103" s="3749"/>
      <c r="E103" s="3749"/>
      <c r="F103" s="3749"/>
      <c r="G103" s="3749"/>
      <c r="H103" s="3749"/>
      <c r="I103" s="3749"/>
      <c r="J103" s="3749"/>
      <c r="K103" s="3388"/>
      <c r="L103" s="3388"/>
      <c r="M103" s="3388"/>
      <c r="N103" s="3388"/>
    </row>
    <row r="104" spans="1:14">
      <c r="A104" s="3750" t="s">
        <v>3295</v>
      </c>
      <c r="B104" s="3750" t="s">
        <v>3296</v>
      </c>
      <c r="C104" s="3389" t="s">
        <v>3297</v>
      </c>
      <c r="D104" s="3390"/>
      <c r="E104" s="3390"/>
      <c r="F104" s="3390"/>
      <c r="G104" s="3390"/>
      <c r="H104" s="3390"/>
      <c r="I104" s="3390"/>
      <c r="J104" s="3391"/>
      <c r="K104" s="3392"/>
      <c r="L104" s="3392"/>
      <c r="M104" s="3392"/>
      <c r="N104" s="3392"/>
    </row>
    <row r="105" spans="1:14">
      <c r="A105" s="3750"/>
      <c r="B105" s="3750"/>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36"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9" t="s">
        <v>3311</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764" t="s">
        <v>2605</v>
      </c>
      <c r="B20" s="3759" t="s">
        <v>2626</v>
      </c>
      <c r="C20" s="3101" t="s">
        <v>2437</v>
      </c>
      <c r="D20" s="3102"/>
      <c r="E20" s="3103">
        <v>1</v>
      </c>
      <c r="F20" s="3104" t="s">
        <v>2438</v>
      </c>
      <c r="G20" s="3104"/>
    </row>
    <row r="21" spans="1:13" ht="19.5" customHeight="1">
      <c r="A21" s="3765"/>
      <c r="B21" s="3758"/>
      <c r="C21" s="3105" t="s">
        <v>2439</v>
      </c>
      <c r="D21" s="3106"/>
      <c r="E21" s="3107">
        <v>1</v>
      </c>
      <c r="F21" s="3104" t="s">
        <v>2440</v>
      </c>
      <c r="G21" s="3104"/>
    </row>
    <row r="22" spans="1:13" ht="19.5" customHeight="1">
      <c r="A22" s="3765"/>
      <c r="B22" s="3758"/>
      <c r="C22" s="3105" t="s">
        <v>2441</v>
      </c>
      <c r="D22" s="3106"/>
      <c r="E22" s="3107">
        <v>0.9</v>
      </c>
      <c r="F22" s="3104" t="s">
        <v>2442</v>
      </c>
      <c r="G22" s="3104"/>
    </row>
    <row r="23" spans="1:13" ht="19.5" customHeight="1">
      <c r="A23" s="3765"/>
      <c r="B23" s="3758"/>
      <c r="C23" s="3105" t="s">
        <v>2443</v>
      </c>
      <c r="D23" s="3106"/>
      <c r="E23" s="3107">
        <v>0.9</v>
      </c>
      <c r="F23" s="3104" t="s">
        <v>2444</v>
      </c>
      <c r="G23" s="3104"/>
    </row>
    <row r="24" spans="1:13" ht="19.5" customHeight="1">
      <c r="A24" s="3765"/>
      <c r="B24" s="3758"/>
      <c r="C24" s="3105" t="s">
        <v>2445</v>
      </c>
      <c r="D24" s="3106"/>
      <c r="E24" s="3107">
        <v>0.8</v>
      </c>
      <c r="F24" s="3104" t="s">
        <v>2446</v>
      </c>
      <c r="G24" s="3104"/>
    </row>
    <row r="25" spans="1:13" ht="19.5" customHeight="1" thickBot="1">
      <c r="A25" s="3766"/>
      <c r="B25" s="3760"/>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761" t="s">
        <v>2629</v>
      </c>
      <c r="B27" s="3759" t="s">
        <v>2610</v>
      </c>
      <c r="C27" s="3101" t="s">
        <v>2450</v>
      </c>
      <c r="D27" s="3102"/>
      <c r="E27" s="3103">
        <v>1</v>
      </c>
      <c r="F27" s="3104" t="s">
        <v>2451</v>
      </c>
      <c r="G27" s="3104"/>
    </row>
    <row r="28" spans="1:13" ht="19.5" customHeight="1">
      <c r="A28" s="3762"/>
      <c r="B28" s="3758"/>
      <c r="C28" s="3105" t="s">
        <v>2452</v>
      </c>
      <c r="D28" s="3106"/>
      <c r="E28" s="3107">
        <v>1</v>
      </c>
      <c r="F28" s="3104" t="s">
        <v>2453</v>
      </c>
      <c r="G28" s="3104"/>
    </row>
    <row r="29" spans="1:13" ht="19.5" customHeight="1">
      <c r="A29" s="3762"/>
      <c r="B29" s="3758"/>
      <c r="C29" s="3105" t="s">
        <v>2454</v>
      </c>
      <c r="D29" s="3106"/>
      <c r="E29" s="3107">
        <v>0.8</v>
      </c>
      <c r="F29" s="3104" t="s">
        <v>2455</v>
      </c>
      <c r="G29" s="3104"/>
    </row>
    <row r="30" spans="1:13" ht="19.5" customHeight="1">
      <c r="A30" s="3762"/>
      <c r="B30" s="3758"/>
      <c r="C30" s="3105" t="s">
        <v>2456</v>
      </c>
      <c r="D30" s="3106"/>
      <c r="E30" s="3107">
        <v>0.8</v>
      </c>
      <c r="F30" s="3104" t="s">
        <v>2457</v>
      </c>
      <c r="G30" s="3104"/>
    </row>
    <row r="31" spans="1:13" ht="19.5" customHeight="1">
      <c r="A31" s="3762"/>
      <c r="B31" s="3758"/>
      <c r="C31" s="3105" t="s">
        <v>2458</v>
      </c>
      <c r="D31" s="3106"/>
      <c r="E31" s="3107">
        <v>0.8</v>
      </c>
      <c r="F31" s="3104" t="s">
        <v>2459</v>
      </c>
      <c r="G31" s="3104"/>
    </row>
    <row r="32" spans="1:13" ht="19.5" customHeight="1">
      <c r="A32" s="3762"/>
      <c r="B32" s="3758"/>
      <c r="C32" s="3105" t="s">
        <v>2460</v>
      </c>
      <c r="D32" s="3106"/>
      <c r="E32" s="3107">
        <v>0.7</v>
      </c>
      <c r="F32" s="3104" t="s">
        <v>2461</v>
      </c>
      <c r="G32" s="3104"/>
    </row>
    <row r="33" spans="1:7" ht="19.5" customHeight="1">
      <c r="A33" s="3762"/>
      <c r="B33" s="3758"/>
      <c r="C33" s="3105" t="s">
        <v>2462</v>
      </c>
      <c r="D33" s="3106"/>
      <c r="E33" s="3107">
        <v>0.8</v>
      </c>
      <c r="F33" s="3104" t="s">
        <v>2463</v>
      </c>
      <c r="G33" s="3104"/>
    </row>
    <row r="34" spans="1:7" ht="19.5" customHeight="1">
      <c r="A34" s="3762"/>
      <c r="B34" s="3758"/>
      <c r="C34" s="3105" t="s">
        <v>2464</v>
      </c>
      <c r="D34" s="3106"/>
      <c r="E34" s="3107">
        <v>0.6</v>
      </c>
      <c r="F34" s="3104" t="s">
        <v>2465</v>
      </c>
      <c r="G34" s="3104"/>
    </row>
    <row r="35" spans="1:7" ht="19.5" customHeight="1">
      <c r="A35" s="3762"/>
      <c r="B35" s="3758"/>
      <c r="C35" s="3105" t="s">
        <v>2466</v>
      </c>
      <c r="D35" s="3106"/>
      <c r="E35" s="3107">
        <v>0.2</v>
      </c>
      <c r="F35" s="3104" t="s">
        <v>2467</v>
      </c>
      <c r="G35" s="3104"/>
    </row>
    <row r="36" spans="1:7" ht="19.5" customHeight="1">
      <c r="A36" s="3762"/>
      <c r="B36" s="3758"/>
      <c r="C36" s="3105" t="s">
        <v>2468</v>
      </c>
      <c r="D36" s="3106"/>
      <c r="E36" s="3107">
        <v>0.2</v>
      </c>
      <c r="F36" s="3104" t="s">
        <v>2469</v>
      </c>
      <c r="G36" s="3104"/>
    </row>
    <row r="37" spans="1:7" ht="19.5" customHeight="1">
      <c r="A37" s="3762"/>
      <c r="B37" s="3756" t="s">
        <v>2630</v>
      </c>
      <c r="C37" s="3105" t="s">
        <v>2470</v>
      </c>
      <c r="D37" s="3106"/>
      <c r="E37" s="3107">
        <v>0.6</v>
      </c>
      <c r="F37" s="3104" t="s">
        <v>2471</v>
      </c>
      <c r="G37" s="3104"/>
    </row>
    <row r="38" spans="1:7" ht="19.5" customHeight="1">
      <c r="A38" s="3762"/>
      <c r="B38" s="3758"/>
      <c r="C38" s="3105" t="s">
        <v>2472</v>
      </c>
      <c r="D38" s="3106"/>
      <c r="E38" s="3107">
        <v>0.6</v>
      </c>
      <c r="F38" s="3104" t="s">
        <v>2473</v>
      </c>
      <c r="G38" s="3104"/>
    </row>
    <row r="39" spans="1:7" ht="19.5" customHeight="1" thickBot="1">
      <c r="A39" s="3763"/>
      <c r="B39" s="3760"/>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764" t="s">
        <v>2608</v>
      </c>
      <c r="B41" s="3759" t="s">
        <v>2632</v>
      </c>
      <c r="C41" s="3101" t="s">
        <v>2477</v>
      </c>
      <c r="D41" s="3102"/>
      <c r="E41" s="3103">
        <v>1</v>
      </c>
      <c r="F41" s="3104" t="s">
        <v>2478</v>
      </c>
      <c r="G41" s="3104"/>
    </row>
    <row r="42" spans="1:7" ht="19.5" customHeight="1">
      <c r="A42" s="3765"/>
      <c r="B42" s="3758"/>
      <c r="C42" s="3105" t="s">
        <v>2479</v>
      </c>
      <c r="D42" s="3106"/>
      <c r="E42" s="3107">
        <v>1</v>
      </c>
      <c r="F42" s="3104" t="s">
        <v>2480</v>
      </c>
      <c r="G42" s="3104"/>
    </row>
    <row r="43" spans="1:7" ht="19.5" customHeight="1">
      <c r="A43" s="3765"/>
      <c r="B43" s="3757"/>
      <c r="C43" s="3105" t="s">
        <v>2481</v>
      </c>
      <c r="D43" s="3106"/>
      <c r="E43" s="3107">
        <v>1.5</v>
      </c>
      <c r="F43" s="3104" t="s">
        <v>2482</v>
      </c>
      <c r="G43" s="3104"/>
    </row>
    <row r="44" spans="1:7" ht="19.5" customHeight="1">
      <c r="A44" s="3765"/>
      <c r="B44" s="3116" t="s">
        <v>2633</v>
      </c>
      <c r="C44" s="3105" t="s">
        <v>2634</v>
      </c>
      <c r="D44" s="3106"/>
      <c r="E44" s="3107">
        <v>2</v>
      </c>
      <c r="F44" s="3104" t="s">
        <v>2483</v>
      </c>
      <c r="G44" s="3104"/>
    </row>
    <row r="45" spans="1:7" ht="19.5" customHeight="1">
      <c r="A45" s="3765"/>
      <c r="B45" s="3756" t="s">
        <v>2635</v>
      </c>
      <c r="C45" s="3105" t="s">
        <v>2484</v>
      </c>
      <c r="D45" s="3106"/>
      <c r="E45" s="3107">
        <v>1</v>
      </c>
      <c r="F45" s="3104" t="s">
        <v>2485</v>
      </c>
      <c r="G45" s="3104"/>
    </row>
    <row r="46" spans="1:7" ht="19.5" customHeight="1">
      <c r="A46" s="3765"/>
      <c r="B46" s="3758"/>
      <c r="C46" s="3105" t="s">
        <v>2486</v>
      </c>
      <c r="D46" s="3106"/>
      <c r="E46" s="3107">
        <v>1</v>
      </c>
      <c r="F46" s="3104" t="s">
        <v>2487</v>
      </c>
      <c r="G46" s="3104"/>
    </row>
    <row r="47" spans="1:7" ht="19.5" customHeight="1">
      <c r="A47" s="3765"/>
      <c r="B47" s="3758"/>
      <c r="C47" s="3105" t="s">
        <v>2488</v>
      </c>
      <c r="D47" s="3106"/>
      <c r="E47" s="3107">
        <v>1</v>
      </c>
      <c r="F47" s="3104" t="s">
        <v>2489</v>
      </c>
      <c r="G47" s="3104"/>
    </row>
    <row r="48" spans="1:7" ht="19.5" customHeight="1">
      <c r="A48" s="3765"/>
      <c r="B48" s="3758"/>
      <c r="C48" s="3105" t="s">
        <v>2490</v>
      </c>
      <c r="D48" s="3106"/>
      <c r="E48" s="3107">
        <v>1</v>
      </c>
      <c r="F48" s="3104" t="s">
        <v>2491</v>
      </c>
      <c r="G48" s="3104"/>
    </row>
    <row r="49" spans="1:7" ht="19.5" customHeight="1">
      <c r="A49" s="3765"/>
      <c r="B49" s="3758"/>
      <c r="C49" s="3105" t="s">
        <v>2492</v>
      </c>
      <c r="D49" s="3106"/>
      <c r="E49" s="3107">
        <v>1</v>
      </c>
      <c r="F49" s="3104" t="s">
        <v>2493</v>
      </c>
      <c r="G49" s="3104"/>
    </row>
    <row r="50" spans="1:7" ht="19.5" customHeight="1">
      <c r="A50" s="3765"/>
      <c r="B50" s="3758"/>
      <c r="C50" s="3105" t="s">
        <v>2494</v>
      </c>
      <c r="D50" s="3106"/>
      <c r="E50" s="3107">
        <v>1</v>
      </c>
      <c r="F50" s="3104" t="s">
        <v>2495</v>
      </c>
      <c r="G50" s="3104"/>
    </row>
    <row r="51" spans="1:7" ht="19.5" customHeight="1" thickBot="1">
      <c r="A51" s="3766"/>
      <c r="B51" s="3760"/>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3.5">
      <c r="A72" s="3116"/>
      <c r="B72" s="3116"/>
      <c r="C72" s="3116" t="s">
        <v>2648</v>
      </c>
      <c r="D72" s="3116"/>
      <c r="E72" s="3116" t="s">
        <v>2619</v>
      </c>
      <c r="F72" s="3116" t="s">
        <v>2619</v>
      </c>
    </row>
    <row r="73" spans="1:7" ht="13.5">
      <c r="A73" s="3116">
        <v>1</v>
      </c>
      <c r="B73" s="3756" t="s">
        <v>2649</v>
      </c>
      <c r="C73" s="3090" t="s">
        <v>2650</v>
      </c>
      <c r="D73" s="3090" t="s">
        <v>2651</v>
      </c>
      <c r="E73" s="3116">
        <v>0.2</v>
      </c>
      <c r="F73" s="3116">
        <v>25</v>
      </c>
    </row>
    <row r="74" spans="1:7" ht="24">
      <c r="A74" s="3116">
        <v>2</v>
      </c>
      <c r="B74" s="3758"/>
      <c r="C74" s="3090" t="s">
        <v>2652</v>
      </c>
      <c r="D74" s="3090" t="s">
        <v>2653</v>
      </c>
      <c r="E74" s="3116">
        <v>0.2</v>
      </c>
      <c r="F74" s="3116">
        <v>25</v>
      </c>
    </row>
    <row r="75" spans="1:7" ht="24">
      <c r="A75" s="3116">
        <v>3</v>
      </c>
      <c r="B75" s="3758"/>
      <c r="C75" s="3090" t="s">
        <v>2654</v>
      </c>
      <c r="D75" s="3090" t="s">
        <v>2655</v>
      </c>
      <c r="E75" s="3116">
        <v>0.2</v>
      </c>
      <c r="F75" s="3116">
        <v>25</v>
      </c>
    </row>
    <row r="76" spans="1:7" ht="13.5">
      <c r="A76" s="3116">
        <v>4</v>
      </c>
      <c r="B76" s="3758"/>
      <c r="C76" s="3090" t="s">
        <v>2656</v>
      </c>
      <c r="D76" s="3090" t="s">
        <v>2657</v>
      </c>
      <c r="E76" s="3116">
        <v>0.15</v>
      </c>
      <c r="F76" s="3116">
        <v>20</v>
      </c>
    </row>
    <row r="77" spans="1:7" ht="24">
      <c r="A77" s="3116">
        <v>5</v>
      </c>
      <c r="B77" s="3758"/>
      <c r="C77" s="3090" t="s">
        <v>2658</v>
      </c>
      <c r="D77" s="3090" t="s">
        <v>2659</v>
      </c>
      <c r="E77" s="3116">
        <v>0.15</v>
      </c>
      <c r="F77" s="3116">
        <v>20</v>
      </c>
    </row>
    <row r="78" spans="1:7" ht="24">
      <c r="A78" s="3116">
        <v>6</v>
      </c>
      <c r="B78" s="3758"/>
      <c r="C78" s="3090" t="s">
        <v>2660</v>
      </c>
      <c r="D78" s="3090" t="s">
        <v>2661</v>
      </c>
      <c r="E78" s="3116">
        <v>0.15</v>
      </c>
      <c r="F78" s="3116">
        <v>20</v>
      </c>
    </row>
    <row r="79" spans="1:7" ht="24">
      <c r="A79" s="3116">
        <v>7</v>
      </c>
      <c r="B79" s="3758"/>
      <c r="C79" s="3090" t="s">
        <v>2662</v>
      </c>
      <c r="D79" s="3090" t="s">
        <v>2663</v>
      </c>
      <c r="E79" s="3116">
        <v>0.15</v>
      </c>
      <c r="F79" s="3116">
        <v>20</v>
      </c>
    </row>
    <row r="80" spans="1:7" ht="24">
      <c r="A80" s="3116">
        <v>8</v>
      </c>
      <c r="B80" s="3758"/>
      <c r="C80" s="3090" t="s">
        <v>2664</v>
      </c>
      <c r="D80" s="3090" t="s">
        <v>2665</v>
      </c>
      <c r="E80" s="3116">
        <v>0.1</v>
      </c>
      <c r="F80" s="3116">
        <v>15</v>
      </c>
    </row>
    <row r="81" spans="1:6" ht="24">
      <c r="A81" s="3116">
        <v>9</v>
      </c>
      <c r="B81" s="3758"/>
      <c r="C81" s="3090" t="s">
        <v>2666</v>
      </c>
      <c r="D81" s="3090" t="s">
        <v>2667</v>
      </c>
      <c r="E81" s="3116">
        <v>0.1</v>
      </c>
      <c r="F81" s="3116">
        <v>15</v>
      </c>
    </row>
    <row r="82" spans="1:6" ht="24">
      <c r="A82" s="3116">
        <v>10</v>
      </c>
      <c r="B82" s="3758"/>
      <c r="C82" s="3090" t="s">
        <v>2668</v>
      </c>
      <c r="D82" s="3090" t="s">
        <v>2669</v>
      </c>
      <c r="E82" s="3116">
        <v>0.1</v>
      </c>
      <c r="F82" s="3116">
        <v>15</v>
      </c>
    </row>
    <row r="83" spans="1:6" ht="24">
      <c r="A83" s="3116">
        <v>11</v>
      </c>
      <c r="B83" s="3758"/>
      <c r="C83" s="3090" t="s">
        <v>2670</v>
      </c>
      <c r="D83" s="3090" t="s">
        <v>2671</v>
      </c>
      <c r="E83" s="3116">
        <v>0.1</v>
      </c>
      <c r="F83" s="3116">
        <v>15</v>
      </c>
    </row>
    <row r="84" spans="1:6" ht="24">
      <c r="A84" s="3116">
        <v>12</v>
      </c>
      <c r="B84" s="3758"/>
      <c r="C84" s="3090" t="s">
        <v>2672</v>
      </c>
      <c r="D84" s="3090" t="s">
        <v>2673</v>
      </c>
      <c r="E84" s="3116">
        <v>0.1</v>
      </c>
      <c r="F84" s="3116">
        <v>15</v>
      </c>
    </row>
    <row r="85" spans="1:6" ht="13.5">
      <c r="A85" s="3116">
        <v>13</v>
      </c>
      <c r="B85" s="3758"/>
      <c r="C85" s="3090" t="s">
        <v>2674</v>
      </c>
      <c r="D85" s="3090" t="s">
        <v>2675</v>
      </c>
      <c r="E85" s="3116">
        <v>0.1</v>
      </c>
      <c r="F85" s="3116">
        <v>15</v>
      </c>
    </row>
    <row r="86" spans="1:6" ht="13.5">
      <c r="A86" s="3116">
        <v>14</v>
      </c>
      <c r="B86" s="3758"/>
      <c r="C86" s="3090" t="s">
        <v>2676</v>
      </c>
      <c r="D86" s="3090" t="s">
        <v>2677</v>
      </c>
      <c r="E86" s="3116">
        <v>0.1</v>
      </c>
      <c r="F86" s="3116">
        <v>15</v>
      </c>
    </row>
    <row r="87" spans="1:6" ht="13.5">
      <c r="A87" s="3116">
        <v>15</v>
      </c>
      <c r="B87" s="3758"/>
      <c r="C87" s="3090" t="s">
        <v>2678</v>
      </c>
      <c r="D87" s="3090" t="s">
        <v>2679</v>
      </c>
      <c r="E87" s="3116">
        <v>0.1</v>
      </c>
      <c r="F87" s="3116">
        <v>15</v>
      </c>
    </row>
    <row r="88" spans="1:6" ht="24">
      <c r="A88" s="3116">
        <v>16</v>
      </c>
      <c r="B88" s="3758"/>
      <c r="C88" s="3090" t="s">
        <v>2680</v>
      </c>
      <c r="D88" s="3090" t="s">
        <v>2681</v>
      </c>
      <c r="E88" s="3116">
        <v>0.1</v>
      </c>
      <c r="F88" s="3116">
        <v>15</v>
      </c>
    </row>
    <row r="89" spans="1:6" ht="24">
      <c r="A89" s="3116">
        <v>17</v>
      </c>
      <c r="B89" s="3757"/>
      <c r="C89" s="3090" t="s">
        <v>2682</v>
      </c>
      <c r="D89" s="3090" t="s">
        <v>2683</v>
      </c>
      <c r="E89" s="3116">
        <v>0.1</v>
      </c>
      <c r="F89" s="3116">
        <v>15</v>
      </c>
    </row>
    <row r="90" spans="1:6" ht="13.5">
      <c r="A90" s="3116">
        <v>18</v>
      </c>
      <c r="B90" s="3756" t="s">
        <v>2684</v>
      </c>
      <c r="C90" s="3090" t="s">
        <v>2685</v>
      </c>
      <c r="D90" s="3090" t="s">
        <v>2686</v>
      </c>
      <c r="E90" s="3116">
        <v>0.2</v>
      </c>
      <c r="F90" s="3116">
        <v>25</v>
      </c>
    </row>
    <row r="91" spans="1:6" ht="24">
      <c r="A91" s="3116">
        <v>19</v>
      </c>
      <c r="B91" s="3758"/>
      <c r="C91" s="3090" t="s">
        <v>2687</v>
      </c>
      <c r="D91" s="3090" t="s">
        <v>2688</v>
      </c>
      <c r="E91" s="3116">
        <v>0.2</v>
      </c>
      <c r="F91" s="3116">
        <v>25</v>
      </c>
    </row>
    <row r="92" spans="1:6" ht="13.5">
      <c r="A92" s="3116">
        <v>20</v>
      </c>
      <c r="B92" s="3758"/>
      <c r="C92" s="3090" t="s">
        <v>2689</v>
      </c>
      <c r="D92" s="3090" t="s">
        <v>2690</v>
      </c>
      <c r="E92" s="3116">
        <v>0.15</v>
      </c>
      <c r="F92" s="3116">
        <v>20</v>
      </c>
    </row>
    <row r="93" spans="1:6" ht="13.5">
      <c r="A93" s="3116">
        <v>21</v>
      </c>
      <c r="B93" s="3758"/>
      <c r="C93" s="3090" t="s">
        <v>2691</v>
      </c>
      <c r="D93" s="3090" t="s">
        <v>2692</v>
      </c>
      <c r="E93" s="3116">
        <v>0.15</v>
      </c>
      <c r="F93" s="3116">
        <v>20</v>
      </c>
    </row>
    <row r="94" spans="1:6" ht="13.5">
      <c r="A94" s="3116">
        <v>22</v>
      </c>
      <c r="B94" s="3758"/>
      <c r="C94" s="3090" t="s">
        <v>2693</v>
      </c>
      <c r="D94" s="3090" t="s">
        <v>2694</v>
      </c>
      <c r="E94" s="3116">
        <v>0.15</v>
      </c>
      <c r="F94" s="3116">
        <v>20</v>
      </c>
    </row>
    <row r="95" spans="1:6" ht="36">
      <c r="A95" s="3116">
        <v>23</v>
      </c>
      <c r="B95" s="3758"/>
      <c r="C95" s="3090" t="s">
        <v>2695</v>
      </c>
      <c r="D95" s="3090" t="s">
        <v>2696</v>
      </c>
      <c r="E95" s="3116">
        <v>0.15</v>
      </c>
      <c r="F95" s="3116">
        <v>20</v>
      </c>
    </row>
    <row r="96" spans="1:6" ht="13.5">
      <c r="A96" s="3116">
        <v>24</v>
      </c>
      <c r="B96" s="3758"/>
      <c r="C96" s="3090" t="s">
        <v>2697</v>
      </c>
      <c r="D96" s="3090" t="s">
        <v>2698</v>
      </c>
      <c r="E96" s="3116">
        <v>0.1</v>
      </c>
      <c r="F96" s="3116">
        <v>15</v>
      </c>
    </row>
    <row r="97" spans="1:6" ht="13.5">
      <c r="A97" s="3116">
        <v>25</v>
      </c>
      <c r="B97" s="3758"/>
      <c r="C97" s="3090" t="s">
        <v>2699</v>
      </c>
      <c r="D97" s="3090" t="s">
        <v>2700</v>
      </c>
      <c r="E97" s="3116">
        <v>0.1</v>
      </c>
      <c r="F97" s="3116">
        <v>15</v>
      </c>
    </row>
    <row r="98" spans="1:6" ht="24">
      <c r="A98" s="3116">
        <v>26</v>
      </c>
      <c r="B98" s="3758"/>
      <c r="C98" s="3090" t="s">
        <v>2701</v>
      </c>
      <c r="D98" s="3090" t="s">
        <v>2702</v>
      </c>
      <c r="E98" s="3116">
        <v>0.1</v>
      </c>
      <c r="F98" s="3116">
        <v>15</v>
      </c>
    </row>
    <row r="99" spans="1:6" ht="24">
      <c r="A99" s="3116">
        <v>27</v>
      </c>
      <c r="B99" s="3758"/>
      <c r="C99" s="3090" t="s">
        <v>2703</v>
      </c>
      <c r="D99" s="3090" t="s">
        <v>2704</v>
      </c>
      <c r="E99" s="3116">
        <v>0.1</v>
      </c>
      <c r="F99" s="3116">
        <v>15</v>
      </c>
    </row>
    <row r="100" spans="1:6" ht="13.5">
      <c r="A100" s="3116">
        <v>28</v>
      </c>
      <c r="B100" s="3758"/>
      <c r="C100" s="3090" t="s">
        <v>2705</v>
      </c>
      <c r="D100" s="3090" t="s">
        <v>2706</v>
      </c>
      <c r="E100" s="3116">
        <v>0.1</v>
      </c>
      <c r="F100" s="3116">
        <v>15</v>
      </c>
    </row>
    <row r="101" spans="1:6" ht="13.5">
      <c r="A101" s="3116">
        <v>29</v>
      </c>
      <c r="B101" s="3758"/>
      <c r="C101" s="3090" t="s">
        <v>2707</v>
      </c>
      <c r="D101" s="3090" t="s">
        <v>2708</v>
      </c>
      <c r="E101" s="3116">
        <v>0.1</v>
      </c>
      <c r="F101" s="3116">
        <v>15</v>
      </c>
    </row>
    <row r="102" spans="1:6" ht="13.5">
      <c r="A102" s="3116">
        <v>30</v>
      </c>
      <c r="B102" s="3758"/>
      <c r="C102" s="3090" t="s">
        <v>2709</v>
      </c>
      <c r="D102" s="3090" t="s">
        <v>2710</v>
      </c>
      <c r="E102" s="3116">
        <v>0.1</v>
      </c>
      <c r="F102" s="3116">
        <v>15</v>
      </c>
    </row>
    <row r="103" spans="1:6" ht="24">
      <c r="A103" s="3116">
        <v>31</v>
      </c>
      <c r="B103" s="3758"/>
      <c r="C103" s="3090" t="s">
        <v>2711</v>
      </c>
      <c r="D103" s="3090" t="s">
        <v>2712</v>
      </c>
      <c r="E103" s="3116">
        <v>0.1</v>
      </c>
      <c r="F103" s="3116">
        <v>15</v>
      </c>
    </row>
    <row r="104" spans="1:6" ht="24">
      <c r="A104" s="3116">
        <v>32</v>
      </c>
      <c r="B104" s="3758"/>
      <c r="C104" s="3090" t="s">
        <v>2713</v>
      </c>
      <c r="D104" s="3090" t="s">
        <v>2714</v>
      </c>
      <c r="E104" s="3116">
        <v>0.1</v>
      </c>
      <c r="F104" s="3116">
        <v>15</v>
      </c>
    </row>
    <row r="105" spans="1:6" ht="24">
      <c r="A105" s="3116">
        <v>33</v>
      </c>
      <c r="B105" s="3758"/>
      <c r="C105" s="3090" t="s">
        <v>2715</v>
      </c>
      <c r="D105" s="3090" t="s">
        <v>2716</v>
      </c>
      <c r="E105" s="3116">
        <v>0.1</v>
      </c>
      <c r="F105" s="3116">
        <v>15</v>
      </c>
    </row>
    <row r="106" spans="1:6" ht="24">
      <c r="A106" s="3116">
        <v>34</v>
      </c>
      <c r="B106" s="3757"/>
      <c r="C106" s="3090" t="s">
        <v>2717</v>
      </c>
      <c r="D106" s="3090" t="s">
        <v>2718</v>
      </c>
      <c r="E106" s="3116">
        <v>0.1</v>
      </c>
      <c r="F106" s="3116">
        <v>15</v>
      </c>
    </row>
    <row r="107" spans="1:6" ht="24">
      <c r="A107" s="3116">
        <v>35</v>
      </c>
      <c r="B107" s="3756" t="s">
        <v>2719</v>
      </c>
      <c r="C107" s="3116" t="s">
        <v>2720</v>
      </c>
      <c r="D107" s="3090" t="s">
        <v>2721</v>
      </c>
      <c r="E107" s="3116">
        <v>0.15</v>
      </c>
      <c r="F107" s="3116">
        <v>20</v>
      </c>
    </row>
    <row r="108" spans="1:6" ht="13.5">
      <c r="A108" s="3116">
        <v>36</v>
      </c>
      <c r="B108" s="3758"/>
      <c r="C108" s="3116" t="s">
        <v>2722</v>
      </c>
      <c r="D108" s="3090" t="s">
        <v>2723</v>
      </c>
      <c r="E108" s="3116">
        <v>0.15</v>
      </c>
      <c r="F108" s="3116">
        <v>20</v>
      </c>
    </row>
    <row r="109" spans="1:6" ht="13.5">
      <c r="A109" s="3116">
        <v>37</v>
      </c>
      <c r="B109" s="3758"/>
      <c r="C109" s="3116" t="s">
        <v>2724</v>
      </c>
      <c r="D109" s="3090" t="s">
        <v>2725</v>
      </c>
      <c r="E109" s="3116">
        <v>0.15</v>
      </c>
      <c r="F109" s="3116">
        <v>20</v>
      </c>
    </row>
    <row r="110" spans="1:6" ht="13.5">
      <c r="A110" s="3116">
        <v>38</v>
      </c>
      <c r="B110" s="3758"/>
      <c r="C110" s="3116" t="s">
        <v>2726</v>
      </c>
      <c r="D110" s="3090" t="s">
        <v>2727</v>
      </c>
      <c r="E110" s="3116">
        <v>0.1</v>
      </c>
      <c r="F110" s="3116">
        <v>15</v>
      </c>
    </row>
    <row r="111" spans="1:6" ht="24">
      <c r="A111" s="3116">
        <v>39</v>
      </c>
      <c r="B111" s="3758"/>
      <c r="C111" s="3116" t="s">
        <v>2728</v>
      </c>
      <c r="D111" s="3090" t="s">
        <v>2729</v>
      </c>
      <c r="E111" s="3116">
        <v>0.1</v>
      </c>
      <c r="F111" s="3116">
        <v>15</v>
      </c>
    </row>
    <row r="112" spans="1:6" ht="24">
      <c r="A112" s="3116">
        <v>40</v>
      </c>
      <c r="B112" s="3757"/>
      <c r="C112" s="3116" t="s">
        <v>2730</v>
      </c>
      <c r="D112" s="3090" t="s">
        <v>2731</v>
      </c>
      <c r="E112" s="3116">
        <v>0.1</v>
      </c>
      <c r="F112" s="3116">
        <v>15</v>
      </c>
    </row>
    <row r="113" spans="1:6" ht="13.5">
      <c r="A113" s="3116">
        <v>41</v>
      </c>
      <c r="B113" s="3755" t="s">
        <v>2732</v>
      </c>
      <c r="C113" s="3116" t="s">
        <v>2733</v>
      </c>
      <c r="D113" s="3090" t="s">
        <v>2734</v>
      </c>
      <c r="E113" s="3116">
        <v>0.1</v>
      </c>
      <c r="F113" s="3116">
        <v>15</v>
      </c>
    </row>
    <row r="114" spans="1:6" ht="13.5">
      <c r="A114" s="3116">
        <v>42</v>
      </c>
      <c r="B114" s="3755"/>
      <c r="C114" s="3116" t="s">
        <v>2735</v>
      </c>
      <c r="D114" s="3090" t="s">
        <v>2736</v>
      </c>
      <c r="E114" s="3116">
        <v>0.1</v>
      </c>
      <c r="F114" s="3116">
        <v>15</v>
      </c>
    </row>
    <row r="115" spans="1:6" ht="24">
      <c r="A115" s="3116">
        <v>43</v>
      </c>
      <c r="B115" s="3755"/>
      <c r="C115" s="3116" t="s">
        <v>2737</v>
      </c>
      <c r="D115" s="3090" t="s">
        <v>2738</v>
      </c>
      <c r="E115" s="3116">
        <v>0.1</v>
      </c>
      <c r="F115" s="3116">
        <v>15</v>
      </c>
    </row>
    <row r="116" spans="1:6" ht="13.5">
      <c r="A116" s="3116">
        <v>44</v>
      </c>
      <c r="B116" s="3756" t="s">
        <v>2739</v>
      </c>
      <c r="C116" s="3116" t="s">
        <v>2740</v>
      </c>
      <c r="D116" s="3090" t="s">
        <v>2741</v>
      </c>
      <c r="E116" s="3116">
        <v>0.1</v>
      </c>
      <c r="F116" s="3116">
        <v>15</v>
      </c>
    </row>
    <row r="117" spans="1:6" ht="24">
      <c r="A117" s="3116">
        <v>45</v>
      </c>
      <c r="B117" s="3757"/>
      <c r="C117" s="3090" t="s">
        <v>2742</v>
      </c>
      <c r="D117" s="3090" t="s">
        <v>2743</v>
      </c>
      <c r="E117" s="3116">
        <v>0.1</v>
      </c>
      <c r="F117" s="3116">
        <v>15</v>
      </c>
    </row>
    <row r="118" spans="1:6" ht="24">
      <c r="A118" s="3116">
        <v>46</v>
      </c>
      <c r="B118" s="3756" t="s">
        <v>2744</v>
      </c>
      <c r="C118" s="3116" t="s">
        <v>2745</v>
      </c>
      <c r="D118" s="3090" t="s">
        <v>2746</v>
      </c>
      <c r="E118" s="3116">
        <v>0.1</v>
      </c>
      <c r="F118" s="3116">
        <v>15</v>
      </c>
    </row>
    <row r="119" spans="1:6" ht="24">
      <c r="A119" s="3116">
        <v>47</v>
      </c>
      <c r="B119" s="3757"/>
      <c r="C119" s="3116" t="s">
        <v>2747</v>
      </c>
      <c r="D119" s="3090" t="s">
        <v>2748</v>
      </c>
      <c r="E119" s="3116">
        <v>0.1</v>
      </c>
      <c r="F119" s="3116">
        <v>15</v>
      </c>
    </row>
    <row r="120" spans="1:6" ht="13.5">
      <c r="A120" s="3116">
        <v>48</v>
      </c>
      <c r="B120" s="3756" t="s">
        <v>2749</v>
      </c>
      <c r="C120" s="3116" t="s">
        <v>2750</v>
      </c>
      <c r="D120" s="3090" t="s">
        <v>2751</v>
      </c>
      <c r="E120" s="3116">
        <v>0.1</v>
      </c>
      <c r="F120" s="3116">
        <v>15</v>
      </c>
    </row>
    <row r="121" spans="1:6" ht="13.5">
      <c r="A121" s="3116">
        <v>49</v>
      </c>
      <c r="B121" s="3757"/>
      <c r="C121" s="3116" t="s">
        <v>2752</v>
      </c>
      <c r="D121" s="3090" t="s">
        <v>2753</v>
      </c>
      <c r="E121" s="3116">
        <v>0.1</v>
      </c>
      <c r="F121" s="3116">
        <v>15</v>
      </c>
    </row>
    <row r="122" spans="1:6" ht="24">
      <c r="A122" s="3116">
        <v>50</v>
      </c>
      <c r="B122" s="3755" t="s">
        <v>2754</v>
      </c>
      <c r="C122" s="3116" t="s">
        <v>2755</v>
      </c>
      <c r="D122" s="3090" t="s">
        <v>2756</v>
      </c>
      <c r="E122" s="3116">
        <v>0.1</v>
      </c>
      <c r="F122" s="3116">
        <v>15</v>
      </c>
    </row>
    <row r="123" spans="1:6" ht="24">
      <c r="A123" s="3116">
        <v>51</v>
      </c>
      <c r="B123" s="3755"/>
      <c r="C123" s="3116" t="s">
        <v>2757</v>
      </c>
      <c r="D123" s="3090" t="s">
        <v>2758</v>
      </c>
      <c r="E123" s="3116">
        <v>0.1</v>
      </c>
      <c r="F123" s="3116">
        <v>15</v>
      </c>
    </row>
    <row r="124" spans="1:6" ht="24">
      <c r="A124" s="3116">
        <v>52</v>
      </c>
      <c r="B124" s="3755" t="s">
        <v>2759</v>
      </c>
      <c r="C124" s="3116" t="s">
        <v>2760</v>
      </c>
      <c r="D124" s="3090" t="s">
        <v>2761</v>
      </c>
      <c r="E124" s="3116">
        <v>0.1</v>
      </c>
      <c r="F124" s="3116">
        <v>15</v>
      </c>
    </row>
    <row r="125" spans="1:6" ht="24">
      <c r="A125" s="3116">
        <v>53</v>
      </c>
      <c r="B125" s="3755"/>
      <c r="C125" s="3116" t="s">
        <v>2762</v>
      </c>
      <c r="D125" s="3090" t="s">
        <v>2763</v>
      </c>
      <c r="E125" s="3116">
        <v>0.1</v>
      </c>
      <c r="F125" s="3116">
        <v>15</v>
      </c>
    </row>
    <row r="126" spans="1:6" ht="13.5">
      <c r="A126" s="3116">
        <v>54</v>
      </c>
      <c r="B126" s="3116" t="s">
        <v>2764</v>
      </c>
      <c r="C126" s="3116" t="s">
        <v>2765</v>
      </c>
      <c r="D126" s="3090" t="s">
        <v>2766</v>
      </c>
      <c r="E126" s="3116">
        <v>0.1</v>
      </c>
      <c r="F126" s="3116">
        <v>15</v>
      </c>
    </row>
    <row r="127" spans="1:6" ht="13.5">
      <c r="A127" s="3116">
        <v>55</v>
      </c>
      <c r="B127" s="3755" t="s">
        <v>2767</v>
      </c>
      <c r="C127" s="3116" t="s">
        <v>2768</v>
      </c>
      <c r="D127" s="3090" t="s">
        <v>2769</v>
      </c>
      <c r="E127" s="3116">
        <v>0.1</v>
      </c>
      <c r="F127" s="3116">
        <v>15</v>
      </c>
    </row>
    <row r="128" spans="1:6" ht="13.5">
      <c r="A128" s="3116">
        <v>56</v>
      </c>
      <c r="B128" s="3755"/>
      <c r="C128" s="3116" t="s">
        <v>2770</v>
      </c>
      <c r="D128" s="3090" t="s">
        <v>2771</v>
      </c>
      <c r="E128" s="3116">
        <v>0.1</v>
      </c>
      <c r="F128" s="3116">
        <v>15</v>
      </c>
    </row>
    <row r="129" spans="1:6" ht="24">
      <c r="A129" s="3116">
        <v>57</v>
      </c>
      <c r="B129" s="3755"/>
      <c r="C129" s="3116" t="s">
        <v>2772</v>
      </c>
      <c r="D129" s="3090" t="s">
        <v>2773</v>
      </c>
      <c r="E129" s="3116">
        <v>0.1</v>
      </c>
      <c r="F129" s="3116">
        <v>15</v>
      </c>
    </row>
    <row r="130" spans="1:6" ht="24">
      <c r="A130" s="3116">
        <v>58</v>
      </c>
      <c r="B130" s="3755" t="s">
        <v>2774</v>
      </c>
      <c r="C130" s="3116" t="s">
        <v>2775</v>
      </c>
      <c r="D130" s="3090" t="s">
        <v>2776</v>
      </c>
      <c r="E130" s="3116">
        <v>0.1</v>
      </c>
      <c r="F130" s="3116">
        <v>15</v>
      </c>
    </row>
    <row r="131" spans="1:6" ht="13.5">
      <c r="A131" s="3116">
        <v>59</v>
      </c>
      <c r="B131" s="3755"/>
      <c r="C131" s="3116" t="s">
        <v>2777</v>
      </c>
      <c r="D131" s="3090" t="s">
        <v>2778</v>
      </c>
      <c r="E131" s="3116">
        <v>0.1</v>
      </c>
      <c r="F131" s="3116">
        <v>15</v>
      </c>
    </row>
    <row r="132" spans="1:6" ht="13.5">
      <c r="A132" s="3116">
        <v>60</v>
      </c>
      <c r="B132" s="3756" t="s">
        <v>2779</v>
      </c>
      <c r="C132" s="3116" t="s">
        <v>2780</v>
      </c>
      <c r="D132" s="3090" t="s">
        <v>2781</v>
      </c>
      <c r="E132" s="3116">
        <v>0.1</v>
      </c>
      <c r="F132" s="3116">
        <v>15</v>
      </c>
    </row>
    <row r="133" spans="1:6" ht="13.5">
      <c r="A133" s="3116">
        <v>61</v>
      </c>
      <c r="B133" s="3757"/>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13.5">
      <c r="A135" s="3116">
        <v>63</v>
      </c>
      <c r="B135" s="3755" t="s">
        <v>2787</v>
      </c>
      <c r="C135" s="3116" t="s">
        <v>2788</v>
      </c>
      <c r="D135" s="3090" t="s">
        <v>2789</v>
      </c>
      <c r="E135" s="3116">
        <v>0.1</v>
      </c>
      <c r="F135" s="3116">
        <v>15</v>
      </c>
    </row>
    <row r="136" spans="1:6" ht="13.5">
      <c r="A136" s="3116">
        <v>64</v>
      </c>
      <c r="B136" s="3755"/>
      <c r="C136" s="3116" t="s">
        <v>2790</v>
      </c>
      <c r="D136" s="3090" t="s">
        <v>2791</v>
      </c>
      <c r="E136" s="3116">
        <v>0.1</v>
      </c>
      <c r="F136" s="3116">
        <v>15</v>
      </c>
    </row>
    <row r="137" spans="1:6" ht="13.5">
      <c r="A137" s="3116">
        <v>65</v>
      </c>
      <c r="B137" s="3116" t="s">
        <v>2792</v>
      </c>
      <c r="C137" s="3116" t="s">
        <v>2793</v>
      </c>
      <c r="D137" s="3090" t="s">
        <v>2794</v>
      </c>
      <c r="E137" s="3116">
        <v>0.1</v>
      </c>
      <c r="F137" s="3116">
        <v>15</v>
      </c>
    </row>
    <row r="138" spans="1:6" ht="13.5">
      <c r="A138" s="3116"/>
      <c r="B138" s="3116"/>
      <c r="C138" s="3116"/>
      <c r="D138" s="3116"/>
      <c r="E138" s="3116" t="s">
        <v>2795</v>
      </c>
      <c r="F138" s="3116"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28135</v>
      </c>
      <c r="C2" s="2" t="s">
        <v>106</v>
      </c>
      <c r="D2" s="199"/>
      <c r="E2" s="199"/>
      <c r="F2" s="199"/>
      <c r="G2" s="199"/>
    </row>
    <row r="3" spans="1:7" s="200" customFormat="1" ht="18" customHeight="1" thickBot="1">
      <c r="A3" s="203" t="s">
        <v>58</v>
      </c>
      <c r="B3" s="204">
        <f ca="1">ROUND(B2*10000/'数据-汇总表'!E3,0)</f>
        <v>2318500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121.35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121.35</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121.35</v>
      </c>
      <c r="E37" s="249">
        <f>'数据-取费表'!B35</f>
        <v>150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8.0000000000000004E-4</v>
      </c>
      <c r="D44" s="238"/>
      <c r="E44" s="238"/>
      <c r="F44" s="239"/>
      <c r="G44" s="3633"/>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28135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219</v>
      </c>
      <c r="E5" s="1491"/>
    </row>
    <row r="6" spans="1:5" ht="15.75">
      <c r="A6" s="1491"/>
      <c r="B6" s="3450"/>
      <c r="C6" s="1494" t="s">
        <v>911</v>
      </c>
      <c r="D6" s="850" t="str">
        <f ca="1">NUMBERSTRING(INT(D5*10000),2)&amp;"元整"</f>
        <v>贰佰壹拾玖万元整</v>
      </c>
      <c r="E6" s="1491"/>
    </row>
    <row r="7" spans="1:5" ht="15.75">
      <c r="A7" s="1491"/>
      <c r="B7" s="3455"/>
      <c r="C7" s="1495" t="s">
        <v>912</v>
      </c>
      <c r="D7" s="851">
        <f ca="1">结果表!H102</f>
        <v>18083</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219</v>
      </c>
      <c r="E13" s="1491"/>
    </row>
    <row r="14" spans="1:5" ht="15.75">
      <c r="A14" s="1491"/>
      <c r="B14" s="3450"/>
      <c r="C14" s="1494" t="s">
        <v>911</v>
      </c>
      <c r="D14" s="850" t="str">
        <f ca="1">NUMBERSTRING(INT(D13*10000),2)&amp;"元整"</f>
        <v>贰佰壹拾玖万元整</v>
      </c>
      <c r="E14" s="1491"/>
    </row>
    <row r="15" spans="1:5" ht="15">
      <c r="A15" s="1491"/>
      <c r="B15" s="3455"/>
      <c r="C15" s="1495" t="s">
        <v>921</v>
      </c>
      <c r="D15" s="859">
        <f ca="1">结果表!H108</f>
        <v>18083</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9" t="s">
        <v>2839</v>
      </c>
      <c r="B1" s="3769"/>
      <c r="C1" s="3769"/>
      <c r="D1" s="3769"/>
      <c r="E1" s="3769"/>
      <c r="F1" s="3769"/>
      <c r="G1" s="377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67" t="s">
        <v>2866</v>
      </c>
      <c r="B3" s="3228"/>
      <c r="C3" s="3229" t="s">
        <v>2809</v>
      </c>
      <c r="D3" s="3229" t="s">
        <v>2867</v>
      </c>
      <c r="E3" s="3229" t="s">
        <v>2811</v>
      </c>
      <c r="F3" s="3229" t="s">
        <v>2868</v>
      </c>
      <c r="G3" s="3229" t="s">
        <v>2629</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6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1" t="s">
        <v>3181</v>
      </c>
      <c r="B1" s="3771"/>
    </row>
    <row r="2" spans="1:7" ht="14.25" thickBot="1">
      <c r="A2" s="3253"/>
      <c r="B2" s="3253"/>
    </row>
    <row r="3" spans="1:7" ht="14.25" thickBot="1">
      <c r="A3" s="3253"/>
      <c r="B3" s="3253"/>
      <c r="C3" s="3254" t="s">
        <v>2809</v>
      </c>
      <c r="D3" s="3254" t="s">
        <v>2867</v>
      </c>
      <c r="E3" s="3254" t="s">
        <v>2811</v>
      </c>
      <c r="F3" s="3254" t="s">
        <v>2868</v>
      </c>
      <c r="G3" s="3254" t="s">
        <v>2629</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2" t="s">
        <v>3232</v>
      </c>
      <c r="B1" s="3772"/>
      <c r="C1" s="3772"/>
      <c r="D1" s="3772"/>
      <c r="E1" s="3772"/>
      <c r="F1" s="3773"/>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19">
        <f>基准地价修正!G23</f>
        <v>45056</v>
      </c>
      <c r="B1" s="3208" t="s">
        <v>2838</v>
      </c>
      <c r="C1" s="3209"/>
      <c r="D1" s="3209"/>
      <c r="E1" s="3209"/>
      <c r="F1" s="3209"/>
      <c r="G1" s="3209"/>
      <c r="H1" s="3209"/>
      <c r="I1" s="3209"/>
      <c r="J1" s="3163"/>
      <c r="K1" s="3209" t="s">
        <v>454</v>
      </c>
      <c r="L1" s="3209"/>
      <c r="M1" s="3209"/>
      <c r="N1" s="3209"/>
      <c r="O1" s="3209"/>
      <c r="P1" s="3209"/>
      <c r="Q1" s="3163"/>
      <c r="R1" s="3774" t="s">
        <v>456</v>
      </c>
      <c r="S1" s="3775"/>
      <c r="T1" s="3775"/>
      <c r="U1" s="3775"/>
      <c r="V1" s="3775"/>
      <c r="W1" s="3775"/>
      <c r="X1" s="3163"/>
      <c r="Y1" s="3774" t="s">
        <v>457</v>
      </c>
      <c r="Z1" s="3775"/>
      <c r="AA1" s="3775"/>
      <c r="AB1" s="3775"/>
      <c r="AC1" s="3775"/>
      <c r="AD1" s="3775"/>
    </row>
    <row r="2" spans="1:30" s="3141" customFormat="1" ht="14.2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2.75">
      <c r="A3" s="3147" t="s">
        <v>2817</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3369</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3370</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3368</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3371</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3372</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2818</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2819</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2820</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2821</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2822</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2823</v>
      </c>
    </row>
    <row r="20" spans="1:30" s="3007" customFormat="1"/>
    <row r="21" spans="1:30" s="3207" customFormat="1" ht="12.75">
      <c r="B21" s="3208" t="s">
        <v>2824</v>
      </c>
      <c r="C21" s="3209"/>
      <c r="D21" s="3209"/>
      <c r="E21" s="3209"/>
      <c r="F21" s="3209"/>
      <c r="G21" s="3209"/>
      <c r="H21" s="3209"/>
      <c r="I21" s="3209"/>
      <c r="J21" s="3163"/>
      <c r="K21" s="3209" t="s">
        <v>2825</v>
      </c>
      <c r="L21" s="3209"/>
      <c r="M21" s="3209"/>
      <c r="N21" s="3209"/>
      <c r="O21" s="3209"/>
      <c r="P21" s="3209"/>
      <c r="Q21" s="3163"/>
      <c r="R21" s="3774" t="s">
        <v>2826</v>
      </c>
      <c r="S21" s="3775"/>
      <c r="T21" s="3775"/>
      <c r="U21" s="3775"/>
      <c r="V21" s="3775"/>
      <c r="W21" s="3775"/>
      <c r="X21" s="3163"/>
      <c r="Y21" s="3774" t="s">
        <v>2827</v>
      </c>
      <c r="Z21" s="3775"/>
      <c r="AA21" s="3775"/>
      <c r="AB21" s="3775"/>
      <c r="AC21" s="3775"/>
      <c r="AD21" s="3775"/>
    </row>
    <row r="22" spans="1:30" s="3141" customFormat="1" ht="14.25" thickBot="1">
      <c r="B22" s="3142"/>
      <c r="C22" s="3143"/>
      <c r="D22" s="3144" t="s">
        <v>2828</v>
      </c>
      <c r="E22" s="3145" t="s">
        <v>2829</v>
      </c>
      <c r="F22" s="3145" t="s">
        <v>2830</v>
      </c>
      <c r="G22" s="3145" t="s">
        <v>2831</v>
      </c>
      <c r="H22" s="3145"/>
      <c r="I22" s="3145" t="s">
        <v>2832</v>
      </c>
      <c r="J22" s="3146"/>
      <c r="K22" s="3144" t="s">
        <v>2828</v>
      </c>
      <c r="L22" s="3145" t="s">
        <v>2829</v>
      </c>
      <c r="M22" s="3145" t="s">
        <v>2830</v>
      </c>
      <c r="N22" s="3145" t="s">
        <v>2831</v>
      </c>
      <c r="O22" s="3145"/>
      <c r="P22" s="3145" t="s">
        <v>2832</v>
      </c>
      <c r="Q22" s="3146"/>
      <c r="R22" s="3144" t="s">
        <v>2828</v>
      </c>
      <c r="S22" s="3145" t="s">
        <v>2829</v>
      </c>
      <c r="T22" s="3145" t="s">
        <v>2830</v>
      </c>
      <c r="U22" s="3145" t="s">
        <v>2831</v>
      </c>
      <c r="V22" s="3145"/>
      <c r="W22" s="3145" t="s">
        <v>2832</v>
      </c>
      <c r="X22" s="3146"/>
      <c r="Y22" s="3144" t="s">
        <v>2828</v>
      </c>
      <c r="Z22" s="3145" t="s">
        <v>2829</v>
      </c>
      <c r="AA22" s="3145" t="s">
        <v>2830</v>
      </c>
      <c r="AB22" s="3145" t="s">
        <v>2831</v>
      </c>
      <c r="AC22" s="3145"/>
      <c r="AD22" s="3145" t="s">
        <v>2832</v>
      </c>
    </row>
    <row r="23" spans="1:30" s="3159" customFormat="1" ht="12.75">
      <c r="A23" s="3147" t="s">
        <v>2833</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3369</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3370</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3368</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3371</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3372</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2834</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2835</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2836</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2837</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2822</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2308</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2" sqref="R32"/>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election activeCell="F4" sqref="F4"/>
    </sheetView>
  </sheetViews>
  <sheetFormatPr defaultRowHeight="13.5"/>
  <sheetData>
    <row r="1" spans="1:6">
      <c r="B1" s="3787" t="s">
        <v>3379</v>
      </c>
      <c r="C1" s="3787" t="s">
        <v>3380</v>
      </c>
      <c r="D1" s="3787" t="s">
        <v>3383</v>
      </c>
      <c r="E1" s="3787" t="s">
        <v>3384</v>
      </c>
      <c r="F1" s="3787" t="s">
        <v>3385</v>
      </c>
    </row>
    <row r="2" spans="1:6">
      <c r="A2" s="3787" t="s">
        <v>3378</v>
      </c>
      <c r="B2">
        <v>108.41</v>
      </c>
      <c r="C2" s="3787" t="s">
        <v>3381</v>
      </c>
      <c r="D2">
        <v>225</v>
      </c>
      <c r="E2">
        <f>ROUND(D2*10000/B2,0)</f>
        <v>20755</v>
      </c>
      <c r="F2" s="3787" t="s">
        <v>3386</v>
      </c>
    </row>
    <row r="3" spans="1:6">
      <c r="A3" t="str">
        <f>A2</f>
        <v>中冀大厦</v>
      </c>
      <c r="B3">
        <v>121.35</v>
      </c>
      <c r="C3" s="3787" t="s">
        <v>3435</v>
      </c>
      <c r="D3">
        <v>280</v>
      </c>
      <c r="E3">
        <f>ROUND(D3*10000/B3,0)</f>
        <v>23074</v>
      </c>
      <c r="F3" s="3787" t="s">
        <v>3387</v>
      </c>
    </row>
    <row r="4" spans="1:6">
      <c r="A4" t="str">
        <f>A2</f>
        <v>中冀大厦</v>
      </c>
      <c r="B4">
        <v>59.92</v>
      </c>
      <c r="C4" s="3787" t="s">
        <v>3382</v>
      </c>
      <c r="D4">
        <v>130</v>
      </c>
      <c r="E4">
        <f>ROUND(D4*10000/B4,0)</f>
        <v>21696</v>
      </c>
      <c r="F4" s="3787" t="s">
        <v>3387</v>
      </c>
    </row>
    <row r="45" spans="11:13">
      <c r="K45">
        <v>4800</v>
      </c>
      <c r="L45">
        <v>72.63</v>
      </c>
      <c r="M45">
        <f>ROUND(K45/L45/30,1)</f>
        <v>2.2000000000000002</v>
      </c>
    </row>
    <row r="46" spans="11:13">
      <c r="K46">
        <v>5000</v>
      </c>
      <c r="L46">
        <v>73.400000000000006</v>
      </c>
      <c r="M46">
        <f>ROUND(K46/L46/30,1)</f>
        <v>2.2999999999999998</v>
      </c>
    </row>
    <row r="47" spans="11:13">
      <c r="K47">
        <v>5000</v>
      </c>
      <c r="L47">
        <v>76</v>
      </c>
      <c r="M47">
        <f>ROUND(K47/L47/30,1)</f>
        <v>2.2000000000000002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854" t="s">
        <v>925</v>
      </c>
      <c r="E3" s="854" t="s">
        <v>931</v>
      </c>
      <c r="F3" s="854" t="s">
        <v>925</v>
      </c>
      <c r="G3" s="854" t="s">
        <v>926</v>
      </c>
      <c r="H3" s="854" t="s">
        <v>925</v>
      </c>
      <c r="I3" s="854" t="s">
        <v>926</v>
      </c>
    </row>
    <row r="4" spans="1:9" ht="15">
      <c r="A4" s="1505" t="str">
        <f>项目基本情况!S2</f>
        <v>北京市北京经济技术开发区荣华南路16号1幢10层A座1002房地产</v>
      </c>
      <c r="B4" s="854">
        <f>项目基本情况!C17</f>
        <v>121.35</v>
      </c>
      <c r="C4" s="854">
        <f>项目基本情况!C18</f>
        <v>0</v>
      </c>
      <c r="D4" s="854" t="e">
        <f ca="1">结果表!D118</f>
        <v>#REF!</v>
      </c>
      <c r="E4" s="854" t="e">
        <f ca="1">结果表!E118</f>
        <v>#REF!</v>
      </c>
      <c r="F4" s="854" t="e">
        <f ca="1">结果表!F118</f>
        <v>#REF!</v>
      </c>
      <c r="G4" s="854" t="e">
        <f ca="1">结果表!G118</f>
        <v>#REF!</v>
      </c>
      <c r="H4" s="854">
        <f ca="1">结果表!H118</f>
        <v>219</v>
      </c>
      <c r="I4" s="854">
        <f ca="1">结果表!I118</f>
        <v>18083</v>
      </c>
    </row>
    <row r="5" spans="1:9" ht="30" customHeight="1">
      <c r="A5" s="3462" t="s">
        <v>927</v>
      </c>
      <c r="B5" s="3462"/>
      <c r="C5" s="3462"/>
      <c r="D5" s="3462" t="e">
        <f ca="1">结果表!D119</f>
        <v>#REF!</v>
      </c>
      <c r="E5" s="3462"/>
      <c r="F5" s="3462" t="e">
        <f ca="1">结果表!F119</f>
        <v>#REF!</v>
      </c>
      <c r="G5" s="3462"/>
      <c r="H5" s="3462" t="str">
        <f ca="1">结果表!H119</f>
        <v>贰佰壹拾玖万元整</v>
      </c>
      <c r="I5" s="3462"/>
    </row>
    <row r="6" spans="1:9" ht="15.75">
      <c r="A6" s="3461" t="str">
        <f>结果表!A120</f>
        <v>估价师知悉的法定优先受偿款</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房地产抵押价值</v>
      </c>
      <c r="B8" s="3461"/>
      <c r="C8" s="3461"/>
      <c r="D8" s="3461">
        <f ca="1">结果表!D122</f>
        <v>219</v>
      </c>
      <c r="E8" s="3461"/>
      <c r="F8" s="3461"/>
      <c r="G8" s="3461"/>
      <c r="H8" s="3461"/>
      <c r="I8" s="3461"/>
    </row>
    <row r="9" spans="1:9" ht="15">
      <c r="A9" s="3462" t="s">
        <v>927</v>
      </c>
      <c r="B9" s="3462"/>
      <c r="C9" s="3462"/>
      <c r="D9" s="3462" t="str">
        <f ca="1">结果表!D123</f>
        <v>贰佰壹拾玖万元整</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
      </c>
      <c r="B12" s="3461"/>
      <c r="C12" s="3461"/>
      <c r="D12" s="3461" t="str">
        <f>结果表!D126</f>
        <v>——</v>
      </c>
      <c r="E12" s="3461"/>
      <c r="F12" s="3461"/>
      <c r="G12" s="3461"/>
      <c r="H12" s="3461"/>
      <c r="I12" s="3461"/>
    </row>
    <row r="13" spans="1:9" ht="15.75" thickBot="1">
      <c r="A13" s="3459" t="s">
        <v>927</v>
      </c>
      <c r="B13" s="3459"/>
      <c r="C13" s="3459"/>
      <c r="D13" s="3459" t="e">
        <f>结果表!D127</f>
        <v>#VALUE!</v>
      </c>
      <c r="E13" s="3459"/>
      <c r="F13" s="3459"/>
      <c r="G13" s="3459"/>
      <c r="H13" s="3459"/>
      <c r="I13" s="3459"/>
    </row>
    <row r="14" spans="1:9" ht="15" thickTop="1">
      <c r="A14" s="3460" t="s">
        <v>932</v>
      </c>
      <c r="B14" s="3460"/>
      <c r="C14" s="3460"/>
      <c r="D14" s="3460"/>
      <c r="E14" s="3460"/>
      <c r="F14" s="3460"/>
      <c r="G14" s="3460"/>
      <c r="H14" s="3460"/>
      <c r="I14" s="34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2023-05-10T06:55:07Z</dcterms:modified>
</cp:coreProperties>
</file>