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R48" i="21"/>
  <c r="H26" i="21"/>
  <c r="AB26" i="21"/>
  <c r="T48" i="21"/>
  <c r="J26" i="21"/>
  <c r="AC26" i="21"/>
  <c r="V48" i="21"/>
  <c r="R49" i="21"/>
  <c r="C49" i="21"/>
  <c r="B3" i="21"/>
  <c r="C20" i="9"/>
  <c r="F4" i="61"/>
  <c r="I1" i="61"/>
  <c r="B30" i="1"/>
  <c r="F11" i="15"/>
  <c r="C10" i="15"/>
  <c r="C5" i="15"/>
  <c r="C31" i="15"/>
  <c r="D5" i="61"/>
  <c r="K1" i="61"/>
  <c r="D4" i="61"/>
  <c r="G1" i="61"/>
  <c r="E27" i="1"/>
  <c r="F24" i="15"/>
  <c r="E18" i="1"/>
  <c r="C14" i="15"/>
  <c r="C15" i="15"/>
  <c r="C16" i="15"/>
  <c r="C18" i="15"/>
  <c r="C19" i="15"/>
  <c r="C20" i="15"/>
  <c r="C23" i="15"/>
  <c r="C24" i="15"/>
  <c r="F26" i="15"/>
  <c r="C26" i="15"/>
  <c r="C27" i="15"/>
  <c r="C29" i="15"/>
  <c r="C36" i="15"/>
  <c r="C13" i="15"/>
  <c r="C37" i="15"/>
  <c r="C38" i="15"/>
  <c r="C30" i="15"/>
  <c r="C39" i="15"/>
  <c r="F40" i="15"/>
  <c r="C40" i="15"/>
  <c r="B3" i="15"/>
  <c r="D20" i="9"/>
  <c r="G20" i="9"/>
  <c r="D15" i="62"/>
  <c r="C33" i="21"/>
  <c r="C1" i="61"/>
  <c r="J1" i="61"/>
  <c r="E20" i="43"/>
  <c r="O17" i="43"/>
  <c r="G20" i="43"/>
  <c r="B2" i="1"/>
  <c r="B13" i="1"/>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B5" i="1"/>
  <c r="D9" i="11"/>
  <c r="E9" i="11"/>
  <c r="C9" i="11"/>
  <c r="F6" i="15"/>
  <c r="F8" i="15"/>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<sst xmlns="http://schemas.openxmlformats.org/spreadsheetml/2006/main" count="6917" uniqueCount="2917">
  <si>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</si>
  <si>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</si>
  <si>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</si>
  <si>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</si>
  <si>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</si>
  <si>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</si>
  <si>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</si>
  <si>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</si>
  <si>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</si>
  <si>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</si>
  <si>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</si>
  <si>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</si>
  <si>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</si>
  <si>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</si>
  <si>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</si>
  <si>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</si>
  <si>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</si>
  <si>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</si>
  <si>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</si>
  <si>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</si>
  <si>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</si>
  <si>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</si>
  <si>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</si>
  <si>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</si>
  <si>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</si>
  <si>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</si>
  <si>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</si>
  <si>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</si>
  <si>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</si>
  <si>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</si>
  <si>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</si>
  <si>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</si>
  <si>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</si>
  <si>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</si>
  <si>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</si>
  <si>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</si>
  <si>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</si>
  <si>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</si>
  <si>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</si>
  <si>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</si>
  <si>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</si>
  <si>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</si>
  <si>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</si>
  <si>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</si>
  <si>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</si>
  <si>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</si>
  <si>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</si>
  <si>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</si>
  <si>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</si>
  <si>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</si>
  <si>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</si>
  <si>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</si>
  <si>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</si>
  <si>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</si>
  <si>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</si>
  <si>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</si>
  <si>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</si>
  <si>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</si>
  <si>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</si>
  <si>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</si>
  <si>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</si>
  <si>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</si>
  <si>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</si>
  <si>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</si>
  <si>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</si>
  <si>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</si>
  <si>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</si>
  <si>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</si>
  <si>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</si>
  <si>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</si>
  <si>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</si>
  <si>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</si>
  <si>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</si>
  <si>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</si>
  <si>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</si>
  <si>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</si>
  <si>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</si>
  <si>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</si>
  <si>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</si>
  <si>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</si>
  <si>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</si>
  <si>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</si>
  <si>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</si>
  <si>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</si>
  <si>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</si>
  <si>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</si>
  <si>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</si>
  <si>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</si>
  <si>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</si>
  <si>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</si>
  <si>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</si>
  <si>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</si>
  <si>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</si>
  <si>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</si>
  <si>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</si>
  <si>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</si>
  <si>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</si>
  <si>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</si>
  <si>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</si>
  <si>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</si>
  <si>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</si>
  <si>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</si>
  <si>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</si>
  <si>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</si>
  <si>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</si>
  <si>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</si>
  <si>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</si>
  <si>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</si>
  <si>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</si>
  <si>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</si>
  <si>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</si>
  <si>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</si>
  <si>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</si>
  <si>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</si>
  <si>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</si>
  <si>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</si>
  <si>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</si>
  <si>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</si>
  <si>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</si>
  <si>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</si>
  <si>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</si>
  <si>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</si>
  <si>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</si>
  <si>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</si>
  <si>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</si>
  <si>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</si>
  <si>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</si>
  <si>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</si>
  <si>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</si>
  <si>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</si>
  <si>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</si>
  <si>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</si>
  <si>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</si>
  <si>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</si>
  <si>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</si>
  <si>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</si>
  <si>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</si>
  <si>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</si>
  <si>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</si>
  <si>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</si>
  <si>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</si>
  <si>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</si>
  <si>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</si>
  <si>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</si>
  <si>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</si>
  <si>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</si>
  <si>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</si>
  <si>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</si>
  <si>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</si>
  <si>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</si>
  <si>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</si>
  <si>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</si>
  <si>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</si>
  <si>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</si>
  <si>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</si>
  <si>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</si>
  <si>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</si>
  <si>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</si>
  <si>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</si>
  <si>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</si>
  <si>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</si>
  <si>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</si>
  <si>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</si>
  <si>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</si>
  <si>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</si>
  <si>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</si>
  <si>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</si>
  <si>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</si>
  <si>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</si>
  <si>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</si>
  <si>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</si>
  <si>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</si>
  <si>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</si>
  <si>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</si>
  <si>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</si>
  <si>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</si>
  <si>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</si>
  <si>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</si>
  <si>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</si>
  <si>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</si>
  <si>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</si>
  <si>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</si>
  <si>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</si>
  <si>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</si>
  <si>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</si>
  <si>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</si>
  <si>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</si>
  <si>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</si>
  <si>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</si>
  <si>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</si>
  <si>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</si>
  <si>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</si>
  <si>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</si>
  <si>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</si>
  <si>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</si>
  <si>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</si>
  <si>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</si>
  <si>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</si>
  <si>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</si>
  <si>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</si>
  <si>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</si>
  <si>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</si>
  <si>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</si>
  <si>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</si>
  <si>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</si>
  <si>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</si>
  <si>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</si>
  <si>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</si>
  <si>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</si>
  <si>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</si>
  <si>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</si>
  <si>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</si>
  <si>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</si>
  <si>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</si>
  <si>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</si>
  <si>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</si>
  <si>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</si>
  <si>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</si>
  <si>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</si>
  <si>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</si>
  <si>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</si>
  <si>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</si>
  <si>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</si>
  <si>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</si>
  <si>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</si>
  <si>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</si>
  <si>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</si>
  <si>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</si>
  <si>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</si>
  <si>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</si>
  <si>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</si>
  <si>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</si>
  <si>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</si>
  <si>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</si>
  <si>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</si>
  <si>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</si>
  <si>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</si>
  <si>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</si>
  <si>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</si>
  <si>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</si>
  <si>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</si>
  <si>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</si>
  <si>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</si>
  <si>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</si>
  <si>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</si>
  <si>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</si>
  <si>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</si>
  <si>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</si>
  <si>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</si>
  <si>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</si>
  <si>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</si>
  <si>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</si>
  <si>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</si>
  <si>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</si>
  <si>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</si>
  <si>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</si>
  <si>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</si>
  <si>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</si>
  <si>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</si>
  <si>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</si>
  <si>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</si>
  <si>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</si>
  <si>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</si>
  <si>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</si>
  <si>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</si>
  <si>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</si>
  <si>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</si>
  <si>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</si>
  <si>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</si>
  <si>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</si>
  <si>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</si>
  <si>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</si>
  <si>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</si>
  <si>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</si>
  <si>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</si>
  <si>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</si>
  <si>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</si>
  <si>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</si>
  <si>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</si>
  <si>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</si>
  <si>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</si>
  <si>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</si>
  <si>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</si>
  <si>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</si>
  <si>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</si>
  <si>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</si>
  <si>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</si>
  <si>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</si>
  <si>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</si>
  <si>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</si>
  <si>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</si>
  <si>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</si>
  <si>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</si>
  <si>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</si>
  <si>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</si>
  <si>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</si>
  <si>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</si>
  <si>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</si>
  <si>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</si>
  <si>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</si>
  <si>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</si>
  <si>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</si>
  <si>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</si>
  <si>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</si>
  <si>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</si>
  <si>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</si>
  <si>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</si>
  <si>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</si>
  <si>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</si>
  <si>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</si>
  <si>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</si>
  <si>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</si>
  <si>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</si>
  <si>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</si>
  <si>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</si>
  <si>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</si>
  <si>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</si>
  <si>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</si>
  <si>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</si>
  <si>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</si>
  <si>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</si>
  <si>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</si>
  <si>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</si>
  <si>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</si>
  <si>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</si>
  <si>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</si>
  <si>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</si>
  <si>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</si>
  <si>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</si>
  <si>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</si>
  <si>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</si>
  <si>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</si>
  <si>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</si>
  <si>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</si>
  <si>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</si>
  <si>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</si>
  <si>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</si>
  <si>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</si>
  <si>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</si>
  <si>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</si>
  <si>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</si>
  <si>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</si>
  <si>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</si>
  <si>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</si>
  <si>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</si>
  <si>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</si>
  <si>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</si>
  <si>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</si>
  <si>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</si>
  <si>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</si>
  <si>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</si>
  <si>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</si>
  <si>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</si>
  <si>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</si>
  <si>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</si>
  <si>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</si>
  <si>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</si>
  <si>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</si>
  <si>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</si>
  <si>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</si>
  <si>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</si>
  <si>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</si>
  <si>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</si>
  <si>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</si>
  <si>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</si>
  <si>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</si>
  <si>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</si>
  <si>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</si>
  <si>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</si>
  <si>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</si>
  <si>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</si>
  <si>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</si>
  <si>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</si>
  <si>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</si>
  <si>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</si>
  <si>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</si>
  <si>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</si>
  <si>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</si>
  <si>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</si>
  <si>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</si>
  <si>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</si>
  <si>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</si>
  <si>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</si>
  <si>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</si>
  <si>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</si>
  <si>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</si>
  <si>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</si>
  <si>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</si>
  <si>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</si>
  <si>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</si>
  <si>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</si>
  <si>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</si>
  <si>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</si>
  <si>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</si>
  <si>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</si>
  <si>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</si>
  <si>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</si>
  <si>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</si>
  <si>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</si>
  <si>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</si>
  <si>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</si>
  <si>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</si>
  <si>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</si>
  <si>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</si>
  <si>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</si>
  <si>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</si>
  <si>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</si>
  <si>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</si>
  <si>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</si>
  <si>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</si>
  <si>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</si>
  <si>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</si>
  <si>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</si>
  <si>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</si>
  <si>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</si>
  <si>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</si>
  <si>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</si>
  <si>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</si>
  <si>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</si>
  <si>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</si>
  <si>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</si>
  <si>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</si>
  <si>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</si>
  <si>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</si>
  <si>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</si>
  <si>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</si>
  <si>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</si>
  <si>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</si>
  <si>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</si>
  <si>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</si>
  <si>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</si>
  <si>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</si>
  <si>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</si>
  <si>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</si>
  <si>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</si>
  <si>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</si>
  <si>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</si>
  <si>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</si>
  <si>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</si>
  <si>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</si>
  <si>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</si>
  <si>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</si>
  <si>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</si>
  <si>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</si>
  <si>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</si>
  <si>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</si>
  <si>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</si>
  <si>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</si>
  <si>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</si>
  <si>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</si>
  <si>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</si>
  <si>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</si>
  <si>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</si>
  <si>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</si>
  <si>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</si>
  <si>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</si>
  <si>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</si>
  <si>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</si>
  <si>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</si>
  <si>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</si>
  <si>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</si>
  <si>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</si>
  <si>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</si>
  <si>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</si>
  <si>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</si>
  <si>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</si>
  <si>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</si>
  <si>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</si>
  <si>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</si>
  <si>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</si>
  <si>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</si>
  <si>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</si>
  <si>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</si>
  <si>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</si>
  <si>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</si>
  <si>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</si>
  <si>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</si>
  <si>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</si>
  <si>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</si>
  <si>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</si>
  <si>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</si>
  <si>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</si>
  <si>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</si>
  <si>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</si>
  <si>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</si>
  <si>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</si>
  <si>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</si>
  <si>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</si>
  <si>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</si>
  <si>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</si>
  <si>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</si>
  <si>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</si>
  <si>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</si>
  <si>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</si>
  <si>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</si>
  <si>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</si>
  <si>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</si>
  <si>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</si>
  <si>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</si>
  <si>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</si>
  <si>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</si>
  <si>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</si>
  <si>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</si>
  <si>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</si>
  <si>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</si>
  <si>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</si>
  <si>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</si>
  <si>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</si>
  <si>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</si>
  <si>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</si>
  <si>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</si>
  <si>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</si>
  <si>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</si>
  <si>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</si>
  <si>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</si>
  <si>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</si>
  <si>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</si>
  <si>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</si>
  <si>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</si>
  <si>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</si>
  <si>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</si>
  <si>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</si>
  <si>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</si>
  <si>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</si>
  <si>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</si>
  <si>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</si>
  <si>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</si>
  <si>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</si>
  <si>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</si>
  <si>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</si>
  <si>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</si>
  <si>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</si>
  <si>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</si>
  <si>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</si>
  <si>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</si>
  <si>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</si>
  <si>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</si>
  <si>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</si>
  <si>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</si>
  <si>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</si>
  <si>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</si>
  <si>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</si>
  <si>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</si>
  <si>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</si>
  <si>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</si>
  <si>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</si>
  <si>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</si>
  <si>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</si>
  <si>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</si>
  <si>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</si>
  <si>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</si>
  <si>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</si>
  <si>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</si>
  <si>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</si>
  <si>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</si>
  <si>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</si>
  <si>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</si>
  <si>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</si>
  <si>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</si>
  <si>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</si>
  <si>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</si>
  <si>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</si>
  <si>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</si>
  <si>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</si>
  <si>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</si>
  <si>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</si>
  <si>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</si>
  <si>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</si>
  <si>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</si>
  <si>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</si>
  <si>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</si>
  <si>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</si>
  <si>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</si>
  <si>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</si>
  <si>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</si>
  <si>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</si>
  <si>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</si>
  <si>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</si>
  <si>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</si>
  <si>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</si>
  <si>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</si>
  <si>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</si>
  <si>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</si>
  <si>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</si>
  <si>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</si>
  <si>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</si>
  <si>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</si>
  <si>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</si>
  <si>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</si>
  <si>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</si>
  <si>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</si>
  <si>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</si>
  <si>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</si>
  <si>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</si>
  <si>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</si>
  <si>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</si>
  <si>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</si>
  <si>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</si>
  <si>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</si>
  <si>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</si>
  <si>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</si>
  <si>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</si>
  <si>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</si>
  <si>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</si>
  <si>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</si>
  <si>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</si>
  <si>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</si>
  <si>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</si>
  <si>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</si>
  <si>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</si>
  <si>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</si>
  <si>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</si>
  <si>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</si>
  <si>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</si>
  <si>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</si>
  <si>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</si>
  <si>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</si>
  <si>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</si>
  <si>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</si>
  <si>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</si>
  <si>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</si>
  <si>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</si>
  <si>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</si>
  <si>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</si>
  <si>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</si>
  <si>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</si>
  <si>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</si>
  <si>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</si>
  <si>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</si>
  <si>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</si>
  <si>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</si>
  <si>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</si>
  <si>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</si>
  <si>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</si>
  <si>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</si>
  <si>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</si>
  <si>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</si>
  <si>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</si>
  <si>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</si>
  <si>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</si>
  <si>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</si>
  <si>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</si>
  <si>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</si>
  <si>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</si>
  <si>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</si>
  <si>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</si>
  <si>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</si>
  <si>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</si>
  <si>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</si>
  <si>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</si>
  <si>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</si>
  <si>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</si>
  <si>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</si>
  <si>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</si>
  <si>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</si>
  <si>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</si>
  <si>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</si>
  <si>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</si>
  <si>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</si>
  <si>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</si>
  <si>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</si>
  <si>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</si>
  <si>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</si>
  <si>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</si>
  <si>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</si>
  <si>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</si>
  <si>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</si>
  <si>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</si>
  <si>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</si>
  <si>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</si>
  <si>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</si>
  <si>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</si>
  <si>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</si>
  <si>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</si>
  <si>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</si>
  <si>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</si>
  <si>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</si>
  <si>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</si>
  <si>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</si>
  <si>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</si>
  <si>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</si>
  <si>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</si>
  <si>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</si>
  <si>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</si>
  <si>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</si>
  <si>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</si>
  <si>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</si>
  <si>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</si>
  <si>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</si>
  <si>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</si>
  <si>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</si>
  <si>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</si>
  <si>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</si>
  <si>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</si>
  <si>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</si>
  <si>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</si>
  <si>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</si>
  <si>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</si>
  <si>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</si>
  <si>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</si>
  <si>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</si>
  <si>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</si>
  <si>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</si>
  <si>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</si>
  <si>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</si>
  <si>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</si>
  <si>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</si>
  <si>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</si>
  <si>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</si>
  <si>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</si>
  <si>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</si>
  <si>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</si>
  <si>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</si>
  <si>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</si>
  <si>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</si>
  <si>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</si>
  <si>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</si>
  <si>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</si>
  <si>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</si>
  <si>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</si>
  <si>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</si>
  <si>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</si>
  <si>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</si>
  <si>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</si>
  <si>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</si>
  <si>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</si>
  <si>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</si>
  <si>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</si>
  <si>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</si>
  <si>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</si>
  <si>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</si>
  <si>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</si>
  <si>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</si>
  <si>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</si>
  <si>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</si>
  <si>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</si>
  <si>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</si>
  <si>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</si>
  <si>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</si>
  <si>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</si>
  <si>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</si>
  <si>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</si>
  <si>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</si>
  <si>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</si>
  <si>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</si>
  <si>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</si>
  <si>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</si>
  <si>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</si>
  <si>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</si>
  <si>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</si>
  <si>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</si>
  <si>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</si>
  <si>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</si>
  <si>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</si>
  <si>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</si>
  <si>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</si>
  <si>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</si>
  <si>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</si>
  <si>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</si>
  <si>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</si>
  <si>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</si>
  <si>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</si>
  <si>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</si>
  <si>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</si>
  <si>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</si>
  <si>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</si>
  <si>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</si>
  <si>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</si>
  <si>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</si>
  <si>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</si>
  <si>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</si>
  <si>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</si>
  <si>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</si>
  <si>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</si>
  <si>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</si>
  <si>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</si>
  <si>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</si>
  <si>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</si>
  <si>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</si>
  <si>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</si>
  <si>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</si>
  <si>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</si>
  <si>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</si>
  <si>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</si>
  <si>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</si>
  <si>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</si>
  <si>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</si>
  <si>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</si>
  <si>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</si>
  <si>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</si>
  <si>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</si>
  <si>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</si>
  <si>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</si>
  <si>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</si>
  <si>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</si>
  <si>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</si>
  <si>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</si>
  <si>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</si>
  <si>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</si>
  <si>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</si>
  <si>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</si>
  <si>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</si>
  <si>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</si>
  <si>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</si>
  <si>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</si>
  <si>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</si>
  <si>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</si>
  <si>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</si>
  <si>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</si>
  <si>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</si>
  <si>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</si>
  <si>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</si>
  <si>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</si>
  <si>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</si>
  <si>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</si>
  <si>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</si>
  <si>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</si>
  <si>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</si>
  <si>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</si>
  <si>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</si>
  <si>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</si>
  <si>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</si>
  <si>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</si>
  <si>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</si>
  <si>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</si>
  <si>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</si>
  <si>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</si>
  <si>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</si>
  <si>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</si>
  <si>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</si>
  <si>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</si>
  <si>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</si>
  <si>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</si>
  <si>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</si>
  <si>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</si>
  <si>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</si>
  <si>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</si>
  <si>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</si>
  <si>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</si>
  <si>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</si>
  <si>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</si>
  <si>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</si>
  <si>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</si>
  <si>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</si>
  <si>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</si>
  <si>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</si>
  <si>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</si>
  <si>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</si>
  <si>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</si>
  <si>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</si>
  <si>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</si>
  <si>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</si>
  <si>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</si>
  <si>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</si>
  <si>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</si>
  <si>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</si>
  <si>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</si>
  <si>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</si>
  <si>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</si>
  <si>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</si>
  <si>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</si>
  <si>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</si>
  <si>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</si>
  <si>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</si>
  <si>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</si>
  <si>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</si>
  <si>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</si>
  <si>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</si>
  <si>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</si>
  <si>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</si>
  <si>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</si>
  <si>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</si>
  <si>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</si>
  <si>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</si>
  <si>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</si>
  <si>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</si>
  <si>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</si>
  <si>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</si>
  <si>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</si>
  <si>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</si>
  <si>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</si>
  <si>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</si>
  <si>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</si>
  <si>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</si>
  <si>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</si>
  <si>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</si>
  <si>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</si>
  <si>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</si>
  <si>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</si>
  <si>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</si>
  <si>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</si>
  <si>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</si>
  <si>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</si>
  <si>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</si>
  <si>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</si>
  <si>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</si>
  <si>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</si>
  <si>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</si>
  <si>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</si>
  <si>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</si>
  <si>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</si>
  <si>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</si>
  <si>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</si>
  <si>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</si>
  <si>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</si>
  <si>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</si>
  <si>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</si>
  <si>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</si>
  <si>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</si>
  <si>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</si>
  <si>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</si>
  <si>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</si>
  <si>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</si>
  <si>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</si>
  <si>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</si>
  <si>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</si>
  <si>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</si>
  <si>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</si>
  <si>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</si>
  <si>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</si>
  <si>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</si>
  <si>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</si>
  <si>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</si>
  <si>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</si>
  <si>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</si>
  <si>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</si>
  <si>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</si>
  <si>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</si>
  <si>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</si>
  <si>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</si>
  <si>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</si>
  <si>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</si>
  <si>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</si>
  <si>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</si>
  <si>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</si>
  <si>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</si>
  <si>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</si>
  <si>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</si>
  <si>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</si>
  <si>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</si>
  <si>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</si>
  <si>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</si>
  <si>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</si>
  <si>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</si>
  <si>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</si>
  <si>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</si>
  <si>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</si>
  <si>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</si>
  <si>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</si>
  <si>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</si>
  <si>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</si>
  <si>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</si>
  <si>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</si>
  <si>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</si>
  <si>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</si>
  <si>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</si>
  <si>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</si>
  <si>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</si>
  <si>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</si>
  <si>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</si>
  <si>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</si>
  <si>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</si>
  <si>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</si>
  <si>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</si>
  <si>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</si>
  <si>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</si>
  <si>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</si>
  <si>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</si>
  <si>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</si>
  <si>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</si>
  <si>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</si>
  <si>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</si>
  <si>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</si>
  <si>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</si>
  <si>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</si>
  <si>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</si>
  <si>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</si>
  <si>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</si>
  <si>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</si>
  <si>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</si>
  <si>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</si>
  <si>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</si>
  <si>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</si>
  <si>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</si>
  <si>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</si>
  <si>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</si>
  <si>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</si>
  <si>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</si>
  <si>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</si>
  <si>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</si>
  <si>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</si>
  <si>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</si>
  <si>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</si>
  <si>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</si>
  <si>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</si>
  <si>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</si>
  <si>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</si>
  <si>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</si>
  <si>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</si>
  <si>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</si>
  <si>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</si>
  <si>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</si>
  <si>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</si>
  <si>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</si>
  <si>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</si>
  <si>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</si>
  <si>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</si>
  <si>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</si>
  <si>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</si>
  <si>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</si>
  <si>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</si>
  <si>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</si>
  <si>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</si>
  <si>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</si>
  <si>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</si>
  <si>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</si>
  <si>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</si>
  <si>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</si>
  <si>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</si>
  <si>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</si>
  <si>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</si>
  <si>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</si>
  <si>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</si>
  <si>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</si>
  <si>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</si>
  <si>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</si>
  <si>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</si>
  <si>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</si>
  <si>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</si>
  <si>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</si>
  <si>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</si>
  <si>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</si>
  <si>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</si>
  <si>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</si>
  <si>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</si>
  <si>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</si>
  <si>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</si>
  <si>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</si>
  <si>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</si>
  <si>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</si>
  <si>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</si>
  <si>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</si>
  <si>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</si>
  <si>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</si>
  <si>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</si>
  <si>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</si>
  <si>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</si>
  <si>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</si>
  <si>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</si>
  <si>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</si>
  <si>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</si>
  <si>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</si>
  <si>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</si>
  <si>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</si>
  <si>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</si>
  <si>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</si>
  <si>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</si>
  <si>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</si>
  <si>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</si>
  <si>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</si>
  <si>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</si>
  <si>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</si>
  <si>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</si>
  <si>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</si>
  <si>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</si>
  <si>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</si>
  <si>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</si>
  <si>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</si>
  <si>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</si>
  <si>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</si>
  <si>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</si>
  <si>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</si>
  <si>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</si>
  <si>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</si>
  <si>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</si>
  <si>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</si>
  <si>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</si>
  <si>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</si>
  <si>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</si>
  <si>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</si>
  <si>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</si>
  <si>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</si>
  <si>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</si>
  <si>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</si>
  <si>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</si>
  <si>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</si>
  <si>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</si>
  <si>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</si>
  <si>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</si>
  <si>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</si>
  <si>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</si>
  <si>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</si>
  <si>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</si>
  <si>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</si>
  <si>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</si>
  <si>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</si>
  <si>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</si>
  <si>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</si>
  <si>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</si>
  <si>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</si>
  <si>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</si>
  <si>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</si>
  <si>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</si>
  <si>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</si>
  <si>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</si>
  <si>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</si>
  <si>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</si>
  <si>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</si>
  <si>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</si>
  <si>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</si>
  <si>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</si>
  <si>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</si>
  <si>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</si>
  <si>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</si>
  <si>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</si>
  <si>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</si>
  <si>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</si>
  <si>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</si>
  <si>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</si>
  <si>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</si>
  <si>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</si>
  <si>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</si>
  <si>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</si>
  <si>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</si>
  <si>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</si>
  <si>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</si>
  <si>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</si>
  <si>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</si>
  <si>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</si>
  <si>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</si>
  <si>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</si>
  <si>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</si>
  <si>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</si>
  <si>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</si>
  <si>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</si>
  <si>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</si>
  <si>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</si>
  <si>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</si>
  <si>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</si>
  <si>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</si>
  <si>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</si>
  <si>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</si>
  <si>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</si>
  <si>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</si>
  <si>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</si>
  <si>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</si>
  <si>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</si>
  <si>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</si>
  <si>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</si>
  <si>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</si>
  <si>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</si>
  <si>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</si>
  <si>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</si>
  <si>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</si>
  <si>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</si>
  <si>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</si>
  <si>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</si>
  <si>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</si>
  <si>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</si>
  <si>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</si>
  <si>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</si>
  <si>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</si>
  <si>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</si>
  <si>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</si>
  <si>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</si>
  <si>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</si>
  <si>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</si>
  <si>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</si>
  <si>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</si>
  <si>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</si>
  <si>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</si>
  <si>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</si>
  <si>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</si>
  <si>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</si>
  <si>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</si>
  <si>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</si>
  <si>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</si>
  <si>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</si>
  <si>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</si>
  <si>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</si>
  <si>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</si>
  <si>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</si>
  <si>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</si>
  <si>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</si>
  <si>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</si>
  <si>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</si>
  <si>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</si>
  <si>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</si>
  <si>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</si>
  <si>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</si>
  <si>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</si>
  <si>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</si>
  <si>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</si>
  <si>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</si>
  <si>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</si>
  <si>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</si>
  <si>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</si>
  <si>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</si>
  <si>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</si>
  <si>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</si>
  <si>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</si>
  <si>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</si>
  <si>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</si>
  <si>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</si>
  <si>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</si>
  <si>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</si>
  <si>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</si>
  <si>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</si>
  <si>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</si>
  <si>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</si>
  <si>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</si>
  <si>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</si>
  <si>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</si>
  <si>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</si>
  <si>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</si>
  <si>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</si>
  <si>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</si>
  <si>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</si>
  <si>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</si>
  <si>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</si>
  <si>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</si>
  <si>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</si>
  <si>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</si>
  <si>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</si>
  <si>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</si>
  <si>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</si>
  <si>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</si>
  <si>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</si>
  <si>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</si>
  <si>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</si>
  <si>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</si>
  <si>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</si>
  <si>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</si>
  <si>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</si>
  <si>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</si>
  <si>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</si>
  <si>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</si>
  <si>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</si>
  <si>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</si>
  <si>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</si>
  <si>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</si>
  <si>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</si>
  <si>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</si>
  <si>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</si>
  <si>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</si>
  <si>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</si>
  <si>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</si>
  <si>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</si>
  <si>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</si>
  <si>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</si>
  <si>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</si>
  <si>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</si>
  <si>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</si>
  <si>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</si>
  <si>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</si>
  <si>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</si>
  <si>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</si>
  <si>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</si>
  <si>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</si>
  <si>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</si>
  <si>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</si>
  <si>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</si>
  <si>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</si>
  <si>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</si>
  <si>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</si>
  <si>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</si>
  <si>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</si>
  <si>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</si>
  <si>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</si>
  <si>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</si>
  <si>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</si>
  <si>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</si>
  <si>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</si>
  <si>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</si>
  <si>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</si>
  <si>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</si>
  <si>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</si>
  <si>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</si>
  <si>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</si>
  <si>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</si>
  <si>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</si>
  <si>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</si>
  <si>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</si>
  <si>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</si>
  <si>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</si>
  <si>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</si>
  <si>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</si>
  <si>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</si>
  <si>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</si>
  <si>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</si>
  <si>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</si>
  <si>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</si>
  <si>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</si>
  <si>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</si>
  <si>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</si>
  <si>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</si>
  <si>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</si>
  <si>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</si>
  <si>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</si>
  <si>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</si>
  <si>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</si>
  <si>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</si>
  <si>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</si>
  <si>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</si>
  <si>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</si>
  <si>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</si>
  <si>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</si>
  <si>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</si>
  <si>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</si>
  <si>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</si>
  <si>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</si>
  <si>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</si>
  <si>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</si>
  <si>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</si>
  <si>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</si>
  <si>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</si>
  <si>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</si>
  <si>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</si>
  <si>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</si>
  <si>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</si>
  <si>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</si>
  <si>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</si>
  <si>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</si>
  <si>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</si>
  <si>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</si>
  <si>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</si>
  <si>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</si>
  <si>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</si>
  <si>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</si>
  <si>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</si>
  <si>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</si>
  <si>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</si>
  <si>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</si>
  <si>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</si>
  <si>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</si>
  <si>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</si>
  <si>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</si>
  <si>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</si>
  <si>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</si>
  <si>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</si>
  <si>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</si>
  <si>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</si>
  <si>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</si>
  <si>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</si>
  <si>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</si>
  <si>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</si>
  <si>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</si>
  <si>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</si>
  <si>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</si>
  <si>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</si>
  <si>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</si>
  <si>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</si>
  <si>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</si>
  <si>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</si>
  <si>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</si>
  <si>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</si>
  <si>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</si>
  <si>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</si>
  <si>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</si>
  <si>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</si>
  <si>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</si>
  <si>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</si>
  <si>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</si>
  <si>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</si>
  <si>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</si>
  <si>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</si>
  <si>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</si>
  <si>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</si>
  <si>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</si>
  <si>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</si>
  <si>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</si>
  <si>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</si>
  <si>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</si>
  <si>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</si>
  <si>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</si>
  <si>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</si>
  <si>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</si>
  <si>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</si>
  <si>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</si>
  <si>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</si>
  <si>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</si>
  <si>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</si>
  <si>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</si>
  <si>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</si>
  <si>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</si>
  <si>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</si>
  <si>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</si>
  <si>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</si>
  <si>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</si>
  <si>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</si>
  <si>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</si>
  <si>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</si>
  <si>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</si>
  <si>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</si>
  <si>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</si>
  <si>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</si>
  <si>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</si>
  <si>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</si>
  <si>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</si>
  <si>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</si>
  <si>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</si>
  <si>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</si>
  <si>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</si>
  <si>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</si>
  <si>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</si>
  <si>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</si>
  <si>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</si>
  <si>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</si>
  <si>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</si>
  <si>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</si>
  <si>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</si>
  <si>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</si>
  <si>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</si>
  <si>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</si>
  <si>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</si>
  <si>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</si>
  <si>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</si>
  <si>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</si>
  <si>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</si>
  <si>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</si>
  <si>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</si>
  <si>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</si>
  <si>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</si>
  <si>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</si>
  <si>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</si>
  <si>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</si>
  <si>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</si>
  <si>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</si>
  <si>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</si>
  <si>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</si>
  <si>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</si>
  <si>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</si>
  <si>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</si>
  <si>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</si>
  <si>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</si>
  <si>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</si>
  <si>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</si>
  <si>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</si>
  <si>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</si>
  <si>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</si>
  <si>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</si>
  <si>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</si>
  <si>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</si>
  <si>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</si>
  <si>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</si>
  <si>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</si>
  <si>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</si>
  <si>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</si>
  <si>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</si>
  <si>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</si>
  <si>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</si>
  <si>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</si>
  <si>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</si>
  <si>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</si>
  <si>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</si>
  <si>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</si>
  <si>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</si>
  <si>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</si>
  <si>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</si>
  <si>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</si>
  <si>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</si>
  <si>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</si>
  <si>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</si>
  <si>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</si>
  <si>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</si>
  <si>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</si>
  <si>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</si>
  <si>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</si>
  <si>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</si>
  <si>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</si>
  <si>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</si>
  <si>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</si>
  <si>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</si>
  <si>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</si>
  <si>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</si>
  <si>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</si>
  <si>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</si>
  <si>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</si>
  <si>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</si>
  <si>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</si>
  <si>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</si>
  <si>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</si>
  <si>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</si>
  <si>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</si>
  <si>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</si>
  <si>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</si>
  <si>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</si>
  <si>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</si>
  <si>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</si>
  <si>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</si>
  <si>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</si>
  <si>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</si>
  <si>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</si>
  <si>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</si>
  <si>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</si>
  <si>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</si>
  <si>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</si>
  <si>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</si>
  <si>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</si>
  <si>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</si>
  <si>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</si>
  <si>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</si>
  <si>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</si>
  <si>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</si>
  <si>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</si>
  <si>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</si>
  <si>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</si>
  <si>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</si>
  <si>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</si>
  <si>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</si>
  <si>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</si>
  <si>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</si>
  <si>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</si>
  <si>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</si>
  <si>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</si>
  <si>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</si>
  <si>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</si>
  <si>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</si>
  <si>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</si>
  <si>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</si>
  <si>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</si>
  <si>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</si>
  <si>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</si>
  <si>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</si>
  <si>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</si>
  <si>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</si>
  <si>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</si>
  <si>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</si>
  <si>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</si>
  <si>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</si>
  <si>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</si>
  <si>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</si>
  <si>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</si>
  <si>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</si>
  <si>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</si>
  <si>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</si>
  <si>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</si>
  <si>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</si>
  <si>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</si>
  <si>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</si>
  <si>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</si>
  <si>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</si>
  <si>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</si>
  <si>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</si>
  <si>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</si>
  <si>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</si>
  <si>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</si>
  <si>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</si>
  <si>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</si>
  <si>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</si>
  <si>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</si>
  <si>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</si>
  <si>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</si>
  <si>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</si>
  <si>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</si>
  <si>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</si>
  <si>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</si>
  <si>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</si>
  <si>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</si>
  <si>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</si>
  <si>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</si>
  <si>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</si>
  <si>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</si>
  <si>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</si>
  <si>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</si>
  <si>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</si>
  <si>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</si>
  <si>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</si>
  <si>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</si>
  <si>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</si>
  <si>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</si>
  <si>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</si>
  <si>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</si>
  <si>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</si>
  <si>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</si>
  <si>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</si>
  <si>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</si>
  <si>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</si>
  <si>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</si>
  <si>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</si>
  <si>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</si>
  <si>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</si>
  <si>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</si>
  <si>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</si>
  <si>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</si>
  <si>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</si>
  <si>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</si>
  <si>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</si>
  <si>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</si>
  <si>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</si>
  <si>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</si>
  <si>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</si>
  <si>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</si>
  <si>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</si>
  <si>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</si>
  <si>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</si>
  <si>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</si>
  <si>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</si>
  <si>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</si>
  <si>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</si>
  <si>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</si>
  <si>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</si>
  <si>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</si>
  <si>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</si>
  <si>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</si>
  <si>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</si>
  <si>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</si>
  <si>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</si>
  <si>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</si>
  <si>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</si>
  <si>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</si>
  <si>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</si>
  <si>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</si>
  <si>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</si>
  <si>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</si>
  <si>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</si>
  <si>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</si>
  <si>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</si>
  <si>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</si>
  <si>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</si>
  <si>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</si>
  <si>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</si>
  <si>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</si>
  <si>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</si>
  <si>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</si>
  <si>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</si>
  <si>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</si>
  <si>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</si>
  <si>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</si>
  <si>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</si>
  <si>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</si>
  <si>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</si>
  <si>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</si>
  <si>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</si>
  <si>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</si>
  <si>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</si>
  <si>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</si>
  <si>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</si>
  <si>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</si>
  <si>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</si>
  <si>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</si>
  <si>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</si>
  <si>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</si>
  <si>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</si>
  <si>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</si>
  <si>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</si>
  <si>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</si>
  <si>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</si>
  <si>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</si>
  <si>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</si>
  <si>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</si>
  <si>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</si>
  <si>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</si>
  <si>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</si>
  <si>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</si>
  <si>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</si>
  <si>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</si>
  <si>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</si>
  <si>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</si>
  <si>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</si>
  <si>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</si>
  <si>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</si>
  <si>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</si>
  <si>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</si>
  <si>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</si>
  <si>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</si>
  <si>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</si>
  <si>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</si>
  <si>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</si>
  <si>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</si>
  <si>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</si>
  <si>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</si>
  <si>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</si>
  <si>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</si>
  <si>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</si>
  <si>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</si>
  <si>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</si>
  <si>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</si>
  <si>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</si>
  <si>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</si>
  <si>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</si>
  <si>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</si>
  <si>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</si>
  <si>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</si>
  <si>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</si>
  <si>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</si>
  <si>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</si>
  <si>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</si>
  <si>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</si>
  <si>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</si>
  <si>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</si>
  <si>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</si>
  <si>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</si>
  <si>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</si>
  <si>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</si>
  <si>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</si>
  <si>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</si>
  <si>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</si>
  <si>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</si>
  <si>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</si>
  <si>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</si>
  <si>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</si>
  <si>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</si>
  <si>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</si>
  <si>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</si>
  <si>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</si>
  <si>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</si>
  <si>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</si>
  <si>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</si>
  <si>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</si>
  <si>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</si>
  <si>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</si>
  <si>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</si>
  <si>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</si>
  <si>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</si>
  <si>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</si>
  <si>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</si>
  <si>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</si>
  <si>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</si>
  <si>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</si>
  <si>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</si>
  <si>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</si>
  <si>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</si>
  <si>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</si>
  <si>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</si>
  <si>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</si>
  <si>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</si>
  <si>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</si>
  <si>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</si>
  <si>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</si>
  <si>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</si>
  <si>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</si>
  <si>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</si>
  <si>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</si>
  <si>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</si>
  <si>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</si>
  <si>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</si>
  <si>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</si>
  <si>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</si>
  <si>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</si>
  <si>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</si>
  <si>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</si>
  <si>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</si>
  <si>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</si>
  <si>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</si>
  <si>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</si>
  <si>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</si>
  <si>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</si>
  <si>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</si>
  <si>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</si>
  <si>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</si>
  <si>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</si>
  <si>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</si>
  <si>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</si>
  <si>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</si>
  <si>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</si>
  <si>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</si>
  <si>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</si>
  <si>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</si>
  <si>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</si>
  <si>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</si>
  <si>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</si>
  <si>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</si>
  <si>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</si>
  <si>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</si>
  <si>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</si>
  <si>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</si>
  <si>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</si>
  <si>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</si>
  <si>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</si>
  <si>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</si>
  <si>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</si>
  <si>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</si>
  <si>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</si>
  <si>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</si>
  <si>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</si>
  <si>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</si>
  <si>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</si>
  <si>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</si>
  <si>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</si>
  <si>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</si>
  <si>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</si>
  <si>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</si>
  <si>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</si>
  <si>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</si>
  <si>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</si>
  <si>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</si>
  <si>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</si>
  <si>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</si>
  <si>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</si>
  <si>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</si>
  <si>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</si>
  <si>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</si>
  <si>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</si>
  <si>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</si>
  <si>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</si>
  <si>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</si>
  <si>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</si>
  <si>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</si>
  <si>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</si>
  <si>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</si>
  <si>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</si>
  <si>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</si>
  <si>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</si>
  <si>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</si>
  <si>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</si>
  <si>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</si>
  <si>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</si>
  <si>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</si>
  <si>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</si>
  <si>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</si>
  <si>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</si>
  <si>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</si>
  <si>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</si>
  <si>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</si>
  <si>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</si>
  <si>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</si>
  <si>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</si>
  <si>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</si>
  <si>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</si>
  <si>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</si>
  <si>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</si>
  <si>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</si>
  <si>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</si>
  <si>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</si>
  <si>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</si>
  <si>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</si>
  <si>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</si>
  <si>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</si>
  <si>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</si>
  <si>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</si>
  <si>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</si>
  <si>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</si>
  <si>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</si>
  <si>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</si>
  <si>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</si>
  <si>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</si>
  <si>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</si>
  <si>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</si>
  <si>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</si>
  <si>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</si>
  <si>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</si>
  <si>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</si>
  <si>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</si>
  <si>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</si>
  <si>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</si>
  <si>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</si>
  <si>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</si>
  <si>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</si>
  <si>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</si>
  <si>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</si>
  <si>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</si>
  <si>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</si>
  <si>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</si>
  <si>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</si>
  <si>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</si>
  <si>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</si>
  <si>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</si>
  <si>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</si>
  <si>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</si>
  <si>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</si>
  <si>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</si>
  <si>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</si>
  <si>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</si>
  <si>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</si>
  <si>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</si>
  <si>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</si>
  <si>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</si>
  <si>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</si>
  <si>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</si>
  <si>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</si>
  <si>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</si>
  <si>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</si>
  <si>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</si>
  <si>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</si>
  <si>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</si>
  <si>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</si>
  <si>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</si>
  <si>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</si>
  <si>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</si>
  <si>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</si>
  <si>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</si>
  <si>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</si>
  <si>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</si>
  <si>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</si>
  <si>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</si>
  <si>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</si>
  <si>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</si>
  <si>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</si>
  <si>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</si>
  <si>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</si>
  <si>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</si>
  <si>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</si>
  <si>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</si>
  <si>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</si>
  <si>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</si>
  <si>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</si>
  <si>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</si>
  <si>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</si>
  <si>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</si>
  <si>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</si>
  <si>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</si>
  <si>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</si>
  <si>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</si>
  <si>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</si>
  <si>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</si>
  <si>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</si>
  <si>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</si>
  <si>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</si>
  <si>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</si>
  <si>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</si>
  <si>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</si>
  <si>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</si>
  <si>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</si>
  <si>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</si>
  <si>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</si>
  <si>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</si>
  <si>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</si>
  <si>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</si>
  <si>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</si>
  <si>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</si>
  <si>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</si>
  <si>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</si>
  <si>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</si>
  <si>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</si>
  <si>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</si>
  <si>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</si>
  <si>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</si>
  <si>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</si>
  <si>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</si>
  <si>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</si>
  <si>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</si>
  <si>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</si>
  <si>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</si>
  <si>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</si>
  <si>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</si>
  <si>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</si>
  <si>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</si>
  <si>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</si>
  <si>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</si>
  <si>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</si>
  <si>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</si>
  <si>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</si>
  <si>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</si>
  <si>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</si>
  <si>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</si>
  <si>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</si>
  <si>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</si>
  <si>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</si>
  <si>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</si>
  <si>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</si>
  <si>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</si>
  <si>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</si>
  <si>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</si>
  <si>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</si>
  <si>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</si>
  <si>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</si>
  <si>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</si>
  <si>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</si>
  <si>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</si>
  <si>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</si>
  <si>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</si>
  <si>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</si>
  <si>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</si>
  <si>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</si>
  <si>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</si>
  <si>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</si>
  <si>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</si>
  <si>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</si>
  <si>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</si>
  <si>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</si>
  <si>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</si>
  <si>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</si>
  <si>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</si>
  <si>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</si>
  <si>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</si>
  <si>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</si>
  <si>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</si>
  <si>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</si>
  <si>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</si>
  <si>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</si>
  <si>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</si>
  <si>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</si>
  <si>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</si>
  <si>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</si>
  <si>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</si>
  <si>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</si>
  <si>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</si>
  <si>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</si>
  <si>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</si>
  <si>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</si>
  <si>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</si>
  <si>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</si>
  <si>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</si>
  <si>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</si>
  <si>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</si>
  <si>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</si>
  <si>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</si>
  <si>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</si>
  <si>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</si>
  <si>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</si>
  <si>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</si>
  <si>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</si>
  <si>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</si>
  <si>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</si>
  <si>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</si>
  <si>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</si>
  <si>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</si>
  <si>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</si>
  <si>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</si>
  <si>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</si>
  <si>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</si>
  <si>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</si>
  <si>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</si>
  <si>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</si>
  <si>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</si>
  <si>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</si>
  <si>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</si>
  <si>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</si>
  <si>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</si>
  <si>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</si>
  <si>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</si>
  <si>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</si>
  <si>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</si>
  <si>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</si>
  <si>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</si>
  <si>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</si>
  <si>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</si>
  <si>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</si>
  <si>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</si>
  <si>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</si>
  <si>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</si>
  <si>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</si>
  <si>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</si>
  <si>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</si>
  <si>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</si>
  <si>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</si>
  <si>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</si>
  <si>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</si>
  <si>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</si>
  <si>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</si>
  <si>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</si>
  <si>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</si>
  <si>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</si>
  <si>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</si>
  <si>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</si>
  <si>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</si>
  <si>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</si>
  <si>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</si>
  <si>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</si>
  <si>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</si>
  <si>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</si>
  <si>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</si>
  <si>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</si>
  <si>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</si>
  <si>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</si>
  <si>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</si>
  <si>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</si>
  <si>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</si>
  <si>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</si>
  <si>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</si>
  <si>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</si>
  <si>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</si>
  <si>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</si>
  <si>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</si>
  <si>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</si>
  <si>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</si>
  <si>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</si>
  <si>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</si>
  <si>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</si>
  <si>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</si>
  <si>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</si>
  <si>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</si>
  <si>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</si>
  <si>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</si>
  <si>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</si>
  <si>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</si>
  <si>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</si>
  <si>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</si>
  <si>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</si>
  <si>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</si>
  <si>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</si>
  <si>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</si>
  <si>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</si>
  <si>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</si>
  <si>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</si>
  <si>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</si>
  <si>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</si>
  <si>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</si>
  <si>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</si>
  <si>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</si>
  <si>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</si>
  <si>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</si>
  <si>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</si>
  <si>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</si>
  <si>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</si>
  <si>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</si>
  <si>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</si>
  <si>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</si>
  <si>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</si>
  <si>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</si>
  <si>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</si>
  <si>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</si>
  <si>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</si>
  <si>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</si>
  <si>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</si>
  <si>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</si>
  <si>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</si>
  <si>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</si>
  <si>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</si>
  <si>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</si>
  <si>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</si>
  <si>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</si>
  <si>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</si>
  <si>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</si>
  <si>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</si>
  <si>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</si>
  <si>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</si>
  <si>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</si>
  <si>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</si>
  <si>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</si>
  <si>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</si>
  <si>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</si>
  <si>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</si>
  <si>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</si>
  <si>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</si>
  <si>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</si>
  <si>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</si>
  <si>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</si>
  <si>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</si>
  <si>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</si>
  <si>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</si>
  <si>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</si>
  <si>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</si>
  <si>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</si>
  <si>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</si>
  <si>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</si>
  <si>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</si>
  <si>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</si>
  <si>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</si>
  <si>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</si>
  <si>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</si>
  <si>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</si>
  <si>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</si>
  <si>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</si>
  <si>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</si>
  <si>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</si>
  <si>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</si>
  <si>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</si>
  <si>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</si>
  <si>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</si>
  <si>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</si>
  <si>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</si>
  <si>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</si>
  <si>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</si>
  <si>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</si>
  <si>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</si>
  <si>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</si>
  <si>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</si>
  <si>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</si>
  <si>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</si>
  <si>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</si>
  <si>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</si>
  <si>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</si>
  <si>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</si>
  <si>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</si>
  <si>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</si>
  <si>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</si>
  <si>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</si>
  <si>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</si>
  <si>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</si>
  <si>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</si>
  <si>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</si>
  <si>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</si>
  <si>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</si>
  <si>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</si>
  <si>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</si>
  <si>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</si>
  <si>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</si>
  <si>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</si>
  <si>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</si>
  <si>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</si>
  <si>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</si>
  <si>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</si>
  <si>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</si>
  <si>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</si>
  <si>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</si>
  <si>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</si>
  <si>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</si>
  <si>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</si>
  <si>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</si>
  <si>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</si>
  <si>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</si>
  <si>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</si>
  <si>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</si>
  <si>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</si>
  <si>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</si>
  <si>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</si>
  <si>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</si>
  <si>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</si>
  <si>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</si>
  <si>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</si>
  <si>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</si>
  <si>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</si>
  <si>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</si>
  <si>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</si>
  <si>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</si>
  <si>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</si>
  <si>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</si>
  <si>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</si>
  <si>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</si>
  <si>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</si>
  <si>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</si>
  <si>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</si>
  <si>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</si>
  <si>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</si>
  <si>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</si>
  <si>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</si>
  <si>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</si>
  <si>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</si>
  <si>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</si>
  <si>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</si>
  <si>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</si>
  <si>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</si>
  <si>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</si>
  <si>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</si>
  <si>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</si>
  <si>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</si>
  <si>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</si>
  <si>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</si>
  <si>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</si>
  <si>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</si>
  <si>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</si>
  <si>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</si>
  <si>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</si>
  <si>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</si>
  <si>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</si>
  <si>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</si>
  <si>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</si>
  <si>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</si>
  <si>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</si>
  <si>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</si>
  <si>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</si>
  <si>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</si>
  <si>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</si>
  <si>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</si>
  <si>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</si>
  <si>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</si>
  <si>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</si>
  <si>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</si>
  <si>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</si>
  <si>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</si>
  <si>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</si>
  <si>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</si>
  <si>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</si>
  <si>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</si>
  <si>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</si>
  <si>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</si>
  <si>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</si>
  <si>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</si>
  <si>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</si>
  <si>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</si>
  <si>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</si>
  <si>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</si>
  <si>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</si>
  <si>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</si>
  <si>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</si>
  <si>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</si>
  <si>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</si>
  <si>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</si>
  <si>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</si>
  <si>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</si>
  <si>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</si>
  <si>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</si>
  <si>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</si>
  <si>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</si>
  <si>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</si>
  <si>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</si>
  <si>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</si>
  <si>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</si>
  <si>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</si>
  <si>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</si>
  <si>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</si>
  <si>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</si>
  <si>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</si>
  <si>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</si>
  <si>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</si>
  <si>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</si>
  <si>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</si>
  <si>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</si>
  <si>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</si>
  <si>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</si>
  <si>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</si>
  <si>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</si>
  <si>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</si>
  <si>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</si>
  <si>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</si>
  <si>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</si>
  <si>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</si>
  <si>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</si>
  <si>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</si>
  <si>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</si>
  <si>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</si>
  <si>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</si>
  <si>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</si>
  <si>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</si>
  <si>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</si>
  <si>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</si>
  <si>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</si>
  <si>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</si>
  <si>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</si>
  <si>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</si>
  <si>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</si>
  <si>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</si>
  <si>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</si>
  <si>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</si>
  <si>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</si>
  <si>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</si>
  <si>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</si>
  <si>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</si>
  <si>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</si>
  <si>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</si>
  <si>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</si>
  <si>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</si>
  <si>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</si>
  <si>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</si>
  <si>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</si>
  <si>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</si>
  <si>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</si>
  <si>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</si>
  <si>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</si>
  <si>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</si>
  <si>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</si>
  <si>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</si>
  <si>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</si>
  <si>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</si>
  <si>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</si>
  <si>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</si>
  <si>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</si>
  <si>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</si>
  <si>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</si>
  <si>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</si>
  <si>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</si>
  <si>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</si>
  <si>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</si>
  <si>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</si>
  <si>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</si>
  <si>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</si>
  <si>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</si>
  <si>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</si>
  <si>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</si>
  <si>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</si>
  <si>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</si>
  <si>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</si>
  <si>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</si>
  <si>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</si>
  <si>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</si>
  <si>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</si>
  <si>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</si>
  <si>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</si>
  <si>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</si>
  <si>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</si>
  <si>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</si>
  <si>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</si>
  <si>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</si>
  <si>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</si>
  <si>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</si>
  <si>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</si>
  <si>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</si>
  <si>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</si>
  <si>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</si>
  <si>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</si>
  <si>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</si>
  <si>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</si>
  <si>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</si>
  <si>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</si>
  <si>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</si>
  <si>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</si>
  <si>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</si>
  <si>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</si>
  <si>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</si>
  <si>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</si>
  <si>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</si>
  <si>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</si>
  <si>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</si>
  <si>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</si>
  <si>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</si>
  <si>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</si>
  <si>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</si>
  <si>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</si>
  <si>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</si>
  <si>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</si>
  <si>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</si>
  <si>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</si>
  <si>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</si>
  <si>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</si>
  <si>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</si>
  <si>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</si>
  <si>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</si>
  <si>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</si>
  <si>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</si>
  <si>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</si>
  <si>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</si>
  <si>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</si>
  <si>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</si>
  <si>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</si>
  <si>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</si>
  <si>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</si>
  <si>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</si>
  <si>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</si>
  <si>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</si>
  <si>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</si>
  <si>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</si>
  <si>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</si>
  <si>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</si>
  <si>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</si>
  <si>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</si>
  <si>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</si>
  <si>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</si>
  <si>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</si>
  <si>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</si>
  <si>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</si>
  <si>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</si>
  <si>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</si>
  <si>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</si>
  <si>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</si>
  <si>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</si>
  <si>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</si>
  <si>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</si>
  <si>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</si>
  <si>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</si>
  <si>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</si>
  <si>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</si>
  <si>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</si>
  <si>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</si>
  <si>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</si>
  <si>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</si>
  <si>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</si>
  <si>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</si>
  <si>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</si>
  <si>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</si>
  <si>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</si>
  <si>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</si>
  <si>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</si>
  <si>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</si>
  <si>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</si>
  <si>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</si>
  <si>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</si>
  <si>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</si>
  <si>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</si>
  <si>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</si>
  <si>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</si>
  <si>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</si>
  <si>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</si>
  <si>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</si>
  <si>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</si>
  <si>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</si>
  <si>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</si>
  <si>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</si>
  <si>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</si>
  <si>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</si>
  <si>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</si>
  <si>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</si>
  <si>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</si>
  <si>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</si>
  <si>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</si>
  <si>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</si>
  <si>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</si>
  <si>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</si>
  <si>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</si>
  <si>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</si>
  <si>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</si>
  <si>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</si>
  <si>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</si>
  <si>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</si>
  <si>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</si>
  <si>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</si>
  <si>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</si>
  <si>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</si>
  <si>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</si>
  <si>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</si>
  <si>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</si>
  <si>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</si>
  <si>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</si>
  <si>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</si>
  <si>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</si>
  <si>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</si>
  <si>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</si>
  <si>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</si>
  <si>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</si>
  <si>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</si>
  <si>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</si>
  <si>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</si>
  <si>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</si>
  <si>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</si>
  <si>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</si>
  <si>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</si>
  <si>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</si>
  <si>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</si>
  <si>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</si>
  <si>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</si>
  <si>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</si>
  <si>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</si>
  <si>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</si>
  <si>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</si>
  <si>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</si>
  <si>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</si>
  <si>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</si>
  <si>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</si>
  <si>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</si>
  <si>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</si>
  <si>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</si>
  <si>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</si>
  <si>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</si>
  <si>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</si>
  <si>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</si>
  <si>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</si>
  <si>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</si>
  <si>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</si>
  <si>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</si>
  <si>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</si>
  <si>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</si>
  <si>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</si>
  <si>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</si>
  <si>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</si>
  <si>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</si>
  <si>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</si>
  <si>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</si>
  <si>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</si>
  <si>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</si>
  <si>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</si>
  <si>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</si>
  <si>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</si>
  <si>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</si>
  <si>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</si>
  <si>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</si>
  <si>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</si>
  <si>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</si>
  <si>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</si>
  <si>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</si>
  <si>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</si>
  <si>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</si>
  <si>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</si>
  <si>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</si>
  <si>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</si>
  <si>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</si>
  <si>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</si>
  <si>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</si>
  <si>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</si>
  <si>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</si>
  <si>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</si>
  <si>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</si>
  <si>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</si>
  <si>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</si>
  <si>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</si>
  <si>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</si>
  <si>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</si>
  <si>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</si>
  <si>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</si>
  <si>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</si>
  <si>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</si>
  <si>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</si>
  <si>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</si>
  <si>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</si>
  <si>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</si>
  <si>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</si>
  <si>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</si>
  <si>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</si>
  <si>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</si>
  <si>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</si>
  <si>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</si>
  <si>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</si>
  <si>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</si>
  <si>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</si>
  <si>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</si>
  <si>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</si>
  <si>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</si>
  <si>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</si>
  <si>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</si>
  <si>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</si>
  <si>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</si>
  <si>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</si>
  <si>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</si>
  <si>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</si>
  <si>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</si>
  <si>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</si>
  <si>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</si>
  <si>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</si>
  <si>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</si>
  <si>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</si>
  <si>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</si>
  <si>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</si>
  <si>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</si>
  <si>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</si>
  <si>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</si>
  <si>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</si>
  <si>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</si>
  <si>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</si>
  <si>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</si>
  <si>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</si>
  <si>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</si>
  <si>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</si>
  <si>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</si>
  <si>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</si>
  <si>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</si>
  <si>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</si>
  <si>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</si>
  <si>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</si>
  <si>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</si>
  <si>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</si>
  <si>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</si>
  <si>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</si>
  <si>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</si>
  <si>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</si>
  <si>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</si>
  <si>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</si>
  <si>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</si>
  <si>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</si>
  <si>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</si>
  <si>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</si>
  <si>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</si>
  <si>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</si>
  <si>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</si>
  <si>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</si>
  <si>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</si>
  <si>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</si>
  <si>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</si>
  <si>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</si>
  <si>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</si>
  <si>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</si>
  <si>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</si>
  <si>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</si>
  <si>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</si>
  <si>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</si>
  <si>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</si>
  <si>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</si>
  <si>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</si>
  <si>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</si>
  <si>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</si>
  <si>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</si>
  <si>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</si>
  <si>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</si>
  <si>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</si>
  <si>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</si>
  <si>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</si>
  <si>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</si>
  <si>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</si>
  <si>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</si>
  <si>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</si>
  <si>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</si>
  <si>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</si>
  <si>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</si>
  <si>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</si>
  <si>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</si>
  <si>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</si>
  <si>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</si>
  <si>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</si>
  <si>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</si>
  <si>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</si>
  <si>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</si>
  <si>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</si>
  <si>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</si>
  <si>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</si>
  <si>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</si>
  <si>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</si>
  <si>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</si>
  <si>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</si>
  <si>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</si>
  <si>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</si>
  <si>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</si>
  <si>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</si>
  <si>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</si>
  <si>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</si>
  <si>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</si>
  <si>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</si>
  <si>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</si>
  <si>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</si>
  <si>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</si>
  <si>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</si>
  <si>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</si>
  <si>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</si>
  <si>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</si>
  <si>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</si>
  <si>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</si>
  <si>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</si>
  <si>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</si>
  <si>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</si>
  <si>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</si>
  <si>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</si>
  <si>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</si>
  <si>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</si>
  <si>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</si>
  <si>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</si>
  <si>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</si>
  <si>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</si>
  <si>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</si>
  <si>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</si>
  <si>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</si>
  <si>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</si>
  <si>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</si>
  <si>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</si>
  <si>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</si>
  <si>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</si>
  <si>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</si>
  <si>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</si>
  <si>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</si>
  <si>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</si>
  <si>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</si>
  <si>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</si>
  <si>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</si>
  <si>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</si>
  <si>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</si>
  <si>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</si>
  <si>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</si>
  <si>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</si>
  <si>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</si>
  <si>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</si>
  <si>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</si>
  <si>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</si>
  <si>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</si>
  <si>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</si>
  <si>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</si>
  <si>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</si>
  <si>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</si>
  <si>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</si>
  <si>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</si>
  <si>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</si>
  <si>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</si>
  <si>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</si>
  <si>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</si>
  <si>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</si>
  <si>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</si>
  <si>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</si>
  <si>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</si>
  <si>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</si>
  <si>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</si>
  <si>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</si>
  <si>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</si>
  <si>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</si>
  <si>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</si>
  <si>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</si>
  <si>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</si>
  <si>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</si>
  <si>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</si>
  <si>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</si>
  <si>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</si>
  <si>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</si>
  <si>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</si>
  <si>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</si>
  <si>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</si>
  <si>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</si>
  <si>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</si>
  <si>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</si>
  <si>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</si>
  <si>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</si>
  <si>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</si>
  <si>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</si>
  <si>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</si>
  <si>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</si>
  <si>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</si>
  <si>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</si>
  <si>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</si>
  <si>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</si>
  <si>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</si>
  <si>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</si>
  <si>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</si>
  <si>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</si>
  <si>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</si>
  <si>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</si>
  <si>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</si>
  <si>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</si>
  <si>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</si>
  <si>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</si>
  <si>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</si>
  <si>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</si>
  <si>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</si>
  <si>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</si>
  <si>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</si>
  <si>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</si>
  <si>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</si>
  <si>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</si>
  <si>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</si>
  <si>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</si>
  <si>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</si>
  <si>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</si>
  <si>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</si>
  <si>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</si>
  <si>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</si>
  <si>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</si>
  <si>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</si>
  <si>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</si>
  <si>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</si>
  <si>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</si>
  <si>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</si>
  <si>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</si>
  <si>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</si>
  <si>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</si>
  <si>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</si>
  <si>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</si>
  <si>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</si>
  <si>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</si>
  <si>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</si>
  <si>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</si>
  <si>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</si>
  <si>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</si>
  <si>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</si>
  <si>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</si>
  <si>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</si>
  <si>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</si>
  <si>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</si>
  <si>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</si>
  <si>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</si>
  <si>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</si>
  <si>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</si>
  <si>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</si>
  <si>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</si>
  <si>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</si>
  <si>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</si>
  <si>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</si>
  <si>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</si>
  <si>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</si>
  <si>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</si>
  <si>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</si>
  <si>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</si>
  <si>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</si>
  <si>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</si>
  <si>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</si>
  <si>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</si>
  <si>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</si>
  <si>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</si>
  <si>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</si>
  <si>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</si>
  <si>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</si>
  <si>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</si>
  <si>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</si>
  <si>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</si>
  <si>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</si>
  <si>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</si>
  <si>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</si>
  <si>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</si>
  <si>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</si>
  <si>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</si>
  <si>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</si>
  <si>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</si>
  <si>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</si>
  <si>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</si>
  <si>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</si>
  <si>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</si>
  <si>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</si>
  <si>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</si>
  <si>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</si>
  <si>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</si>
  <si>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</si>
  <si>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</si>
  <si>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</si>
  <si>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</si>
  <si>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</si>
  <si>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</si>
  <si>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</si>
  <si>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</si>
  <si>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</si>
  <si>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</si>
  <si>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</si>
  <si>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</si>
  <si>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</si>
  <si>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</si>
  <si>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</si>
  <si>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</si>
  <si>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</si>
  <si>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</si>
  <si>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</si>
  <si>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</si>
  <si>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</si>
  <si>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</si>
  <si>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</si>
  <si>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精装修</t>
  </si>
  <si>
    <t>设定收益年期(n)</t>
  </si>
  <si>
    <t>是</t>
  </si>
  <si>
    <t>核定资产</t>
  </si>
  <si>
    <t>房地产市场价值</t>
  </si>
  <si>
    <t>专业</t>
  </si>
  <si>
    <r>
      <t>3/9</t>
    </r>
    <r>
      <rPr>
        <sz val="11"/>
        <color indexed="8"/>
        <rFont val="宋体"/>
        <family val="3"/>
        <charset val="134"/>
      </rPr>
      <t>（中楼层）</t>
    </r>
    <phoneticPr fontId="4" type="noConversion"/>
  </si>
  <si>
    <t>高楼层/9</t>
    <phoneticPr fontId="4" type="noConversion"/>
  </si>
  <si>
    <t>顶层/9</t>
    <phoneticPr fontId="4" type="noConversion"/>
  </si>
  <si>
    <t>叶凌</t>
  </si>
  <si>
    <t>居住用地（指二类居住用地）</t>
  </si>
  <si>
    <t>不临58条商业街</t>
  </si>
  <si>
    <t>四通一平</t>
  </si>
  <si>
    <t>缺少</t>
  </si>
  <si>
    <t>通下水</t>
  </si>
  <si>
    <t>通上水</t>
  </si>
  <si>
    <t>通热</t>
  </si>
  <si>
    <t>按公示增长率计算</t>
  </si>
  <si>
    <t>未包含在土地购买价格中</t>
  </si>
  <si>
    <t>北京市朝阳区黑庄户乡郎辛庄北路58号院（景和园）3023号楼1至2层（扬州水乡）</t>
    <phoneticPr fontId="4" type="noConversion"/>
  </si>
  <si>
    <t>北京市朝阳区黑庄户乡郎辛庄北路58号院（扬州水乡）</t>
    <phoneticPr fontId="4" type="noConversion"/>
  </si>
  <si>
    <t>周边有411路、457路、657路等多条公交线路，交通便捷度一般</t>
  </si>
  <si>
    <t>周边有411路、457路、657路等多条公交线路，交通便捷度一般</t>
    <phoneticPr fontId="4" type="noConversion"/>
  </si>
  <si>
    <t>估价对象所在区域公共配套设施齐备情况一般</t>
  </si>
  <si>
    <t>估价对象所在区域公共配套设施齐备情况一般</t>
    <phoneticPr fontId="4" type="noConversion"/>
  </si>
  <si>
    <t>估价对象所在区域基础设施水平——七通</t>
    <phoneticPr fontId="4" type="noConversion"/>
  </si>
  <si>
    <t>项目临近万通路，为城市支路</t>
    <phoneticPr fontId="4" type="noConversion"/>
  </si>
  <si>
    <t>自然环境：红军公园、狼各庄村休闲公园、富力又一城公园等公园；人文环境：无；综合评价环境状况一般</t>
  </si>
  <si>
    <t>自然环境：红军公园、狼各庄村休闲公园、富力又一城公园等公园；人文环境：无；综合评价环境状况一般</t>
    <phoneticPr fontId="4" type="noConversion"/>
  </si>
  <si>
    <t>估价对象周边有朝丰家园、富力又一城等住宅小区，居住社区成熟度一般</t>
  </si>
  <si>
    <t>估价对象周边有朝丰家园、富力又一城等住宅小区，居住社区成熟度一般</t>
    <phoneticPr fontId="4" type="noConversion"/>
  </si>
  <si>
    <t>1-2/2</t>
    <phoneticPr fontId="20" type="noConversion"/>
  </si>
  <si>
    <t>独栋</t>
  </si>
  <si>
    <t>混合</t>
  </si>
  <si>
    <t>五通</t>
  </si>
  <si>
    <t>复式</t>
  </si>
  <si>
    <t>复式</t>
    <phoneticPr fontId="20" type="noConversion"/>
  </si>
  <si>
    <t>比较法-住宅</t>
  </si>
  <si>
    <t>北京市朝阳区黑庄户乡郎辛庄北路58号院（扬州水乡）</t>
    <phoneticPr fontId="4" type="noConversion"/>
  </si>
  <si>
    <t>全朝向</t>
  </si>
  <si>
    <t>全朝向</t>
    <phoneticPr fontId="4" type="noConversion"/>
  </si>
  <si>
    <t>南北西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</si>
</sst>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313172</xdr:colOff>
      <xdr:row>47</xdr:row>
      <xdr:rowOff>151396</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71450"/>
          <a:ext cx="9228572" cy="8038096"/>
        </a:xfrm>
        <a:prstGeom prst="rect">
          <a:avLst/>
        </a:prstGeom>
      </xdr:spPr>
    </xdr:pic>
    <xdr:clientData/>
  </xdr:twoCellAnchor>
  <xdr:twoCellAnchor editAs="oneCell">
    <xdr:from>
      <xdr:col>0</xdr:col>
      <xdr:colOff>0</xdr:colOff>
      <xdr:row>57</xdr:row>
      <xdr:rowOff>104775</xdr:rowOff>
    </xdr:from>
    <xdr:to>
      <xdr:col>11</xdr:col>
      <xdr:colOff>641290</xdr:colOff>
      <xdr:row>81</xdr:row>
      <xdr:rowOff>114300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877425"/>
          <a:ext cx="8185090" cy="4124325"/>
        </a:xfrm>
        <a:prstGeom prst="rect">
          <a:avLst/>
        </a:prstGeom>
      </xdr:spPr>
    </xdr:pic>
    <xdr:clientData/>
  </xdr:twoCellAnchor>
  <xdr:twoCellAnchor editAs="oneCell">
    <xdr:from>
      <xdr:col>0</xdr:col>
      <xdr:colOff>38100</xdr:colOff>
      <xdr:row>49</xdr:row>
      <xdr:rowOff>76200</xdr:rowOff>
    </xdr:from>
    <xdr:to>
      <xdr:col>12</xdr:col>
      <xdr:colOff>37072</xdr:colOff>
      <xdr:row>58</xdr:row>
      <xdr:rowOff>9341</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8477250"/>
          <a:ext cx="8228572" cy="1476191"/>
        </a:xfrm>
        <a:prstGeom prst="rect">
          <a:avLst/>
        </a:prstGeom>
      </xdr:spPr>
    </xdr:pic>
    <xdr:clientData/>
  </xdr:twoCellAnchor>
  <xdr:twoCellAnchor editAs="oneCell">
    <xdr:from>
      <xdr:col>0</xdr:col>
      <xdr:colOff>0</xdr:colOff>
      <xdr:row>82</xdr:row>
      <xdr:rowOff>161925</xdr:rowOff>
    </xdr:from>
    <xdr:to>
      <xdr:col>12</xdr:col>
      <xdr:colOff>151353</xdr:colOff>
      <xdr:row>90</xdr:row>
      <xdr:rowOff>104611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20825"/>
          <a:ext cx="8380953" cy="1314286"/>
        </a:xfrm>
        <a:prstGeom prst="rect">
          <a:avLst/>
        </a:prstGeom>
      </xdr:spPr>
    </xdr:pic>
    <xdr:clientData/>
  </xdr:twoCellAnchor>
  <xdr:twoCellAnchor editAs="oneCell">
    <xdr:from>
      <xdr:col>11</xdr:col>
      <xdr:colOff>676274</xdr:colOff>
      <xdr:row>49</xdr:row>
      <xdr:rowOff>76201</xdr:rowOff>
    </xdr:from>
    <xdr:to>
      <xdr:col>20</xdr:col>
      <xdr:colOff>419099</xdr:colOff>
      <xdr:row>81</xdr:row>
      <xdr:rowOff>62063</xdr:rowOff>
    </xdr:to>
    <xdr:pic>
      <xdr:nvPicPr>
        <xdr:cNvPr id="9" name="图片 8"/>
        <xdr:cNvPicPr>
          <a:picLocks noChangeAspect="1"/>
        </xdr:cNvPicPr>
      </xdr:nvPicPr>
      <xdr:blipFill>
        <a:blip xmlns:r="http://schemas.openxmlformats.org/officeDocument/2006/relationships" r:embed="rId5"/>
        <a:stretch>
          <a:fillRect/>
        </a:stretch>
      </xdr:blipFill>
      <xdr:spPr>
        <a:xfrm>
          <a:off x="8220074" y="8477251"/>
          <a:ext cx="5915025" cy="5472262"/>
        </a:xfrm>
        <a:prstGeom prst="rect">
          <a:avLst/>
        </a:prstGeom>
      </xdr:spPr>
    </xdr:pic>
    <xdr:clientData/>
  </xdr:twoCellAnchor>
  <xdr:twoCellAnchor editAs="oneCell">
    <xdr:from>
      <xdr:col>0</xdr:col>
      <xdr:colOff>0</xdr:colOff>
      <xdr:row>91</xdr:row>
      <xdr:rowOff>66675</xdr:rowOff>
    </xdr:from>
    <xdr:to>
      <xdr:col>11</xdr:col>
      <xdr:colOff>9525</xdr:colOff>
      <xdr:row>114</xdr:row>
      <xdr:rowOff>36084</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668625"/>
          <a:ext cx="7553325" cy="3912759"/>
        </a:xfrm>
        <a:prstGeom prst="rect">
          <a:avLst/>
        </a:prstGeom>
      </xdr:spPr>
    </xdr:pic>
    <xdr:clientData/>
  </xdr:twoCellAnchor>
  <xdr:twoCellAnchor editAs="oneCell">
    <xdr:from>
      <xdr:col>11</xdr:col>
      <xdr:colOff>19050</xdr:colOff>
      <xdr:row>90</xdr:row>
      <xdr:rowOff>9525</xdr:rowOff>
    </xdr:from>
    <xdr:to>
      <xdr:col>19</xdr:col>
      <xdr:colOff>599005</xdr:colOff>
      <xdr:row>114</xdr:row>
      <xdr:rowOff>125654</xdr:rowOff>
    </xdr:to>
    <xdr:pic>
      <xdr:nvPicPr>
        <xdr:cNvPr id="14" name="图片 13"/>
        <xdr:cNvPicPr>
          <a:picLocks noChangeAspect="1"/>
        </xdr:cNvPicPr>
      </xdr:nvPicPr>
      <xdr:blipFill>
        <a:blip xmlns:r="http://schemas.openxmlformats.org/officeDocument/2006/relationships" r:embed="rId7"/>
        <a:stretch>
          <a:fillRect/>
        </a:stretch>
      </xdr:blipFill>
      <xdr:spPr>
        <a:xfrm>
          <a:off x="7562850" y="15440025"/>
          <a:ext cx="6066355" cy="4230929"/>
        </a:xfrm>
        <a:prstGeom prst="rect">
          <a:avLst/>
        </a:prstGeom>
      </xdr:spPr>
    </xdr:pic>
    <xdr:clientData/>
  </xdr:twoCellAnchor>
  <xdr:twoCellAnchor editAs="oneCell">
    <xdr:from>
      <xdr:col>0</xdr:col>
      <xdr:colOff>0</xdr:colOff>
      <xdr:row>115</xdr:row>
      <xdr:rowOff>0</xdr:rowOff>
    </xdr:from>
    <xdr:to>
      <xdr:col>12</xdr:col>
      <xdr:colOff>475163</xdr:colOff>
      <xdr:row>123</xdr:row>
      <xdr:rowOff>47448</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9716750"/>
          <a:ext cx="8704763" cy="1419048"/>
        </a:xfrm>
        <a:prstGeom prst="rect">
          <a:avLst/>
        </a:prstGeom>
      </xdr:spPr>
    </xdr:pic>
    <xdr:clientData/>
  </xdr:twoCellAnchor>
  <xdr:twoCellAnchor editAs="oneCell">
    <xdr:from>
      <xdr:col>0</xdr:col>
      <xdr:colOff>1</xdr:colOff>
      <xdr:row>123</xdr:row>
      <xdr:rowOff>0</xdr:rowOff>
    </xdr:from>
    <xdr:to>
      <xdr:col>12</xdr:col>
      <xdr:colOff>470313</xdr:colOff>
      <xdr:row>148</xdr:row>
      <xdr:rowOff>9525</xdr:rowOff>
    </xdr:to>
    <xdr:pic>
      <xdr:nvPicPr>
        <xdr:cNvPr id="16" name="图片 15"/>
        <xdr:cNvPicPr>
          <a:picLocks noChangeAspect="1"/>
        </xdr:cNvPicPr>
      </xdr:nvPicPr>
      <xdr:blipFill>
        <a:blip xmlns:r="http://schemas.openxmlformats.org/officeDocument/2006/relationships" r:embed="rId9"/>
        <a:stretch>
          <a:fillRect/>
        </a:stretch>
      </xdr:blipFill>
      <xdr:spPr>
        <a:xfrm>
          <a:off x="1" y="21088350"/>
          <a:ext cx="8699912" cy="4295775"/>
        </a:xfrm>
        <a:prstGeom prst="rect">
          <a:avLst/>
        </a:prstGeom>
      </xdr:spPr>
    </xdr:pic>
    <xdr:clientData/>
  </xdr:twoCellAnchor>
  <xdr:twoCellAnchor editAs="oneCell">
    <xdr:from>
      <xdr:col>12</xdr:col>
      <xdr:colOff>552450</xdr:colOff>
      <xdr:row>117</xdr:row>
      <xdr:rowOff>142875</xdr:rowOff>
    </xdr:from>
    <xdr:to>
      <xdr:col>20</xdr:col>
      <xdr:colOff>370401</xdr:colOff>
      <xdr:row>146</xdr:row>
      <xdr:rowOff>69860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782050" y="20202525"/>
          <a:ext cx="5304351" cy="4899035"/>
        </a:xfrm>
        <a:prstGeom prst="rect">
          <a:avLst/>
        </a:prstGeom>
      </xdr:spPr>
    </xdr:pic>
    <xdr:clientData/>
  </xdr:twoCellAnchor>
  <xdr:twoCellAnchor editAs="oneCell">
    <xdr:from>
      <xdr:col>0</xdr:col>
      <xdr:colOff>0</xdr:colOff>
      <xdr:row>150</xdr:row>
      <xdr:rowOff>0</xdr:rowOff>
    </xdr:from>
    <xdr:to>
      <xdr:col>12</xdr:col>
      <xdr:colOff>522782</xdr:colOff>
      <xdr:row>158</xdr:row>
      <xdr:rowOff>9352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0" y="25717500"/>
          <a:ext cx="8752382" cy="1380952"/>
        </a:xfrm>
        <a:prstGeom prst="rect">
          <a:avLst/>
        </a:prstGeom>
      </xdr:spPr>
    </xdr:pic>
    <xdr:clientData/>
  </xdr:twoCellAnchor>
  <xdr:twoCellAnchor editAs="oneCell">
    <xdr:from>
      <xdr:col>0</xdr:col>
      <xdr:colOff>0</xdr:colOff>
      <xdr:row>159</xdr:row>
      <xdr:rowOff>0</xdr:rowOff>
    </xdr:from>
    <xdr:to>
      <xdr:col>10</xdr:col>
      <xdr:colOff>65810</xdr:colOff>
      <xdr:row>180</xdr:row>
      <xdr:rowOff>66217</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7260550"/>
          <a:ext cx="6923810" cy="3666667"/>
        </a:xfrm>
        <a:prstGeom prst="rect">
          <a:avLst/>
        </a:prstGeom>
      </xdr:spPr>
    </xdr:pic>
    <xdr:clientData/>
  </xdr:twoCellAnchor>
  <xdr:twoCellAnchor editAs="oneCell">
    <xdr:from>
      <xdr:col>0</xdr:col>
      <xdr:colOff>0</xdr:colOff>
      <xdr:row>182</xdr:row>
      <xdr:rowOff>0</xdr:rowOff>
    </xdr:from>
    <xdr:to>
      <xdr:col>15</xdr:col>
      <xdr:colOff>532048</xdr:colOff>
      <xdr:row>222</xdr:row>
      <xdr:rowOff>132477</xdr:rowOff>
    </xdr:to>
    <xdr:pic>
      <xdr:nvPicPr>
        <xdr:cNvPr id="20" name="图片 19"/>
        <xdr:cNvPicPr>
          <a:picLocks noChangeAspect="1"/>
        </xdr:cNvPicPr>
      </xdr:nvPicPr>
      <xdr:blipFill>
        <a:blip xmlns:r="http://schemas.openxmlformats.org/officeDocument/2006/relationships" r:embed="rId13"/>
        <a:stretch>
          <a:fillRect/>
        </a:stretch>
      </xdr:blipFill>
      <xdr:spPr>
        <a:xfrm>
          <a:off x="0" y="31203900"/>
          <a:ext cx="10819048" cy="6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估价对象为北京市房地产，为所有。根据《不动产权证书》[]，估价对象建筑面积为209.06平方米，（分摊）出让国有建设用地使用权面积为平方米。估价对象用途为。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209.06</v>
      </c>
    </row>
    <row r="19" spans="1:2">
      <c r="A19" s="1702" t="s">
        <v>1126</v>
      </c>
      <c r="B19" s="1689">
        <f ca="1">'预评函-2（1）'!D7</f>
        <v>10890144</v>
      </c>
    </row>
    <row r="20" spans="1:2">
      <c r="A20" s="1702" t="s">
        <v>1164</v>
      </c>
      <c r="B20" s="1689" t="str">
        <f>'预评函-2（1）'!C7</f>
        <v>总价（元）</v>
      </c>
    </row>
    <row r="21" spans="1:2">
      <c r="A21" s="1702" t="s">
        <v>1127</v>
      </c>
      <c r="B21" s="1689">
        <f ca="1">'预评函-2（1）'!D9</f>
        <v>52091</v>
      </c>
    </row>
    <row r="22" spans="1:2">
      <c r="A22" s="1702" t="s">
        <v>1128</v>
      </c>
      <c r="B22" s="1689" t="str">
        <f ca="1">'预评函-2（1）'!D8</f>
        <v>壹仟零捌拾玖万零壹佰肆拾肆元整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10890144</v>
      </c>
    </row>
    <row r="30" spans="1:2">
      <c r="A30" s="1702" t="s">
        <v>1134</v>
      </c>
      <c r="B30" s="1689" t="str">
        <f ca="1">'预评函-2（1）'!D16</f>
        <v>壹仟零捌拾玖万零壹佰肆拾肆元整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9997249</v>
      </c>
    </row>
    <row r="38" spans="1:2">
      <c r="A38" s="1702" t="s">
        <v>1142</v>
      </c>
      <c r="B38" s="1689">
        <f ca="1">'预评函-2（2）'!E4</f>
        <v>47820</v>
      </c>
    </row>
    <row r="39" spans="1:2">
      <c r="A39" s="1702" t="s">
        <v>1143</v>
      </c>
      <c r="B39" s="1689" t="str">
        <f ca="1">'预评函-2（2）'!D5</f>
        <v>玖佰玖拾玖万柒仟贰佰肆拾玖元整</v>
      </c>
    </row>
    <row r="40" spans="1:2">
      <c r="A40" s="1702" t="s">
        <v>1144</v>
      </c>
      <c r="B40" s="1689">
        <f ca="1">'预评函-2（2）'!F4</f>
        <v>892895</v>
      </c>
    </row>
    <row r="41" spans="1:2">
      <c r="A41" s="1702" t="s">
        <v>1145</v>
      </c>
      <c r="B41" s="1689">
        <f ca="1">'预评函-2（2）'!G4</f>
        <v>4271</v>
      </c>
    </row>
    <row r="42" spans="1:2" s="1699" customFormat="1" ht="15.75" thickBot="1">
      <c r="A42" s="1703" t="s">
        <v>1146</v>
      </c>
      <c r="B42" s="1691" t="str">
        <f ca="1">'预评函-2（2）'!F5</f>
        <v>捌拾玖万贰仟捌佰玖拾伍元整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52091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2815</v>
      </c>
      <c r="C3" s="1065">
        <f ca="1">SUMIF(注册房地产估价师,B3,估价师及机构信息!B3:B24)</f>
        <v>1120060040</v>
      </c>
      <c r="D3" s="2001" t="s">
        <v>2884</v>
      </c>
      <c r="E3" s="1066">
        <f ca="1">SUMIF(注册房地产估价师,D3,估价师及机构信息!B3:B24)</f>
        <v>1119970111</v>
      </c>
      <c r="F3" s="1067"/>
      <c r="G3" s="1684"/>
      <c r="H3" s="1020"/>
    </row>
    <row r="4" spans="1:10" ht="13.5" customHeight="1" thickTop="1">
      <c r="A4" s="2002" t="s">
        <v>1550</v>
      </c>
      <c r="B4" s="2003"/>
      <c r="C4" s="2004" t="s">
        <v>1551</v>
      </c>
      <c r="D4" s="2005" t="s">
        <v>2878</v>
      </c>
      <c r="E4" s="1064"/>
      <c r="F4" s="1064"/>
      <c r="G4" s="1683"/>
    </row>
    <row r="5" spans="1:10">
      <c r="A5" s="2006" t="s">
        <v>1552</v>
      </c>
      <c r="B5" s="2007"/>
      <c r="C5" s="2008" t="s">
        <v>1553</v>
      </c>
      <c r="D5" s="2009" t="s">
        <v>2879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2819</v>
      </c>
      <c r="D9" s="2023"/>
      <c r="E9" s="1010" t="s">
        <v>1563</v>
      </c>
      <c r="F9" s="996" t="s">
        <v>483</v>
      </c>
      <c r="G9" s="1012"/>
    </row>
    <row r="10" spans="1:10" ht="13.5" thickBot="1">
      <c r="A10" s="2806"/>
      <c r="B10" s="344" t="s">
        <v>1564</v>
      </c>
      <c r="C10" s="2128"/>
      <c r="D10" s="2128"/>
      <c r="E10" s="2024" t="s">
        <v>1565</v>
      </c>
      <c r="F10" s="1013" t="s">
        <v>229</v>
      </c>
      <c r="G10" s="1014"/>
    </row>
    <row r="11" spans="1:10" ht="13.5" thickBot="1">
      <c r="A11" s="2806"/>
      <c r="B11" s="2025" t="s">
        <v>1566</v>
      </c>
      <c r="C11" s="2821"/>
      <c r="D11" s="2822"/>
      <c r="E11" s="1022"/>
      <c r="F11" s="1021"/>
      <c r="G11" s="1074"/>
    </row>
    <row r="12" spans="1:10" ht="24.75" thickBot="1">
      <c r="A12" s="2810" t="s">
        <v>1567</v>
      </c>
      <c r="B12" s="2026" t="s">
        <v>1568</v>
      </c>
      <c r="C12" s="1016">
        <v>209.06</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7" t="s">
        <v>1639</v>
      </c>
      <c r="D49" s="2832"/>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209.06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376308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4" t="s">
        <v>2905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2897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2899</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2900</v>
      </c>
      <c r="D8" s="2152"/>
      <c r="E8" s="2152"/>
      <c r="F8" s="1246"/>
      <c r="G8" s="1246"/>
      <c r="H8" s="2142"/>
      <c r="I8" s="2142"/>
      <c r="J8" s="2142"/>
      <c r="K8" s="2142"/>
      <c r="L8" s="2142"/>
      <c r="M8" s="2142"/>
      <c r="N8" s="2142"/>
      <c r="O8" s="2142"/>
      <c r="P8" s="2142"/>
      <c r="Q8" s="2142"/>
      <c r="R8" s="2142"/>
    </row>
    <row r="9" spans="1:29" ht="54">
      <c r="A9" s="411"/>
      <c r="B9" s="1887" t="s">
        <v>1755</v>
      </c>
      <c r="C9" s="2752" t="s">
        <v>2903</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2901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估价对象周边有朝丰家园、富力又一城等住宅小区，居住社区成熟度一般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周边有411路、457路、657路等多条公交线路，交通便捷度一般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自然环境：红军公园、狼各庄村休闲公园、富力又一城公园等公园；人文环境：无；综合评价环境状况一般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项目临近万通路，为城市支路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43207</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6"/>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6"/>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8"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8"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5962712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28522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140576</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140400</v>
      </c>
      <c r="D6" s="80" t="s">
        <v>2804</v>
      </c>
      <c r="E6" s="319" t="s">
        <v>2109</v>
      </c>
      <c r="F6" s="320">
        <f>'数据-取费表'!B29</f>
        <v>13000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176</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490603</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376308</v>
      </c>
      <c r="D14" s="1888" t="s">
        <v>2128</v>
      </c>
      <c r="E14" s="1889"/>
      <c r="F14" s="979"/>
      <c r="G14" s="1239"/>
      <c r="H14" s="337" t="s">
        <v>2107</v>
      </c>
      <c r="I14" s="319" t="s">
        <v>2129</v>
      </c>
      <c r="J14" s="14">
        <f ca="1">C29</f>
        <v>613254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11289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18815</v>
      </c>
      <c r="D16" s="319" t="s">
        <v>2132</v>
      </c>
      <c r="E16" s="319" t="s">
        <v>2133</v>
      </c>
      <c r="F16" s="342">
        <f>IF('数据-取费表'!B10="住宅",'数据-取费表'!E22,0)</f>
        <v>0.05</v>
      </c>
      <c r="G16" s="1239"/>
      <c r="H16" s="1420" t="s">
        <v>14</v>
      </c>
      <c r="I16" s="1421" t="s">
        <v>2138</v>
      </c>
      <c r="J16" s="327">
        <f ca="1">ROUND(J17+J22+J23+J24,0)</f>
        <v>6133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41812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5645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453869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9077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6133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10069</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-6133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92589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613254</v>
      </c>
      <c r="D29" s="1433"/>
      <c r="E29" s="1431"/>
      <c r="F29" s="1434"/>
      <c r="G29" s="791"/>
      <c r="H29" s="356" t="s">
        <v>24</v>
      </c>
      <c r="I29" s="357" t="s">
        <v>2203</v>
      </c>
      <c r="J29" s="358">
        <f ca="1">ROUND(J26/(1+F40)^F41,0)</f>
        <v>0</v>
      </c>
      <c r="K29" s="359" t="s">
        <v>2204</v>
      </c>
      <c r="L29" s="360"/>
      <c r="M29" s="361">
        <f>IF(D1="仅计算典型户型",'数据-取费表'!E5,'数据-取费表'!B5)</f>
        <v>209.06</v>
      </c>
    </row>
    <row r="30" spans="1:37" ht="18" customHeight="1" thickTop="1">
      <c r="A30" s="1420" t="s">
        <v>14</v>
      </c>
      <c r="B30" s="1421" t="s">
        <v>2205</v>
      </c>
      <c r="C30" s="327">
        <f ca="1">ROUND(C31+C36+C37+C38,0)</f>
        <v>15059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7028.8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39248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6133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1406</v>
      </c>
      <c r="D38" s="1433" t="s">
        <v>2180</v>
      </c>
      <c r="E38" s="1431" t="s">
        <v>2176</v>
      </c>
      <c r="F38" s="1426">
        <f>'数据-取费表'!B46</f>
        <v>0.01</v>
      </c>
      <c r="G38" s="791"/>
      <c r="H38" s="1230"/>
      <c r="I38" s="365" t="s">
        <v>2218</v>
      </c>
      <c r="J38" s="220">
        <f ca="1">ROUND(J34/C39,3)</f>
        <v>0.313</v>
      </c>
      <c r="K38" s="1235"/>
      <c r="L38" s="1230"/>
      <c r="M38" s="1230"/>
    </row>
    <row r="39" spans="1:18" ht="18" customHeight="1" thickTop="1">
      <c r="A39" s="1420" t="s">
        <v>22</v>
      </c>
      <c r="B39" s="1435" t="s">
        <v>2219</v>
      </c>
      <c r="C39" s="327">
        <f ca="1">C5-C30</f>
        <v>125517</v>
      </c>
      <c r="D39" s="1436" t="s">
        <v>2220</v>
      </c>
      <c r="E39" s="1437"/>
      <c r="F39" s="1438"/>
      <c r="G39" s="791"/>
      <c r="H39" s="1230"/>
      <c r="I39" s="365" t="s">
        <v>2221</v>
      </c>
      <c r="J39" s="220">
        <f ca="1">1-J38</f>
        <v>0.68700000000000006</v>
      </c>
      <c r="K39" s="1235"/>
      <c r="L39" s="1230"/>
      <c r="M39" s="1230"/>
    </row>
    <row r="40" spans="1:18" s="791" customFormat="1" ht="18" customHeight="1">
      <c r="A40" s="316" t="s">
        <v>23</v>
      </c>
      <c r="B40" s="317" t="s">
        <v>2222</v>
      </c>
      <c r="C40" s="318">
        <f ca="1">ROUND(C39*(1-((1+F42)/(1+F40))^F41)/(F40-F42),0)</f>
        <v>5962712</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2876</v>
      </c>
      <c r="F41" s="355">
        <f>IF('数据-取费表'!B28="租赁期内按合同租金",'数据-取费表'!B34,IF(E41="收益年期(n)",'数据-取费表'!B33,'数据-取费表'!B13))</f>
        <v>56</v>
      </c>
      <c r="H41" s="1237"/>
      <c r="I41" s="219" t="s">
        <v>2095</v>
      </c>
      <c r="J41" s="220">
        <f ca="1">ROUND(C13/C40,3)</f>
        <v>8.2000000000000003E-2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0.91800000000000004</v>
      </c>
      <c r="K42" s="1234"/>
      <c r="L42" s="1237"/>
      <c r="M42" s="1237"/>
      <c r="Q42" s="795"/>
    </row>
    <row r="43" spans="1:18" s="791" customFormat="1" ht="18" customHeight="1" thickBot="1">
      <c r="A43" s="356" t="s">
        <v>24</v>
      </c>
      <c r="B43" s="357" t="s">
        <v>2225</v>
      </c>
      <c r="C43" s="358">
        <f ca="1">ROUND(C40/F43,0)</f>
        <v>28522</v>
      </c>
      <c r="D43" s="359" t="s">
        <v>2226</v>
      </c>
      <c r="E43" s="360" t="s">
        <v>2227</v>
      </c>
      <c r="F43" s="361">
        <f>IF(D1="仅计算典型户型",'数据-取费表'!E5,'数据-取费表'!B5)</f>
        <v>209.06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5962712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-6124402</v>
      </c>
      <c r="D47" s="2345" t="str">
        <f>C2</f>
        <v>元</v>
      </c>
      <c r="E47" s="776"/>
      <c r="F47" s="776"/>
      <c r="I47" s="2346" t="s">
        <v>2238</v>
      </c>
      <c r="J47" s="1343"/>
      <c r="K47" s="1344"/>
      <c r="L47" s="1357">
        <f>IF(M48="住宅",0,IF(L49&gt;J52,L61,J61))</f>
        <v>0</v>
      </c>
      <c r="O47" s="1371" t="s">
        <v>960</v>
      </c>
      <c r="P47" s="1368" t="s">
        <v>2239</v>
      </c>
      <c r="Q47" s="1369">
        <f ca="1">C29</f>
        <v>613254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56</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2005</v>
      </c>
      <c r="K50" s="2354" t="s">
        <v>2255</v>
      </c>
      <c r="L50" s="1346"/>
      <c r="O50" s="1371" t="s">
        <v>963</v>
      </c>
      <c r="P50" s="1368" t="s">
        <v>2256</v>
      </c>
      <c r="Q50" s="1369">
        <f>J54</f>
        <v>-13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5962712</v>
      </c>
      <c r="R51" s="1370" t="s">
        <v>965</v>
      </c>
    </row>
    <row r="52" spans="1:18" s="791" customFormat="1" ht="16.5" thickBot="1">
      <c r="A52" s="321"/>
      <c r="B52" s="322"/>
      <c r="C52" s="323"/>
      <c r="D52" s="324"/>
      <c r="E52" s="319" t="s">
        <v>2112</v>
      </c>
      <c r="F52" s="320">
        <f>F8</f>
        <v>12</v>
      </c>
      <c r="I52" s="2355" t="s">
        <v>2260</v>
      </c>
      <c r="J52" s="1348">
        <f>IF(J50="",J51,J50+J51-YEAR('数据-取费表'!B2))</f>
        <v>-13</v>
      </c>
      <c r="K52" s="2356" t="s">
        <v>2261</v>
      </c>
      <c r="L52" s="1349">
        <f ca="1">ROUND(-PV('数据-取费表'!B15,L49,(C40-C13*J35)),0)</f>
        <v>131618295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-13</v>
      </c>
      <c r="K54" s="2978" t="s">
        <v>2803</v>
      </c>
      <c r="L54" s="2979"/>
      <c r="O54" s="1367" t="s">
        <v>958</v>
      </c>
      <c r="P54" s="1368" t="s">
        <v>2233</v>
      </c>
      <c r="Q54" s="1369">
        <f ca="1">C40+J29</f>
        <v>5962712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490603</v>
      </c>
      <c r="D57" s="1294"/>
      <c r="E57" s="1295"/>
      <c r="F57" s="1302"/>
      <c r="I57" s="2365" t="s">
        <v>2271</v>
      </c>
      <c r="J57" s="1355" t="s">
        <v>2877</v>
      </c>
      <c r="K57" s="2350" t="s">
        <v>2272</v>
      </c>
      <c r="L57" s="1128">
        <f>IF(L49&lt;J52,"——",L49-J52)</f>
        <v>69</v>
      </c>
      <c r="O57" s="1371" t="s">
        <v>961</v>
      </c>
      <c r="P57" s="1368" t="s">
        <v>2273</v>
      </c>
      <c r="Q57" s="1372">
        <f>L53</f>
        <v>0</v>
      </c>
      <c r="R57" s="1370"/>
    </row>
    <row r="58" spans="1:18" s="791" customFormat="1" ht="29.25" thickBot="1">
      <c r="A58" s="1301"/>
      <c r="B58" s="319" t="s">
        <v>2202</v>
      </c>
      <c r="C58" s="188">
        <f ca="1">C29</f>
        <v>613254</v>
      </c>
      <c r="D58" s="1294"/>
      <c r="E58" s="1295"/>
      <c r="F58" s="1302"/>
      <c r="I58" s="2366" t="s">
        <v>2274</v>
      </c>
      <c r="J58" s="1354" t="str">
        <f>IF(OR(M48="住宅",J52&lt;L49,J57="是"),"——",J52-L49)</f>
        <v>——</v>
      </c>
      <c r="K58" s="2350" t="s">
        <v>2275</v>
      </c>
      <c r="L58" s="1128">
        <f ca="1">IF(L49&lt;J52,"——",IF(L56="比较法",L50,IF(L56="基准地价",L51,L52)))</f>
        <v>131618295</v>
      </c>
      <c r="O58" s="1371" t="s">
        <v>962</v>
      </c>
      <c r="P58" s="1368" t="s">
        <v>2276</v>
      </c>
      <c r="Q58" s="1369" t="e">
        <f>L59</f>
        <v>#DIV/0!</v>
      </c>
      <c r="R58" s="1370" t="s">
        <v>2277</v>
      </c>
    </row>
    <row r="59" spans="1:18" s="791" customFormat="1" ht="29.25" thickBot="1">
      <c r="A59" s="332" t="s">
        <v>14</v>
      </c>
      <c r="B59" s="333" t="s">
        <v>2205</v>
      </c>
      <c r="C59" s="334">
        <f ca="1">ROUND(C60+C65+C66+C67,0)</f>
        <v>6624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5962712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5962712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6133</v>
      </c>
      <c r="D65" s="1893" t="s">
        <v>2215</v>
      </c>
      <c r="E65" s="319" t="s">
        <v>2159</v>
      </c>
      <c r="F65" s="350">
        <f t="shared" si="0"/>
        <v>0.01</v>
      </c>
      <c r="I65" s="2369" t="s">
        <v>2296</v>
      </c>
      <c r="J65" s="1874">
        <v>50</v>
      </c>
      <c r="K65" s="1874">
        <v>35</v>
      </c>
      <c r="L65" s="1874">
        <v>60</v>
      </c>
      <c r="M65" s="1873">
        <v>0</v>
      </c>
      <c r="O65" s="1371" t="s">
        <v>960</v>
      </c>
      <c r="P65" s="1368" t="s">
        <v>2270</v>
      </c>
      <c r="Q65" s="1373">
        <f ca="1">L52</f>
        <v>131618295</v>
      </c>
      <c r="R65" s="1374" t="s">
        <v>2297</v>
      </c>
    </row>
    <row r="66" spans="1:18" s="791" customFormat="1" ht="20.25" thickBot="1">
      <c r="A66" s="337" t="s">
        <v>20</v>
      </c>
      <c r="B66" s="319" t="s">
        <v>2174</v>
      </c>
      <c r="C66" s="14">
        <f ca="1">ROUND(C57*F66,0)</f>
        <v>491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86269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125517</v>
      </c>
      <c r="R67" s="1370" t="s">
        <v>2234</v>
      </c>
    </row>
    <row r="68" spans="1:18" ht="15.75" thickBot="1">
      <c r="A68" s="332" t="s">
        <v>22</v>
      </c>
      <c r="B68" s="89" t="s">
        <v>2184</v>
      </c>
      <c r="C68" s="334">
        <f ca="1">C49-C59</f>
        <v>-6624</v>
      </c>
      <c r="D68" s="1888" t="s">
        <v>2185</v>
      </c>
      <c r="E68" s="1892"/>
      <c r="F68" s="353"/>
      <c r="H68" s="791"/>
      <c r="I68" s="791"/>
      <c r="J68" s="791"/>
      <c r="K68" s="791"/>
      <c r="L68" s="791"/>
      <c r="M68" s="791"/>
      <c r="O68" s="1371" t="s">
        <v>967</v>
      </c>
      <c r="P68" s="1375" t="s">
        <v>2301</v>
      </c>
      <c r="Q68" s="1369">
        <f ca="1">C13</f>
        <v>490603</v>
      </c>
      <c r="R68" s="1370" t="s">
        <v>2234</v>
      </c>
    </row>
    <row r="69" spans="1:18" ht="15.75" thickBot="1">
      <c r="A69" s="316" t="s">
        <v>23</v>
      </c>
      <c r="B69" s="317" t="s">
        <v>2222</v>
      </c>
      <c r="C69" s="318">
        <f ca="1">ROUND(C68*(1-((1+F71)/(1+F69))^F70)/(F69-F71),0)</f>
        <v>-161690</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-773</v>
      </c>
      <c r="D72" s="359" t="s">
        <v>2226</v>
      </c>
      <c r="E72" s="360" t="s">
        <v>2227</v>
      </c>
      <c r="F72" s="361">
        <f>F43</f>
        <v>209.06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5962712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29" t="s">
        <v>1220</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5" zoomScale="90" zoomScaleNormal="90" workbookViewId="0">
      <selection activeCell="G19" sqref="G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12121926</v>
      </c>
      <c r="C2" s="163" t="str">
        <f>'数据-取费表'!B3</f>
        <v>元</v>
      </c>
      <c r="D2" s="2385" t="s">
        <v>1255</v>
      </c>
      <c r="E2" s="1843">
        <f ca="1">SUMIF(INDIRECT("'"&amp;G2&amp;"'"&amp;"!A:A"),"承租人权益价值",INDIRECT("'"&amp;G2&amp;"'"&amp;"!c:c"))</f>
        <v>-6124402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57983</v>
      </c>
      <c r="C3" s="379" t="s">
        <v>2340</v>
      </c>
      <c r="D3" s="378">
        <f>IF(C1="仅计算典型户型",'数据-取费表'!E5,'数据-取费表'!B5)</f>
        <v>209.06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0" t="s">
        <v>2342</v>
      </c>
      <c r="D4" s="3011"/>
      <c r="E4" s="3012" t="s">
        <v>2343</v>
      </c>
      <c r="F4" s="3013"/>
      <c r="G4" s="3010" t="s">
        <v>2344</v>
      </c>
      <c r="H4" s="3011"/>
      <c r="I4" s="3010" t="s">
        <v>2345</v>
      </c>
      <c r="J4" s="3011"/>
      <c r="K4" s="2396"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7" t="s">
        <v>2344</v>
      </c>
      <c r="AC4" s="3007" t="s">
        <v>2345</v>
      </c>
    </row>
    <row r="5" spans="1:29" ht="45" customHeight="1" thickBot="1">
      <c r="A5" s="383"/>
      <c r="B5" s="384"/>
      <c r="C5" s="3029" t="s">
        <v>2894</v>
      </c>
      <c r="D5" s="3030"/>
      <c r="E5" s="3027" t="s">
        <v>2913</v>
      </c>
      <c r="F5" s="3028"/>
      <c r="G5" s="3029" t="s">
        <v>2895</v>
      </c>
      <c r="H5" s="3030"/>
      <c r="I5" s="3029" t="s">
        <v>2895</v>
      </c>
      <c r="J5" s="3030"/>
      <c r="K5" s="2397"/>
      <c r="L5" s="1243"/>
      <c r="M5" s="1244"/>
      <c r="N5" s="1244"/>
      <c r="O5" s="1244"/>
      <c r="P5" s="3016"/>
      <c r="Q5" s="3017"/>
      <c r="R5" s="3022"/>
      <c r="S5" s="3023"/>
      <c r="T5" s="3022"/>
      <c r="U5" s="3023"/>
      <c r="V5" s="3026"/>
      <c r="W5" s="3026"/>
      <c r="X5" s="1900"/>
      <c r="Y5" s="3022"/>
      <c r="Z5" s="3023"/>
      <c r="AA5" s="3008"/>
      <c r="AB5" s="3008"/>
      <c r="AC5" s="3008"/>
    </row>
    <row r="6" spans="1:29" ht="15.75" hidden="1" thickBot="1">
      <c r="A6" s="385"/>
      <c r="B6" s="386"/>
      <c r="C6" s="3031" t="s">
        <v>2352</v>
      </c>
      <c r="D6" s="3032"/>
      <c r="E6" s="3033" t="s">
        <v>2352</v>
      </c>
      <c r="F6" s="3034"/>
      <c r="G6" s="3031" t="s">
        <v>2352</v>
      </c>
      <c r="H6" s="3032"/>
      <c r="I6" s="3031" t="s">
        <v>2352</v>
      </c>
      <c r="J6" s="3032"/>
      <c r="K6" s="2397"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v>43207</v>
      </c>
      <c r="F7" s="392">
        <f>SUMIF(58:58,YEAR(E7)&amp;"-"&amp;MONTH(E7),59:59)</f>
        <v>100</v>
      </c>
      <c r="G7" s="391">
        <v>43207</v>
      </c>
      <c r="H7" s="390">
        <f>SUMIF(58:58,YEAR(G7)&amp;"-"&amp;MONTH(G7),59:59)</f>
        <v>100</v>
      </c>
      <c r="I7" s="391">
        <v>43207</v>
      </c>
      <c r="J7" s="390">
        <f>SUMIF(58:58,YEAR(I7)&amp;"-"&amp;MONTH(I7),59:59)</f>
        <v>100</v>
      </c>
      <c r="K7" s="2398"/>
      <c r="L7" s="1245"/>
      <c r="M7" s="1246"/>
      <c r="N7" s="1246"/>
      <c r="O7" s="1246"/>
      <c r="P7" s="3042" t="s">
        <v>2355</v>
      </c>
      <c r="Q7" s="3044"/>
      <c r="R7" s="749" t="s">
        <v>34</v>
      </c>
      <c r="S7" s="750">
        <f t="shared" ref="S7:S15" si="0">F7</f>
        <v>100</v>
      </c>
      <c r="T7" s="749" t="s">
        <v>34</v>
      </c>
      <c r="U7" s="750">
        <f t="shared" ref="U7:U15" si="1">H7</f>
        <v>100</v>
      </c>
      <c r="V7" s="749" t="s">
        <v>34</v>
      </c>
      <c r="W7" s="750">
        <f t="shared" ref="W7:W15" si="2">J7</f>
        <v>100</v>
      </c>
      <c r="X7" s="751"/>
      <c r="Y7" s="3042" t="s">
        <v>2355</v>
      </c>
      <c r="Z7" s="3043"/>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42" t="s">
        <v>2358</v>
      </c>
      <c r="Q8" s="3043"/>
      <c r="R8" s="749" t="s">
        <v>34</v>
      </c>
      <c r="S8" s="750">
        <f t="shared" si="0"/>
        <v>100</v>
      </c>
      <c r="T8" s="749" t="s">
        <v>34</v>
      </c>
      <c r="U8" s="750">
        <f t="shared" si="1"/>
        <v>100</v>
      </c>
      <c r="V8" s="749" t="s">
        <v>34</v>
      </c>
      <c r="W8" s="750">
        <f t="shared" si="2"/>
        <v>100</v>
      </c>
      <c r="X8" s="751"/>
      <c r="Y8" s="3042" t="s">
        <v>2358</v>
      </c>
      <c r="Z8" s="3043"/>
      <c r="AA8" s="752">
        <f t="shared" ref="AA8:AA46" si="3">D8/F8</f>
        <v>1</v>
      </c>
      <c r="AB8" s="752">
        <f t="shared" ref="AB8:AB46" si="4">D8/H8</f>
        <v>1</v>
      </c>
      <c r="AC8" s="752">
        <f t="shared" ref="AC8:AC46" si="5">D8/J8</f>
        <v>1</v>
      </c>
    </row>
    <row r="9" spans="1:29" s="35" customFormat="1">
      <c r="A9" s="395" t="s">
        <v>2359</v>
      </c>
      <c r="B9" s="28" t="s">
        <v>2360</v>
      </c>
      <c r="C9" s="2737"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45"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5"/>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5"/>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5"/>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5"/>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63" customHeight="1">
      <c r="A15" s="419" t="s">
        <v>2365</v>
      </c>
      <c r="B15" s="26" t="s">
        <v>1741</v>
      </c>
      <c r="C15" s="2404" t="str">
        <f>估价对象房地状况!C3</f>
        <v>估价对象周边有朝丰家园、富力又一城等住宅小区，居住社区成熟度一般</v>
      </c>
      <c r="D15" s="420">
        <v>100</v>
      </c>
      <c r="E15" s="2740" t="s">
        <v>2904</v>
      </c>
      <c r="F15" s="422">
        <f>SUMIF(76:76,E16,77:77)-SUMIF(76:76,C16,77:77)+100</f>
        <v>100</v>
      </c>
      <c r="G15" s="2740" t="s">
        <v>2904</v>
      </c>
      <c r="H15" s="420">
        <f>SUMIF(76:76,G16,77:77)-SUMIF(76:76,C16,77:77)+100</f>
        <v>100</v>
      </c>
      <c r="I15" s="2740" t="s">
        <v>2904</v>
      </c>
      <c r="J15" s="420">
        <f>SUMIF(76:76,I16,77:77)-SUMIF(76:76,C16,77:77)+100</f>
        <v>100</v>
      </c>
      <c r="K15" s="424">
        <v>1</v>
      </c>
      <c r="L15" s="1253"/>
      <c r="M15" s="1244"/>
      <c r="N15" s="1244"/>
      <c r="O15" s="1244"/>
      <c r="P15" s="3048" t="s">
        <v>2366</v>
      </c>
      <c r="Q15" s="1899" t="str">
        <f t="shared" si="6"/>
        <v>居住社区成熟度</v>
      </c>
      <c r="R15" s="753" t="s">
        <v>28</v>
      </c>
      <c r="S15" s="754">
        <f t="shared" si="0"/>
        <v>100</v>
      </c>
      <c r="T15" s="753" t="s">
        <v>28</v>
      </c>
      <c r="U15" s="754">
        <f t="shared" si="1"/>
        <v>100</v>
      </c>
      <c r="V15" s="753" t="s">
        <v>28</v>
      </c>
      <c r="W15" s="754">
        <f t="shared" si="2"/>
        <v>100</v>
      </c>
      <c r="X15" s="1900"/>
      <c r="Y15" s="3035" t="s">
        <v>2366</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49"/>
      <c r="Q16" s="1899"/>
      <c r="R16" s="753"/>
      <c r="S16" s="754"/>
      <c r="T16" s="753"/>
      <c r="U16" s="754"/>
      <c r="V16" s="753"/>
      <c r="W16" s="754"/>
      <c r="X16" s="1900"/>
      <c r="Y16" s="3036"/>
      <c r="Z16" s="1902"/>
      <c r="AA16" s="1903">
        <v>1</v>
      </c>
      <c r="AB16" s="1903">
        <v>1</v>
      </c>
      <c r="AC16" s="1903">
        <v>1</v>
      </c>
    </row>
    <row r="17" spans="1:29" ht="61.5" customHeight="1">
      <c r="A17" s="408"/>
      <c r="B17" s="431" t="s">
        <v>1750</v>
      </c>
      <c r="C17" s="2407" t="str">
        <f>估价对象房地状况!C6</f>
        <v>周边有411路、457路、657路等多条公交线路，交通便捷度一般</v>
      </c>
      <c r="D17" s="430">
        <v>100</v>
      </c>
      <c r="E17" s="2750" t="s">
        <v>2896</v>
      </c>
      <c r="F17" s="433">
        <f>SUMIF(78:78,E18,79:79)-SUMIF(78:78,C18,79:79)+100</f>
        <v>100</v>
      </c>
      <c r="G17" s="2750" t="s">
        <v>2896</v>
      </c>
      <c r="H17" s="435">
        <f>SUMIF(78:78,G18,79:79)-SUMIF(78:78,C18,79:79)+100</f>
        <v>100</v>
      </c>
      <c r="I17" s="2750" t="s">
        <v>2896</v>
      </c>
      <c r="J17" s="435">
        <f>SUMIF(78:78,I18,79:79)-SUMIF(78:78,C18,79:79)+100</f>
        <v>100</v>
      </c>
      <c r="K17" s="424">
        <v>1</v>
      </c>
      <c r="L17" s="1253"/>
      <c r="M17" s="1244"/>
      <c r="N17" s="1244"/>
      <c r="O17" s="1244"/>
      <c r="P17" s="3049"/>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49"/>
      <c r="Q18" s="1899"/>
      <c r="R18" s="753"/>
      <c r="S18" s="754"/>
      <c r="T18" s="753"/>
      <c r="U18" s="754"/>
      <c r="V18" s="753"/>
      <c r="W18" s="754"/>
      <c r="X18" s="1900"/>
      <c r="Y18" s="3036"/>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1" t="s">
        <v>2899</v>
      </c>
      <c r="F19" s="439">
        <f>SUMIF(80:80,E20,81:81)-SUMIF(80:80,C20,81:81)+100</f>
        <v>100</v>
      </c>
      <c r="G19" s="2741" t="s">
        <v>2898</v>
      </c>
      <c r="H19" s="430">
        <f>SUMIF(80:80,G20,81:81)-SUMIF(80:80,C20,81:81)+100</f>
        <v>100</v>
      </c>
      <c r="I19" s="2741" t="s">
        <v>2898</v>
      </c>
      <c r="J19" s="430">
        <f>SUMIF(80:80,I20,81:81)-SUMIF(80:80,C20,81:81)+100</f>
        <v>100</v>
      </c>
      <c r="K19" s="424">
        <v>1</v>
      </c>
      <c r="L19" s="1253"/>
      <c r="M19" s="1244"/>
      <c r="N19" s="1244"/>
      <c r="O19" s="1244"/>
      <c r="P19" s="3049"/>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49"/>
      <c r="Q20" s="1899"/>
      <c r="R20" s="753"/>
      <c r="S20" s="754"/>
      <c r="T20" s="753"/>
      <c r="U20" s="754"/>
      <c r="V20" s="753"/>
      <c r="W20" s="754"/>
      <c r="X20" s="1900"/>
      <c r="Y20" s="3036"/>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1" t="s">
        <v>2823</v>
      </c>
      <c r="F21" s="439">
        <f>SUMIF(82:82,E22,83:83)-SUMIF(82:82,C22,83:83)+100</f>
        <v>100</v>
      </c>
      <c r="G21" s="2741" t="s">
        <v>2839</v>
      </c>
      <c r="H21" s="430">
        <f>SUMIF(82:82,G22,83:83)-SUMIF(82:82,C22,83:83)+100</f>
        <v>100</v>
      </c>
      <c r="I21" s="2741" t="s">
        <v>2839</v>
      </c>
      <c r="J21" s="430">
        <f>SUMIF(82:82,I22,83:83)-SUMIF(82:82,C22,83:83)+100</f>
        <v>100</v>
      </c>
      <c r="K21" s="424">
        <v>1</v>
      </c>
      <c r="L21" s="1253"/>
      <c r="M21" s="1244"/>
      <c r="N21" s="1244"/>
      <c r="O21" s="1244"/>
      <c r="P21" s="3049"/>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49"/>
      <c r="Q22" s="1899"/>
      <c r="R22" s="753"/>
      <c r="S22" s="754"/>
      <c r="T22" s="753"/>
      <c r="U22" s="754"/>
      <c r="V22" s="753"/>
      <c r="W22" s="754"/>
      <c r="X22" s="1900"/>
      <c r="Y22" s="3036"/>
      <c r="Z22" s="1902"/>
      <c r="AA22" s="1903">
        <v>1</v>
      </c>
      <c r="AB22" s="1903">
        <v>1</v>
      </c>
      <c r="AC22" s="1903">
        <v>1</v>
      </c>
    </row>
    <row r="23" spans="1:29" ht="88.5" customHeight="1">
      <c r="A23" s="408"/>
      <c r="B23" s="431" t="s">
        <v>1755</v>
      </c>
      <c r="C23" s="2407" t="str">
        <f>估价对象房地状况!C9</f>
        <v>自然环境：红军公园、狼各庄村休闲公园、富力又一城公园等公园；人文环境：无；综合评价环境状况一般</v>
      </c>
      <c r="D23" s="430">
        <v>100</v>
      </c>
      <c r="E23" s="2751" t="s">
        <v>2902</v>
      </c>
      <c r="F23" s="433">
        <f>SUMIF(84:84,E24,85:85)-SUMIF(84:84,C24,85:85)+100</f>
        <v>100</v>
      </c>
      <c r="G23" s="2751" t="s">
        <v>2902</v>
      </c>
      <c r="H23" s="430">
        <f>SUMIF(84:84,G24,85:85)-SUMIF(84:84,C24,85:85)+100</f>
        <v>100</v>
      </c>
      <c r="I23" s="2751" t="s">
        <v>2902</v>
      </c>
      <c r="J23" s="430">
        <f>SUMIF(84:84,I24,85:85)-SUMIF(84:84,C24,85:85)+100</f>
        <v>100</v>
      </c>
      <c r="K23" s="424">
        <v>1</v>
      </c>
      <c r="L23" s="1253"/>
      <c r="M23" s="1244"/>
      <c r="N23" s="1244"/>
      <c r="O23" s="1244"/>
      <c r="P23" s="3049"/>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49"/>
      <c r="Q24" s="1899"/>
      <c r="R24" s="753"/>
      <c r="S24" s="754"/>
      <c r="T24" s="753"/>
      <c r="U24" s="754"/>
      <c r="V24" s="753"/>
      <c r="W24" s="754"/>
      <c r="X24" s="1900"/>
      <c r="Y24" s="3036"/>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9"/>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2368</v>
      </c>
      <c r="C26" s="441" t="s">
        <v>2916</v>
      </c>
      <c r="D26" s="415">
        <v>100</v>
      </c>
      <c r="E26" s="2754" t="s">
        <v>2914</v>
      </c>
      <c r="F26" s="442">
        <f>SUMIF(88:88,E26,89:89)-SUMIF(88:88,C26,89:89)+100</f>
        <v>102</v>
      </c>
      <c r="G26" s="2755" t="s">
        <v>2914</v>
      </c>
      <c r="H26" s="415">
        <f>SUMIF(88:88,G26,89:89)-SUMIF(88:88,C26,89:89)+100</f>
        <v>102</v>
      </c>
      <c r="I26" s="2754" t="s">
        <v>2914</v>
      </c>
      <c r="J26" s="415">
        <f>SUMIF(88:88,I26,89:89)-SUMIF(88:88,C26,89:89)+100</f>
        <v>102</v>
      </c>
      <c r="K26" s="406">
        <v>2</v>
      </c>
      <c r="L26" s="1253"/>
      <c r="M26" s="1244"/>
      <c r="N26" s="1244"/>
      <c r="O26" s="1244"/>
      <c r="P26" s="3049"/>
      <c r="Q26" s="1899" t="str">
        <f t="shared" si="11"/>
        <v>朝向</v>
      </c>
      <c r="R26" s="753" t="s">
        <v>28</v>
      </c>
      <c r="S26" s="754">
        <f>F26</f>
        <v>102</v>
      </c>
      <c r="T26" s="753" t="s">
        <v>28</v>
      </c>
      <c r="U26" s="754">
        <f>H26</f>
        <v>102</v>
      </c>
      <c r="V26" s="753" t="s">
        <v>28</v>
      </c>
      <c r="W26" s="754">
        <f>J26</f>
        <v>102</v>
      </c>
      <c r="X26" s="1900"/>
      <c r="Y26" s="3036"/>
      <c r="Z26" s="1902" t="str">
        <f>Q26</f>
        <v>朝向</v>
      </c>
      <c r="AA26" s="1903">
        <f t="shared" si="3"/>
        <v>0.98039215686274506</v>
      </c>
      <c r="AB26" s="1903">
        <f t="shared" si="4"/>
        <v>0.98039215686274506</v>
      </c>
      <c r="AC26" s="1903">
        <f t="shared" si="5"/>
        <v>0.98039215686274506</v>
      </c>
    </row>
    <row r="27" spans="1:29" s="35" customFormat="1" ht="15">
      <c r="A27" s="411"/>
      <c r="B27" s="2400" t="s">
        <v>2369</v>
      </c>
      <c r="C27" s="2742" t="s">
        <v>2841</v>
      </c>
      <c r="D27" s="443">
        <v>100</v>
      </c>
      <c r="E27" s="2742" t="s">
        <v>2841</v>
      </c>
      <c r="F27" s="445">
        <f>SUMIF(90:90,E27,91:91)-SUMIF(90:90,C27,91:91)+100</f>
        <v>100</v>
      </c>
      <c r="G27" s="2742" t="s">
        <v>2841</v>
      </c>
      <c r="H27" s="443">
        <f>SUMIF(90:90,G27,91:91)-SUMIF(90:90,C27,91:91)+100</f>
        <v>100</v>
      </c>
      <c r="I27" s="2742" t="s">
        <v>2841</v>
      </c>
      <c r="J27" s="443">
        <f>SUMIF(90:90,I27,91:91)-SUMIF(90:90,C27,91:91)+100</f>
        <v>100</v>
      </c>
      <c r="K27" s="2401"/>
      <c r="L27" s="1245"/>
      <c r="M27" s="1246"/>
      <c r="N27" s="1246"/>
      <c r="O27" s="1246"/>
      <c r="P27" s="3049"/>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5.75" thickBot="1">
      <c r="A28" s="408"/>
      <c r="B28" s="2743" t="s">
        <v>2842</v>
      </c>
      <c r="C28" s="2753" t="s">
        <v>2906</v>
      </c>
      <c r="D28" s="415">
        <v>100</v>
      </c>
      <c r="E28" s="2753" t="s">
        <v>2906</v>
      </c>
      <c r="F28" s="442">
        <f>SUMIF(92:92,E28,93:93)-SUMIF(92:92,C28,93:93)+100</f>
        <v>100</v>
      </c>
      <c r="G28" s="2753" t="s">
        <v>2906</v>
      </c>
      <c r="H28" s="415">
        <f>SUMIF(92:92,G28,93:93)-SUMIF(92:92,C28,93:93)+100</f>
        <v>100</v>
      </c>
      <c r="I28" s="2753" t="s">
        <v>2906</v>
      </c>
      <c r="J28" s="415">
        <f>SUMIF(92:92,I28,93:93)-SUMIF(92:92,C28,93:93)+100</f>
        <v>100</v>
      </c>
      <c r="K28" s="2401"/>
      <c r="L28" s="1253"/>
      <c r="M28" s="1244"/>
      <c r="N28" s="1244"/>
      <c r="O28" s="1244"/>
      <c r="P28" s="3049"/>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6"/>
      <c r="Z28" s="1902" t="str">
        <f t="shared" ref="Z28:Z46" si="15">Q28</f>
        <v>楼层</v>
      </c>
      <c r="AA28" s="1903">
        <f t="shared" si="3"/>
        <v>1</v>
      </c>
      <c r="AB28" s="1903">
        <f t="shared" si="4"/>
        <v>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9"/>
      <c r="Q29" s="1899">
        <f t="shared" si="11"/>
        <v>111</v>
      </c>
      <c r="R29" s="753" t="s">
        <v>28</v>
      </c>
      <c r="S29" s="754">
        <f t="shared" si="12"/>
        <v>100</v>
      </c>
      <c r="T29" s="753" t="s">
        <v>28</v>
      </c>
      <c r="U29" s="754">
        <f t="shared" si="13"/>
        <v>100</v>
      </c>
      <c r="V29" s="753" t="s">
        <v>28</v>
      </c>
      <c r="W29" s="754">
        <f t="shared" si="14"/>
        <v>100</v>
      </c>
      <c r="X29" s="1900"/>
      <c r="Y29" s="3036"/>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9"/>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9"/>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2370</v>
      </c>
      <c r="B32" s="28" t="s">
        <v>2371</v>
      </c>
      <c r="C32" s="2414" t="s">
        <v>2907</v>
      </c>
      <c r="D32" s="448">
        <v>100</v>
      </c>
      <c r="E32" s="2415" t="s">
        <v>2907</v>
      </c>
      <c r="F32" s="442">
        <f>SUMIF(100:100,E32,101:101)-SUMIF(100:100,C32,101:101)+100</f>
        <v>100</v>
      </c>
      <c r="G32" s="2414" t="s">
        <v>2907</v>
      </c>
      <c r="H32" s="448">
        <f>SUMIF(100:100,G32,101:101)-SUMIF(100:100,C32,101:101)+100</f>
        <v>100</v>
      </c>
      <c r="I32" s="2415" t="s">
        <v>2907</v>
      </c>
      <c r="J32" s="415">
        <f>SUMIF(100:100,I32,101:101)-SUMIF(100:100,C32,101:101)+100</f>
        <v>100</v>
      </c>
      <c r="K32" s="406">
        <v>2</v>
      </c>
      <c r="L32" s="1253"/>
      <c r="M32" s="1244"/>
      <c r="N32" s="1244"/>
      <c r="O32" s="1244"/>
      <c r="P32" s="3037" t="s">
        <v>2372</v>
      </c>
      <c r="Q32" s="1899" t="str">
        <f t="shared" si="11"/>
        <v>建筑类型</v>
      </c>
      <c r="R32" s="753" t="s">
        <v>28</v>
      </c>
      <c r="S32" s="754">
        <f t="shared" si="12"/>
        <v>100</v>
      </c>
      <c r="T32" s="753" t="s">
        <v>28</v>
      </c>
      <c r="U32" s="754">
        <f t="shared" si="13"/>
        <v>100</v>
      </c>
      <c r="V32" s="753" t="s">
        <v>28</v>
      </c>
      <c r="W32" s="754">
        <f t="shared" si="14"/>
        <v>100</v>
      </c>
      <c r="X32" s="1900"/>
      <c r="Y32" s="3040"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209.06</v>
      </c>
      <c r="D33" s="52">
        <v>100</v>
      </c>
      <c r="E33" s="410">
        <v>233</v>
      </c>
      <c r="F33" s="405">
        <f>LOOKUP(E33,103:103,104:104)-LOOKUP(C33,103:103,104:104)+100</f>
        <v>98</v>
      </c>
      <c r="G33" s="409">
        <v>244</v>
      </c>
      <c r="H33" s="52">
        <f>LOOKUP(G33,103:103,104:104)-LOOKUP(C33,103:103,104:104)+100</f>
        <v>96</v>
      </c>
      <c r="I33" s="410">
        <v>214</v>
      </c>
      <c r="J33" s="52">
        <f>LOOKUP(I33,103:103,104:104)-LOOKUP(C33,103:103,104:104)+100</f>
        <v>98</v>
      </c>
      <c r="K33" s="2401"/>
      <c r="L33" s="1251"/>
      <c r="M33" s="1254"/>
      <c r="N33" s="1254"/>
      <c r="O33" s="1254"/>
      <c r="P33" s="3038"/>
      <c r="Q33" s="755" t="str">
        <f t="shared" si="11"/>
        <v>项目建筑规模</v>
      </c>
      <c r="R33" s="756" t="s">
        <v>28</v>
      </c>
      <c r="S33" s="757">
        <f t="shared" si="12"/>
        <v>98</v>
      </c>
      <c r="T33" s="756" t="s">
        <v>28</v>
      </c>
      <c r="U33" s="757">
        <f t="shared" si="13"/>
        <v>96</v>
      </c>
      <c r="V33" s="756" t="s">
        <v>28</v>
      </c>
      <c r="W33" s="757">
        <f t="shared" si="14"/>
        <v>98</v>
      </c>
      <c r="X33" s="758"/>
      <c r="Y33" s="3040"/>
      <c r="Z33" s="759" t="str">
        <f t="shared" si="15"/>
        <v>项目建筑规模</v>
      </c>
      <c r="AA33" s="1903">
        <f t="shared" si="3"/>
        <v>1.0204081632653061</v>
      </c>
      <c r="AB33" s="1903">
        <f t="shared" si="4"/>
        <v>1.0416666666666667</v>
      </c>
      <c r="AC33" s="1903">
        <f t="shared" si="5"/>
        <v>1.0204081632653061</v>
      </c>
    </row>
    <row r="34" spans="1:29" ht="15">
      <c r="A34" s="453"/>
      <c r="B34" s="402" t="s">
        <v>2374</v>
      </c>
      <c r="C34" s="2416" t="s">
        <v>2908</v>
      </c>
      <c r="D34" s="415">
        <v>100</v>
      </c>
      <c r="E34" s="2417" t="s">
        <v>2908</v>
      </c>
      <c r="F34" s="442">
        <f>SUMIF(105:105,E34,106:106)-SUMIF(105:105,C34,106:106)+100</f>
        <v>100</v>
      </c>
      <c r="G34" s="2416" t="s">
        <v>2908</v>
      </c>
      <c r="H34" s="415">
        <f>SUMIF(105:105,G34,106:106)-SUMIF(105:105,C34,106:106)+100</f>
        <v>100</v>
      </c>
      <c r="I34" s="2417" t="s">
        <v>2908</v>
      </c>
      <c r="J34" s="415">
        <f>SUMIF(105:105,I34,106:106)-SUMIF(105:105,C34,106:106)+100</f>
        <v>100</v>
      </c>
      <c r="K34" s="406">
        <v>2</v>
      </c>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 hidden="1">
      <c r="A36" s="453"/>
      <c r="B36" s="402" t="s">
        <v>2376</v>
      </c>
      <c r="C36" s="2412" t="s">
        <v>2874</v>
      </c>
      <c r="D36" s="415">
        <v>100</v>
      </c>
      <c r="E36" s="2411" t="s">
        <v>2874</v>
      </c>
      <c r="F36" s="442">
        <f>SUMIF(109:109,E36,110:110)-SUMIF(109:109,C36,110:110)+100</f>
        <v>100</v>
      </c>
      <c r="G36" s="2412" t="s">
        <v>2874</v>
      </c>
      <c r="H36" s="415">
        <f>SUMIF(109:109,G36,110:110)-SUMIF(109:109,C36,110:110)+100</f>
        <v>100</v>
      </c>
      <c r="I36" s="2411" t="s">
        <v>2874</v>
      </c>
      <c r="J36" s="415">
        <f>SUMIF(109:109,I36,110:110)-SUMIF(109:109,C36,110:110)+100</f>
        <v>100</v>
      </c>
      <c r="K36" s="406">
        <v>3</v>
      </c>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2378</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v>2</v>
      </c>
      <c r="L38" s="1253"/>
      <c r="M38" s="1244"/>
      <c r="N38" s="1244"/>
      <c r="O38" s="1244"/>
      <c r="P38" s="3038" t="s">
        <v>2372</v>
      </c>
      <c r="Q38" s="1899" t="str">
        <f t="shared" si="11"/>
        <v>物业管理</v>
      </c>
      <c r="R38" s="753" t="s">
        <v>28</v>
      </c>
      <c r="S38" s="754">
        <f t="shared" si="12"/>
        <v>100</v>
      </c>
      <c r="T38" s="753" t="s">
        <v>28</v>
      </c>
      <c r="U38" s="754">
        <f t="shared" si="13"/>
        <v>100</v>
      </c>
      <c r="V38" s="753" t="s">
        <v>28</v>
      </c>
      <c r="W38" s="754">
        <f t="shared" si="14"/>
        <v>100</v>
      </c>
      <c r="X38" s="1900"/>
      <c r="Y38" s="3040" t="s">
        <v>2372</v>
      </c>
      <c r="Z38" s="1902" t="str">
        <f t="shared" si="15"/>
        <v>物业管理</v>
      </c>
      <c r="AA38" s="1903">
        <f t="shared" si="3"/>
        <v>1</v>
      </c>
      <c r="AB38" s="1903">
        <f t="shared" si="4"/>
        <v>1</v>
      </c>
      <c r="AC38" s="1903">
        <f t="shared" si="5"/>
        <v>1</v>
      </c>
    </row>
    <row r="39" spans="1:29" ht="15">
      <c r="A39" s="453"/>
      <c r="B39" s="402" t="s">
        <v>2379</v>
      </c>
      <c r="C39" s="2412" t="s">
        <v>2909</v>
      </c>
      <c r="D39" s="415">
        <v>100</v>
      </c>
      <c r="E39" s="2411" t="s">
        <v>2909</v>
      </c>
      <c r="F39" s="442">
        <f>SUMIF(116:116,E39,117:117)-SUMIF(116:116,C39,117:117)+100</f>
        <v>100</v>
      </c>
      <c r="G39" s="2412" t="s">
        <v>2909</v>
      </c>
      <c r="H39" s="415">
        <f>SUMIF(116:116,G39,117:117)-SUMIF(116:116,C39,117:117)+100</f>
        <v>100</v>
      </c>
      <c r="I39" s="2411" t="s">
        <v>2909</v>
      </c>
      <c r="J39" s="415">
        <f>SUMIF(116:116,I39,117:117)-SUMIF(116:116,C39,117:117)+100</f>
        <v>100</v>
      </c>
      <c r="K39" s="406">
        <v>2</v>
      </c>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2380</v>
      </c>
      <c r="C40" s="2412" t="s">
        <v>2910</v>
      </c>
      <c r="D40" s="415">
        <v>100</v>
      </c>
      <c r="E40" s="2411" t="s">
        <v>2910</v>
      </c>
      <c r="F40" s="442">
        <f>SUMIF(118:118,E40,119:119)-SUMIF(118:118,C40,119:119)+100</f>
        <v>100</v>
      </c>
      <c r="G40" s="2412" t="s">
        <v>2910</v>
      </c>
      <c r="H40" s="415">
        <f>SUMIF(118:118,G40,119:119)-SUMIF(118:118,C40,119:119)+100</f>
        <v>100</v>
      </c>
      <c r="I40" s="2411" t="s">
        <v>2910</v>
      </c>
      <c r="J40" s="415">
        <f>SUMIF(118:118,I40,119:119)-SUMIF(118:118,C40,119:119)+100</f>
        <v>100</v>
      </c>
      <c r="K40" s="406">
        <v>3</v>
      </c>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2382</v>
      </c>
      <c r="C42" s="2412" t="s">
        <v>2875</v>
      </c>
      <c r="D42" s="415">
        <v>100</v>
      </c>
      <c r="E42" s="2411" t="s">
        <v>2875</v>
      </c>
      <c r="F42" s="442">
        <f>SUMIF(122:122,E42,123:123)-SUMIF(122:122,C42,123:123)+100</f>
        <v>100</v>
      </c>
      <c r="G42" s="2412" t="s">
        <v>2875</v>
      </c>
      <c r="H42" s="415">
        <f>SUMIF(122:122,G42,123:123)-SUMIF(122:122,C42,123:123)+100</f>
        <v>100</v>
      </c>
      <c r="I42" s="2411" t="s">
        <v>2875</v>
      </c>
      <c r="J42" s="415">
        <f>SUMIF(122:122,I42,123:123)-SUMIF(122:122,C42,123:123)+100</f>
        <v>100</v>
      </c>
      <c r="K42" s="406">
        <v>2</v>
      </c>
      <c r="L42" s="1253"/>
      <c r="M42" s="1244"/>
      <c r="N42" s="1244"/>
      <c r="O42" s="1244"/>
      <c r="P42" s="3038"/>
      <c r="Q42" s="1899" t="str">
        <f t="shared" si="11"/>
        <v>内部装修</v>
      </c>
      <c r="R42" s="753" t="s">
        <v>28</v>
      </c>
      <c r="S42" s="754">
        <f t="shared" si="12"/>
        <v>100</v>
      </c>
      <c r="T42" s="753" t="s">
        <v>28</v>
      </c>
      <c r="U42" s="754">
        <f t="shared" si="13"/>
        <v>100</v>
      </c>
      <c r="V42" s="753" t="s">
        <v>28</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75" thickBot="1">
      <c r="A44" s="454"/>
      <c r="B44" s="2743" t="s">
        <v>2843</v>
      </c>
      <c r="C44" s="450">
        <v>2005</v>
      </c>
      <c r="D44" s="52">
        <v>100</v>
      </c>
      <c r="E44" s="450">
        <v>2004</v>
      </c>
      <c r="F44" s="405">
        <f>SUMIF(126:126,E44,127:127)-SUMIF(126:126,C44,127:127)+100</f>
        <v>99.8</v>
      </c>
      <c r="G44" s="450">
        <v>2000</v>
      </c>
      <c r="H44" s="52">
        <f>SUMIF(126:126,G44,127:127)-SUMIF(126:126,C44,127:127)+100</f>
        <v>99</v>
      </c>
      <c r="I44" s="450">
        <v>2005</v>
      </c>
      <c r="J44" s="52">
        <f>SUMIF(126:126,I44,127:127)-SUMIF(126:126,C44,127:127)+100</f>
        <v>100</v>
      </c>
      <c r="K44" s="2401"/>
      <c r="L44" s="1245"/>
      <c r="M44" s="1246"/>
      <c r="N44" s="1246"/>
      <c r="O44" s="1246"/>
      <c r="P44" s="3038"/>
      <c r="Q44" s="1887" t="str">
        <f t="shared" si="11"/>
        <v>建成年代</v>
      </c>
      <c r="R44" s="749" t="s">
        <v>28</v>
      </c>
      <c r="S44" s="750">
        <f t="shared" si="12"/>
        <v>99.8</v>
      </c>
      <c r="T44" s="749" t="s">
        <v>28</v>
      </c>
      <c r="U44" s="750">
        <f t="shared" si="13"/>
        <v>99</v>
      </c>
      <c r="V44" s="749" t="s">
        <v>28</v>
      </c>
      <c r="W44" s="750">
        <f t="shared" si="14"/>
        <v>100</v>
      </c>
      <c r="X44" s="751"/>
      <c r="Y44" s="3040"/>
      <c r="Z44" s="23" t="str">
        <f t="shared" si="15"/>
        <v>建成年代</v>
      </c>
      <c r="AA44" s="752">
        <f t="shared" si="3"/>
        <v>1.0020040080160322</v>
      </c>
      <c r="AB44" s="752">
        <f t="shared" si="4"/>
        <v>1.0101010101010102</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8"/>
      <c r="Q45" s="1899">
        <f t="shared" si="11"/>
        <v>111</v>
      </c>
      <c r="R45" s="753" t="s">
        <v>28</v>
      </c>
      <c r="S45" s="754">
        <f t="shared" si="12"/>
        <v>100</v>
      </c>
      <c r="T45" s="753" t="s">
        <v>28</v>
      </c>
      <c r="U45" s="754">
        <f t="shared" si="13"/>
        <v>100</v>
      </c>
      <c r="V45" s="753" t="s">
        <v>28</v>
      </c>
      <c r="W45" s="754">
        <f t="shared" si="14"/>
        <v>100</v>
      </c>
      <c r="X45" s="1900"/>
      <c r="Y45" s="3040"/>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9"/>
      <c r="Q46" s="1899">
        <f t="shared" si="11"/>
        <v>111</v>
      </c>
      <c r="R46" s="753" t="s">
        <v>27</v>
      </c>
      <c r="S46" s="754">
        <f t="shared" si="12"/>
        <v>100</v>
      </c>
      <c r="T46" s="753" t="s">
        <v>27</v>
      </c>
      <c r="U46" s="754">
        <f t="shared" si="13"/>
        <v>100</v>
      </c>
      <c r="V46" s="753" t="s">
        <v>27</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26</v>
      </c>
      <c r="D47" s="1503"/>
      <c r="E47" s="1504">
        <v>54926</v>
      </c>
      <c r="F47" s="1505"/>
      <c r="G47" s="1506">
        <v>55378</v>
      </c>
      <c r="H47" s="1507"/>
      <c r="I47" s="1504">
        <v>61740</v>
      </c>
      <c r="J47" s="1507"/>
      <c r="K47" s="2418"/>
      <c r="L47" s="1256"/>
      <c r="M47" s="1257"/>
      <c r="N47" s="1244"/>
      <c r="O47" s="1257"/>
      <c r="P47" s="3046" t="str">
        <f>A47</f>
        <v>成交单价（元/平方米）</v>
      </c>
      <c r="Q47" s="3046"/>
      <c r="R47" s="3047">
        <f>E47</f>
        <v>54926</v>
      </c>
      <c r="S47" s="3047"/>
      <c r="T47" s="3047">
        <f>G47</f>
        <v>55378</v>
      </c>
      <c r="U47" s="3047"/>
      <c r="V47" s="3047">
        <f>I47</f>
        <v>61740</v>
      </c>
      <c r="W47" s="3047"/>
      <c r="X47" s="738"/>
      <c r="Y47" s="760"/>
      <c r="Z47" s="738"/>
      <c r="AA47" s="738"/>
      <c r="AB47" s="738"/>
      <c r="AC47" s="738"/>
    </row>
    <row r="48" spans="1:29" ht="15.75" thickBot="1">
      <c r="A48" s="467" t="s">
        <v>2385</v>
      </c>
      <c r="B48" s="468"/>
      <c r="C48" s="1508">
        <f>R49</f>
        <v>57983</v>
      </c>
      <c r="D48" s="1509"/>
      <c r="E48" s="1510">
        <f>R48</f>
        <v>55058</v>
      </c>
      <c r="F48" s="1510"/>
      <c r="G48" s="1508">
        <f>T48</f>
        <v>57126</v>
      </c>
      <c r="H48" s="1509"/>
      <c r="I48" s="1510">
        <f>V48</f>
        <v>61765</v>
      </c>
      <c r="J48" s="1509"/>
      <c r="K48" s="2419"/>
      <c r="L48" s="1256"/>
      <c r="M48" s="1257"/>
      <c r="N48" s="1257"/>
      <c r="O48" s="1257"/>
      <c r="P48" s="3046" t="str">
        <f>A48</f>
        <v>比较价值（元/平方米）</v>
      </c>
      <c r="Q48" s="3046"/>
      <c r="R48" s="3047">
        <f>IF(E1="售价",ROUND(PRODUCT(R47,AA7:AA46),0),ROUND(PRODUCT(R47,AA7:AA46),1))</f>
        <v>55058</v>
      </c>
      <c r="S48" s="3047"/>
      <c r="T48" s="3050">
        <f>IF(E1="售价",ROUND(PRODUCT(T47,AB7:AB46),0),ROUND(PRODUCT(T47,AB7:AB46),1))</f>
        <v>57126</v>
      </c>
      <c r="U48" s="3051"/>
      <c r="V48" s="3047">
        <f>IF(E1="售价",ROUND(PRODUCT(V47,AC7:AC46),0),ROUND(PRODUCT(V47,AC7:AC46),1))</f>
        <v>61765</v>
      </c>
      <c r="W48" s="3047"/>
      <c r="X48" s="738"/>
      <c r="Y48" s="738"/>
      <c r="Z48" s="738"/>
      <c r="AA48" s="738"/>
      <c r="AB48" s="738"/>
      <c r="AC48" s="738"/>
    </row>
    <row r="49" spans="1:29" ht="15.75" thickBot="1">
      <c r="A49" s="473" t="s">
        <v>2386</v>
      </c>
      <c r="B49" s="474"/>
      <c r="C49" s="1511">
        <f>R49</f>
        <v>57983</v>
      </c>
      <c r="D49" s="1512"/>
      <c r="E49" s="1512"/>
      <c r="F49" s="1512"/>
      <c r="G49" s="1512"/>
      <c r="H49" s="1512"/>
      <c r="I49" s="1512"/>
      <c r="J49" s="1512"/>
      <c r="K49" s="2420"/>
      <c r="L49" s="1256"/>
      <c r="M49" s="1257"/>
      <c r="N49" s="1257"/>
      <c r="O49" s="1257"/>
      <c r="P49" s="3052" t="str">
        <f>A49</f>
        <v>估价对象XX用房的比较价值（楼面单价，元/平方米）</v>
      </c>
      <c r="Q49" s="3053"/>
      <c r="R49" s="3054">
        <f>IF(E1="售价",ROUND(AVERAGE(R48:V48),0),ROUND(AVERAGE(R48:V48),1))</f>
        <v>57983</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2.4032334413575107E-3</v>
      </c>
      <c r="F52" s="481" t="str">
        <f>IF(OR(E52&gt;=0.3,E52&lt;=-0.3),"超过30%","")</f>
        <v/>
      </c>
      <c r="G52" s="480">
        <f>IF(G47&lt;G48,G48/G47-1,G47/G48-1)</f>
        <v>3.1564881360829133E-2</v>
      </c>
      <c r="H52" s="481" t="str">
        <f>IF(OR(G52&gt;=0.3,G52&lt;=-0.3),"超过30%","")</f>
        <v/>
      </c>
      <c r="I52" s="480">
        <f>IF(I47&lt;I48,I48/I47-1,I47/I48-1)</f>
        <v>4.0492387431156907E-4</v>
      </c>
      <c r="J52" s="481" t="str">
        <f>IF(OR(I52&gt;=0.3,I52&lt;=-0.3),"超过30%","")</f>
        <v/>
      </c>
      <c r="K52" s="1262"/>
      <c r="L52" s="1258"/>
      <c r="M52" s="1257"/>
      <c r="N52" s="1257"/>
      <c r="O52" s="1257"/>
    </row>
    <row r="53" spans="1:29" ht="13.5" customHeight="1">
      <c r="A53" s="1257"/>
      <c r="B53" s="1257"/>
      <c r="C53" s="478" t="s">
        <v>2388</v>
      </c>
      <c r="D53" s="482"/>
      <c r="E53" s="480">
        <f>IF(E48&lt;G48,G48/E48-1,E48/G48-1)</f>
        <v>3.7560390860547077E-2</v>
      </c>
      <c r="F53" s="481" t="str">
        <f>IF(OR(E53&gt;=0.2,E53&lt;=-0.2),"超过20%","")</f>
        <v/>
      </c>
      <c r="G53" s="480">
        <f>IF(G48&lt;I48,I48/G48-1,G48/I48-1)</f>
        <v>8.1206455904491825E-2</v>
      </c>
      <c r="H53" s="481" t="str">
        <f>IF(OR(G53&gt;=0.2,G53&lt;=-0.2),"超过20%","")</f>
        <v/>
      </c>
      <c r="I53" s="480">
        <f>IF(I48&lt;E48,E48/I48-1,I48/E48-1)</f>
        <v>0.12181699298921145</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8.2292539052544189E-3</v>
      </c>
      <c r="F54" s="481" t="str">
        <f>IF(OR(E54&gt;=0.3,E54&lt;=-0.3),"超过30%","")</f>
        <v/>
      </c>
      <c r="G54" s="480">
        <f>IF(G47&lt;I47,I47/G47-1,G47/I47-1)</f>
        <v>0.11488316660045506</v>
      </c>
      <c r="H54" s="481" t="str">
        <f>IF(OR(G54&gt;=0.3,G54&lt;=-0.3),"超过30%","")</f>
        <v/>
      </c>
      <c r="I54" s="480">
        <f>IF(I47&lt;E47,E47/I47-1,I47/E47-1)</f>
        <v>0.12405782325310422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8" t="s">
        <v>2915</v>
      </c>
      <c r="D88" s="2738" t="s">
        <v>2829</v>
      </c>
      <c r="E88" s="2738" t="s">
        <v>2830</v>
      </c>
      <c r="F88" s="2738" t="s">
        <v>2831</v>
      </c>
      <c r="G88" s="2738" t="s">
        <v>2832</v>
      </c>
      <c r="H88" s="2738" t="s">
        <v>2833</v>
      </c>
      <c r="I88" s="2738" t="s">
        <v>2834</v>
      </c>
      <c r="J88" s="2738" t="s">
        <v>2835</v>
      </c>
      <c r="K88" s="2739" t="s">
        <v>2836</v>
      </c>
      <c r="L88" s="2739"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8" t="s">
        <v>2844</v>
      </c>
      <c r="D90" s="2738" t="s">
        <v>2845</v>
      </c>
      <c r="E90" s="2738" t="s">
        <v>2846</v>
      </c>
      <c r="F90" s="2738" t="s">
        <v>2847</v>
      </c>
      <c r="G90" s="2738" t="s">
        <v>2848</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2881</v>
      </c>
      <c r="D92" s="2744" t="s">
        <v>2882</v>
      </c>
      <c r="E92" s="2744" t="s">
        <v>2883</v>
      </c>
      <c r="F92" s="2753" t="s">
        <v>2906</v>
      </c>
      <c r="G92" s="567"/>
      <c r="H92" s="567"/>
      <c r="I92" s="567"/>
      <c r="J92" s="567"/>
      <c r="K92" s="568"/>
      <c r="L92" s="569"/>
      <c r="M92" s="570"/>
      <c r="N92" s="1267"/>
      <c r="O92" s="1267"/>
      <c r="P92" s="2427"/>
      <c r="Q92" s="485"/>
    </row>
    <row r="93" spans="1:17" ht="15.75" thickBot="1">
      <c r="A93" s="516"/>
      <c r="B93" s="526"/>
      <c r="C93" s="544">
        <v>100</v>
      </c>
      <c r="D93" s="544">
        <v>101.5</v>
      </c>
      <c r="E93" s="544">
        <v>98.5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5" t="s">
        <v>2849</v>
      </c>
      <c r="D100" s="2745" t="s">
        <v>2850</v>
      </c>
      <c r="E100" s="2746" t="s">
        <v>2851</v>
      </c>
      <c r="F100" s="2745" t="s">
        <v>2852</v>
      </c>
      <c r="G100" s="2745" t="s">
        <v>2853</v>
      </c>
      <c r="H100" s="2747" t="s">
        <v>2854</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8" t="s">
        <v>2855</v>
      </c>
      <c r="D105" s="2738" t="s">
        <v>2856</v>
      </c>
      <c r="E105" s="2748" t="s">
        <v>2857</v>
      </c>
      <c r="F105" s="2748" t="s">
        <v>2858</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8"/>
      <c r="D107" s="2738"/>
      <c r="E107" s="2738"/>
      <c r="F107" s="2748"/>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8" t="s">
        <v>2859</v>
      </c>
      <c r="D109" s="2738" t="s">
        <v>2860</v>
      </c>
      <c r="E109" s="2738" t="s">
        <v>2861</v>
      </c>
      <c r="F109" s="2748" t="s">
        <v>2862</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8" t="s">
        <v>2863</v>
      </c>
      <c r="D114" s="2738" t="s">
        <v>2864</v>
      </c>
      <c r="E114" s="2749" t="s">
        <v>2873</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8" t="s">
        <v>2865</v>
      </c>
      <c r="D116" s="2738" t="s">
        <v>2866</v>
      </c>
      <c r="E116" s="2738" t="s">
        <v>2867</v>
      </c>
      <c r="F116" s="2738" t="s">
        <v>2868</v>
      </c>
      <c r="G116" s="2738" t="s">
        <v>2869</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8" t="s">
        <v>2870</v>
      </c>
      <c r="D118" s="2747" t="s">
        <v>2911</v>
      </c>
      <c r="E118" s="2749" t="s">
        <v>2872</v>
      </c>
      <c r="F118" s="2748" t="s">
        <v>2871</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8" t="s">
        <v>2859</v>
      </c>
      <c r="D122" s="2738" t="s">
        <v>2860</v>
      </c>
      <c r="E122" s="2738" t="s">
        <v>2861</v>
      </c>
      <c r="F122" s="2748" t="s">
        <v>2862</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2005</v>
      </c>
      <c r="D126" s="537">
        <v>2004</v>
      </c>
      <c r="E126" s="537">
        <v>2000</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99.8</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209.06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26"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26"/>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26"/>
      <c r="AC6" s="3009"/>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8" t="s">
        <v>2366</v>
      </c>
      <c r="Q15" s="1899" t="str">
        <f t="shared" si="6"/>
        <v>商业繁华度</v>
      </c>
      <c r="R15" s="753" t="s">
        <v>25</v>
      </c>
      <c r="S15" s="754">
        <f t="shared" si="0"/>
        <v>100</v>
      </c>
      <c r="T15" s="753" t="s">
        <v>25</v>
      </c>
      <c r="U15" s="754">
        <f t="shared" si="1"/>
        <v>100</v>
      </c>
      <c r="V15" s="753" t="s">
        <v>25</v>
      </c>
      <c r="W15" s="754">
        <f t="shared" si="2"/>
        <v>100</v>
      </c>
      <c r="X15" s="1900"/>
      <c r="Y15" s="3035"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9"/>
      <c r="Q16" s="1899"/>
      <c r="R16" s="753"/>
      <c r="S16" s="754"/>
      <c r="T16" s="753"/>
      <c r="U16" s="754"/>
      <c r="V16" s="753"/>
      <c r="W16" s="754"/>
      <c r="X16" s="1900"/>
      <c r="Y16" s="3036"/>
      <c r="Z16" s="1902"/>
      <c r="AA16" s="1903">
        <v>1</v>
      </c>
      <c r="AB16" s="1903">
        <v>1</v>
      </c>
      <c r="AC16" s="1903">
        <v>1</v>
      </c>
    </row>
    <row r="17" spans="1:29" ht="57">
      <c r="A17" s="408"/>
      <c r="B17" s="431" t="s">
        <v>1750</v>
      </c>
      <c r="C17" s="2407" t="str">
        <f>估价对象房地状况!C6</f>
        <v>周边有411路、457路、657路等多条公交线路，交通便捷度一般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9"/>
      <c r="Q18" s="1899"/>
      <c r="R18" s="753"/>
      <c r="S18" s="754"/>
      <c r="T18" s="753"/>
      <c r="U18" s="754"/>
      <c r="V18" s="753"/>
      <c r="W18" s="754"/>
      <c r="X18" s="1900"/>
      <c r="Y18" s="3036"/>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9"/>
      <c r="Q20" s="1899"/>
      <c r="R20" s="753"/>
      <c r="S20" s="754"/>
      <c r="T20" s="753"/>
      <c r="U20" s="754"/>
      <c r="V20" s="753"/>
      <c r="W20" s="754"/>
      <c r="X20" s="1900"/>
      <c r="Y20" s="3036"/>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9"/>
      <c r="Q22" s="1899"/>
      <c r="R22" s="753"/>
      <c r="S22" s="754"/>
      <c r="T22" s="753"/>
      <c r="U22" s="754"/>
      <c r="V22" s="753"/>
      <c r="W22" s="754"/>
      <c r="X22" s="1900"/>
      <c r="Y22" s="3036"/>
      <c r="Z22" s="1902"/>
      <c r="AA22" s="1903">
        <v>1</v>
      </c>
      <c r="AB22" s="1903">
        <v>1</v>
      </c>
      <c r="AC22" s="1903">
        <v>1</v>
      </c>
    </row>
    <row r="23" spans="1:29" ht="99.75">
      <c r="A23" s="408"/>
      <c r="B23" s="431" t="s">
        <v>1755</v>
      </c>
      <c r="C23" s="2458" t="str">
        <f>估价对象房地状况!C9</f>
        <v>自然环境：红军公园、狼各庄村休闲公园、富力又一城公园等公园；人文环境：无；综合评价环境状况一般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9"/>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9"/>
      <c r="Q24" s="1899"/>
      <c r="R24" s="753"/>
      <c r="S24" s="754"/>
      <c r="T24" s="753"/>
      <c r="U24" s="754"/>
      <c r="V24" s="753"/>
      <c r="W24" s="754"/>
      <c r="X24" s="1900"/>
      <c r="Y24" s="3036"/>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9"/>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9"/>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9"/>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9"/>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7" t="s">
        <v>2372</v>
      </c>
      <c r="Q32" s="1899" t="str">
        <f t="shared" si="11"/>
        <v>商业类型</v>
      </c>
      <c r="R32" s="753" t="s">
        <v>25</v>
      </c>
      <c r="S32" s="754">
        <f t="shared" si="12"/>
        <v>100</v>
      </c>
      <c r="T32" s="753" t="s">
        <v>25</v>
      </c>
      <c r="U32" s="754">
        <f t="shared" si="13"/>
        <v>100</v>
      </c>
      <c r="V32" s="753" t="s">
        <v>25</v>
      </c>
      <c r="W32" s="754">
        <f t="shared" si="14"/>
        <v>100</v>
      </c>
      <c r="X32" s="1900"/>
      <c r="Y32" s="3040"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8" t="s">
        <v>2372</v>
      </c>
      <c r="Q38" s="1899" t="str">
        <f t="shared" si="11"/>
        <v>业态</v>
      </c>
      <c r="R38" s="753" t="s">
        <v>25</v>
      </c>
      <c r="S38" s="754">
        <f t="shared" si="12"/>
        <v>100</v>
      </c>
      <c r="T38" s="753" t="s">
        <v>25</v>
      </c>
      <c r="U38" s="754">
        <f t="shared" si="13"/>
        <v>100</v>
      </c>
      <c r="V38" s="753" t="s">
        <v>25</v>
      </c>
      <c r="W38" s="754">
        <f t="shared" si="14"/>
        <v>100</v>
      </c>
      <c r="X38" s="1900"/>
      <c r="Y38" s="3040"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6" t="str">
        <f>A47</f>
        <v>成交单价（元/平方米）</v>
      </c>
      <c r="Q47" s="3046"/>
      <c r="R47" s="3047">
        <f>E47</f>
        <v>0</v>
      </c>
      <c r="S47" s="3047"/>
      <c r="T47" s="3047">
        <f>G47</f>
        <v>0</v>
      </c>
      <c r="U47" s="3047"/>
      <c r="V47" s="3047">
        <f>I47</f>
        <v>0</v>
      </c>
      <c r="W47" s="304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6" t="str">
        <f>A48</f>
        <v>比较价值（元/平方米）</v>
      </c>
      <c r="Q48" s="3046"/>
      <c r="R48" s="3047" t="e">
        <f>IF(E1="售价",ROUND(PRODUCT(R47,AA7:AA46),0),ROUND(PRODUCT(R47,AA7:AA46),1))</f>
        <v>#DIV/0!</v>
      </c>
      <c r="S48" s="3047"/>
      <c r="T48" s="3047" t="e">
        <f>IF(E1="售价",ROUND(PRODUCT(T47,AB7:AB46),0),ROUND(PRODUCT(T47,AB7:AB46),1))</f>
        <v>#DIV/0!</v>
      </c>
      <c r="U48" s="3047"/>
      <c r="V48" s="3047" t="e">
        <f>IF(E1="售价",ROUND(PRODUCT(V47,AC7:AC46),0),ROUND(PRODUCT(V47,AC7:AC46),1))</f>
        <v>#DIV/0!</v>
      </c>
      <c r="W48" s="304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2" t="str">
        <f>A49</f>
        <v>估价对象XX用房的比较价值（楼面单价，元/平方米）</v>
      </c>
      <c r="Q49" s="3053"/>
      <c r="R49" s="3054" t="e">
        <f>IF(E1="售价",ROUND(AVERAGE(R48:V48),0),ROUND(AVERAGE(R48:V48),1))</f>
        <v>#DIV/0!</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209.06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59" t="s">
        <v>2347</v>
      </c>
      <c r="Q4" s="3015"/>
      <c r="R4" s="3020" t="s">
        <v>2343</v>
      </c>
      <c r="S4" s="3021"/>
      <c r="T4" s="3020" t="s">
        <v>2344</v>
      </c>
      <c r="U4" s="3021"/>
      <c r="V4" s="3026" t="s">
        <v>2345</v>
      </c>
      <c r="W4" s="3026"/>
      <c r="X4" s="1900"/>
      <c r="Y4" s="3020" t="s">
        <v>2347</v>
      </c>
      <c r="Z4" s="3021"/>
      <c r="AA4" s="3007" t="s">
        <v>2343</v>
      </c>
      <c r="AB4" s="3007"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60"/>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61"/>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4"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2358</v>
      </c>
      <c r="Q8" s="3043"/>
      <c r="R8" s="749" t="s">
        <v>25</v>
      </c>
      <c r="S8" s="750">
        <f t="shared" si="0"/>
        <v>0</v>
      </c>
      <c r="T8" s="749" t="s">
        <v>25</v>
      </c>
      <c r="U8" s="750">
        <f t="shared" si="1"/>
        <v>0</v>
      </c>
      <c r="V8" s="749" t="s">
        <v>25</v>
      </c>
      <c r="W8" s="750">
        <f t="shared" si="2"/>
        <v>0</v>
      </c>
      <c r="X8" s="751"/>
      <c r="Y8" s="3042" t="s">
        <v>2358</v>
      </c>
      <c r="Z8" s="304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3"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2366</v>
      </c>
      <c r="Q15" s="1899" t="str">
        <f t="shared" si="6"/>
        <v>办公集聚程度</v>
      </c>
      <c r="R15" s="753" t="s">
        <v>25</v>
      </c>
      <c r="S15" s="754">
        <f t="shared" si="0"/>
        <v>100</v>
      </c>
      <c r="T15" s="753" t="s">
        <v>25</v>
      </c>
      <c r="U15" s="754">
        <f t="shared" si="1"/>
        <v>100</v>
      </c>
      <c r="V15" s="753" t="s">
        <v>25</v>
      </c>
      <c r="W15" s="754">
        <f t="shared" si="2"/>
        <v>100</v>
      </c>
      <c r="X15" s="1900"/>
      <c r="Y15" s="3035"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7"/>
      <c r="Q16" s="1899"/>
      <c r="R16" s="753"/>
      <c r="S16" s="754"/>
      <c r="T16" s="753"/>
      <c r="U16" s="754"/>
      <c r="V16" s="753"/>
      <c r="W16" s="754"/>
      <c r="X16" s="1900"/>
      <c r="Y16" s="3036"/>
      <c r="Z16" s="1902"/>
      <c r="AA16" s="1903">
        <v>1</v>
      </c>
      <c r="AB16" s="1903">
        <v>1</v>
      </c>
      <c r="AC16" s="1903">
        <v>1</v>
      </c>
    </row>
    <row r="17" spans="1:29" ht="57">
      <c r="A17" s="408"/>
      <c r="B17" s="615" t="s">
        <v>1750</v>
      </c>
      <c r="C17" s="2469" t="str">
        <f>估价对象房地状况!C6</f>
        <v>周边有411路、457路、657路等多条公交线路，交通便捷度一般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7"/>
      <c r="Q18" s="1899"/>
      <c r="R18" s="753"/>
      <c r="S18" s="754"/>
      <c r="T18" s="753"/>
      <c r="U18" s="754"/>
      <c r="V18" s="753"/>
      <c r="W18" s="754"/>
      <c r="X18" s="1900"/>
      <c r="Y18" s="3036"/>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7"/>
      <c r="Q20" s="1899"/>
      <c r="R20" s="753"/>
      <c r="S20" s="754"/>
      <c r="T20" s="753"/>
      <c r="U20" s="754"/>
      <c r="V20" s="753"/>
      <c r="W20" s="754"/>
      <c r="X20" s="1900"/>
      <c r="Y20" s="3036"/>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7"/>
      <c r="Q22" s="1899"/>
      <c r="R22" s="753"/>
      <c r="S22" s="754"/>
      <c r="T22" s="753"/>
      <c r="U22" s="754"/>
      <c r="V22" s="753"/>
      <c r="W22" s="754"/>
      <c r="X22" s="1900"/>
      <c r="Y22" s="3036"/>
      <c r="Z22" s="1902"/>
      <c r="AA22" s="1903">
        <v>1</v>
      </c>
      <c r="AB22" s="1903">
        <v>1</v>
      </c>
      <c r="AC22" s="1903">
        <v>1</v>
      </c>
    </row>
    <row r="23" spans="1:29" ht="99.75">
      <c r="A23" s="408"/>
      <c r="B23" s="615" t="s">
        <v>2483</v>
      </c>
      <c r="C23" s="2469" t="str">
        <f>估价对象房地状况!C9</f>
        <v>自然环境：红军公园、狼各庄村休闲公园、富力又一城公园等公园；人文环境：无；综合评价环境状况一般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7"/>
      <c r="Q24" s="1899"/>
      <c r="R24" s="753"/>
      <c r="S24" s="754"/>
      <c r="T24" s="753"/>
      <c r="U24" s="754"/>
      <c r="V24" s="753"/>
      <c r="W24" s="754"/>
      <c r="X24" s="1900"/>
      <c r="Y24" s="3036"/>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7"/>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7"/>
      <c r="Q26" s="1899"/>
      <c r="R26" s="753"/>
      <c r="S26" s="754"/>
      <c r="T26" s="753"/>
      <c r="U26" s="754"/>
      <c r="V26" s="753"/>
      <c r="W26" s="754"/>
      <c r="X26" s="1900"/>
      <c r="Y26" s="3036"/>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7"/>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2" t="s">
        <v>2372</v>
      </c>
      <c r="Q33" s="1899" t="str">
        <f t="shared" si="11"/>
        <v>建筑类型</v>
      </c>
      <c r="R33" s="753" t="s">
        <v>25</v>
      </c>
      <c r="S33" s="754">
        <f t="shared" si="12"/>
        <v>100</v>
      </c>
      <c r="T33" s="753" t="s">
        <v>25</v>
      </c>
      <c r="U33" s="754">
        <f t="shared" si="13"/>
        <v>100</v>
      </c>
      <c r="V33" s="753" t="s">
        <v>25</v>
      </c>
      <c r="W33" s="754">
        <f t="shared" si="14"/>
        <v>100</v>
      </c>
      <c r="X33" s="1900"/>
      <c r="Y33" s="3040"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2372</v>
      </c>
      <c r="Q39" s="1899" t="str">
        <f t="shared" si="11"/>
        <v>物业管理</v>
      </c>
      <c r="R39" s="753" t="s">
        <v>25</v>
      </c>
      <c r="S39" s="754">
        <f t="shared" si="12"/>
        <v>100</v>
      </c>
      <c r="T39" s="753" t="s">
        <v>25</v>
      </c>
      <c r="U39" s="754">
        <f t="shared" si="13"/>
        <v>100</v>
      </c>
      <c r="V39" s="753" t="s">
        <v>25</v>
      </c>
      <c r="W39" s="754">
        <f t="shared" si="14"/>
        <v>100</v>
      </c>
      <c r="X39" s="1900"/>
      <c r="Y39" s="3040"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3" t="str">
        <f>A48</f>
        <v>成交单价（元/平方米）</v>
      </c>
      <c r="Q48" s="3046"/>
      <c r="R48" s="3047">
        <f>E48</f>
        <v>0</v>
      </c>
      <c r="S48" s="3047"/>
      <c r="T48" s="3047">
        <f>G48</f>
        <v>0</v>
      </c>
      <c r="U48" s="3047"/>
      <c r="V48" s="3047">
        <f>I48</f>
        <v>0</v>
      </c>
      <c r="W48" s="304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3" t="str">
        <f>A49</f>
        <v>比较价值（元/平方米）</v>
      </c>
      <c r="Q49" s="3046"/>
      <c r="R49" s="3047" t="e">
        <f>IF(E1="售价",ROUND(PRODUCT(R48,AA7:AA47),0),ROUND(PRODUCT(R48,AA7:AA47),1))</f>
        <v>#DIV/0!</v>
      </c>
      <c r="S49" s="3047"/>
      <c r="T49" s="3047" t="e">
        <f>IF(E1="售价",ROUND(PRODUCT(T48,AB7:AB47),0),ROUND(PRODUCT(T48,AB7:AB47),1))</f>
        <v>#DIV/0!</v>
      </c>
      <c r="U49" s="3047"/>
      <c r="V49" s="3047" t="e">
        <f>IF(E1="售价",ROUND(PRODUCT(V48,AC7:AC47),0),ROUND(PRODUCT(V48,AC7:AC47),1))</f>
        <v>#DIV/0!</v>
      </c>
      <c r="W49" s="304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53"/>
      <c r="R50" s="3054" t="e">
        <f>IF(E1="售价",ROUND(AVERAGE(R49:V49),0),ROUND(AVERAGE(R49:V49),1))</f>
        <v>#DIV/0!</v>
      </c>
      <c r="S50" s="3054"/>
      <c r="T50" s="3054"/>
      <c r="U50" s="3054"/>
      <c r="V50" s="3054"/>
      <c r="W50" s="305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2358</v>
      </c>
      <c r="Q8" s="3043"/>
      <c r="R8" s="749" t="s">
        <v>25</v>
      </c>
      <c r="S8" s="750">
        <f t="shared" si="0"/>
        <v>100</v>
      </c>
      <c r="T8" s="749" t="s">
        <v>25</v>
      </c>
      <c r="U8" s="750">
        <f t="shared" si="1"/>
        <v>100</v>
      </c>
      <c r="V8" s="749" t="s">
        <v>25</v>
      </c>
      <c r="W8" s="750">
        <f t="shared" si="2"/>
        <v>100</v>
      </c>
      <c r="X8" s="751"/>
      <c r="Y8" s="3042" t="s">
        <v>2358</v>
      </c>
      <c r="Z8" s="304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40"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2372</v>
      </c>
      <c r="Q35" s="1899" t="str">
        <f t="shared" si="11"/>
        <v>市政基础设施</v>
      </c>
      <c r="R35" s="753" t="s">
        <v>25</v>
      </c>
      <c r="S35" s="754">
        <f t="shared" si="12"/>
        <v>100</v>
      </c>
      <c r="T35" s="753" t="s">
        <v>25</v>
      </c>
      <c r="U35" s="754">
        <f t="shared" si="13"/>
        <v>100</v>
      </c>
      <c r="V35" s="753" t="s">
        <v>25</v>
      </c>
      <c r="W35" s="754">
        <f t="shared" si="14"/>
        <v>100</v>
      </c>
      <c r="X35" s="1900"/>
      <c r="Y35" s="3040"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6" t="str">
        <f>A41</f>
        <v>成交单价（元/平方米）</v>
      </c>
      <c r="Q41" s="3046"/>
      <c r="R41" s="3047">
        <f>E41</f>
        <v>0</v>
      </c>
      <c r="S41" s="3047"/>
      <c r="T41" s="3047">
        <f>G41</f>
        <v>0</v>
      </c>
      <c r="U41" s="3047"/>
      <c r="V41" s="3047">
        <f>I41</f>
        <v>0</v>
      </c>
      <c r="W41" s="304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6" t="str">
        <f>A42</f>
        <v>比较价值（元/平方米）</v>
      </c>
      <c r="Q42" s="3046"/>
      <c r="R42" s="3047" t="e">
        <f>IF(E1="售价",ROUND(PRODUCT(R41,AA7:AA40),0),ROUND(PRODUCT(R41,AA7:AA40),1))</f>
        <v>#DIV/0!</v>
      </c>
      <c r="S42" s="3047"/>
      <c r="T42" s="3047" t="e">
        <f>IF(E1="售价",ROUND(PRODUCT(T41,AB7:AB40),0),ROUND(PRODUCT(T41,AB7:AB40),1))</f>
        <v>#DIV/0!</v>
      </c>
      <c r="U42" s="3047"/>
      <c r="V42" s="3047" t="e">
        <f>IF(E1="售价",ROUND(PRODUCT(V41,AC7:AC40),0),ROUND(PRODUCT(V41,AC7:AC40),1))</f>
        <v>#DIV/0!</v>
      </c>
      <c r="W42" s="304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2" t="str">
        <f>A43</f>
        <v>估价对象XX用房的比较价值（楼面单价，元/平方米）</v>
      </c>
      <c r="Q43" s="3053"/>
      <c r="R43" s="3054" t="e">
        <f>IF(E1="售价",ROUND(AVERAGE(R42:V42),0),ROUND(AVERAGE(R42:V42),1))</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209.06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514"/>
      <c r="M4" s="425"/>
      <c r="N4" s="425"/>
      <c r="O4" s="425"/>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514"/>
      <c r="M5" s="425"/>
      <c r="N5" s="425"/>
      <c r="O5" s="425"/>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514"/>
      <c r="M6" s="425"/>
      <c r="N6" s="425"/>
      <c r="O6" s="425"/>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2355</v>
      </c>
      <c r="Q7" s="3044"/>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2358</v>
      </c>
      <c r="Q8" s="3043"/>
      <c r="R8" s="749" t="s">
        <v>25</v>
      </c>
      <c r="S8" s="750">
        <f t="shared" si="0"/>
        <v>0</v>
      </c>
      <c r="T8" s="749" t="s">
        <v>25</v>
      </c>
      <c r="U8" s="750">
        <f t="shared" si="1"/>
        <v>0</v>
      </c>
      <c r="V8" s="749" t="s">
        <v>25</v>
      </c>
      <c r="W8" s="750">
        <f t="shared" si="2"/>
        <v>0</v>
      </c>
      <c r="X8" s="751"/>
      <c r="Y8" s="3042" t="s">
        <v>2358</v>
      </c>
      <c r="Z8" s="304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6"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57">
      <c r="A14" s="380" t="s">
        <v>2365</v>
      </c>
      <c r="B14" s="613" t="s">
        <v>2509</v>
      </c>
      <c r="C14" s="1480" t="str">
        <f>IF(B1="工业",估价对象房地状况!G4,估价对象房地状况!C6)</f>
        <v>周边有411路、457路、657路等多条公交线路，交通便捷度一般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6"/>
      <c r="Q15" s="1899"/>
      <c r="R15" s="753"/>
      <c r="S15" s="754"/>
      <c r="T15" s="753"/>
      <c r="U15" s="754"/>
      <c r="V15" s="753"/>
      <c r="W15" s="754"/>
      <c r="X15" s="1900"/>
      <c r="Y15" s="3036"/>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6"/>
      <c r="Q17" s="1899"/>
      <c r="R17" s="753"/>
      <c r="S17" s="754"/>
      <c r="T17" s="753"/>
      <c r="U17" s="754"/>
      <c r="V17" s="753"/>
      <c r="W17" s="754"/>
      <c r="X17" s="1900"/>
      <c r="Y17" s="3036"/>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6"/>
      <c r="Q19" s="1899"/>
      <c r="R19" s="753"/>
      <c r="S19" s="754"/>
      <c r="T19" s="753"/>
      <c r="U19" s="754"/>
      <c r="V19" s="753"/>
      <c r="W19" s="754"/>
      <c r="X19" s="1900"/>
      <c r="Y19" s="3036"/>
      <c r="Z19" s="1902"/>
      <c r="AA19" s="1903">
        <v>1</v>
      </c>
      <c r="AB19" s="1903">
        <v>1</v>
      </c>
      <c r="AC19" s="1903">
        <v>1</v>
      </c>
    </row>
    <row r="20" spans="1:29" ht="99.75">
      <c r="A20" s="383"/>
      <c r="B20" s="615" t="s">
        <v>2510</v>
      </c>
      <c r="C20" s="1482" t="str">
        <f>IF(B1="工业",估价对象房地状况!G7,估价对象房地状况!C9)</f>
        <v>自然环境：红军公园、狼各庄村休闲公园、富力又一城公园等公园；人文环境：无；综合评价环境状况一般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0" t="s">
        <v>2372</v>
      </c>
      <c r="Q32" s="1899" t="str">
        <f t="shared" si="11"/>
        <v>车位类型</v>
      </c>
      <c r="R32" s="753" t="s">
        <v>25</v>
      </c>
      <c r="S32" s="754">
        <f t="shared" si="12"/>
        <v>100</v>
      </c>
      <c r="T32" s="753" t="s">
        <v>25</v>
      </c>
      <c r="U32" s="754">
        <f t="shared" si="13"/>
        <v>100</v>
      </c>
      <c r="V32" s="753" t="s">
        <v>25</v>
      </c>
      <c r="W32" s="754">
        <f t="shared" si="14"/>
        <v>100</v>
      </c>
      <c r="X32" s="1900"/>
      <c r="Y32" s="3040"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6" t="str">
        <f>A37</f>
        <v>成交单价</v>
      </c>
      <c r="Q37" s="3046"/>
      <c r="R37" s="3047">
        <f>E37</f>
        <v>0</v>
      </c>
      <c r="S37" s="3047"/>
      <c r="T37" s="3047">
        <f>G37</f>
        <v>0</v>
      </c>
      <c r="U37" s="3047"/>
      <c r="V37" s="3047">
        <f>I37</f>
        <v>0</v>
      </c>
      <c r="W37" s="304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6" t="str">
        <f>A38</f>
        <v>比较价值</v>
      </c>
      <c r="Q38" s="3046"/>
      <c r="R38" s="3047" t="e">
        <f>IF(E1="售价",ROUND(PRODUCT(R37,AA7:AA36),0),ROUND(PRODUCT(R37,AA7:AA36),1))</f>
        <v>#DIV/0!</v>
      </c>
      <c r="S38" s="3047"/>
      <c r="T38" s="3047" t="e">
        <f>IF(E1="售价",ROUND(PRODUCT(T37,AB7:AB36),0),ROUND(PRODUCT(T37,AB7:AB36),1))</f>
        <v>#DIV/0!</v>
      </c>
      <c r="U38" s="3047"/>
      <c r="V38" s="3047" t="e">
        <f>IF(E1="售价",ROUND(PRODUCT(V37,AC7:AC36),0),ROUND(PRODUCT(V37,AC7:AC36),1))</f>
        <v>#DIV/0!</v>
      </c>
      <c r="W38" s="304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2" t="str">
        <f>A39</f>
        <v>估价对象XX用房的比较价值（楼面单价，元/平方米）</v>
      </c>
      <c r="Q39" s="3053"/>
      <c r="R39" s="3054" t="e">
        <f>IF(E1="售价",ROUND(AVERAGE(R38:V38),0),ROUND(AVERAGE(R38:V38),1))</f>
        <v>#DIV/0!</v>
      </c>
      <c r="S39" s="3054"/>
      <c r="T39" s="3054"/>
      <c r="U39" s="3054"/>
      <c r="V39" s="3054"/>
      <c r="W39" s="305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2" t="s">
        <v>2355</v>
      </c>
      <c r="Q7" s="3044"/>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6"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57">
      <c r="A14" s="419" t="s">
        <v>2365</v>
      </c>
      <c r="B14" s="26" t="s">
        <v>2509</v>
      </c>
      <c r="C14" s="2480" t="str">
        <f>IF(B1="工业",估价对象房地状况!G4,估价对象房地状况!C6)</f>
        <v>周边有411路、457路、657路等多条公交线路，交通便捷度一般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6"/>
      <c r="Q19" s="1899"/>
      <c r="R19" s="753"/>
      <c r="S19" s="754"/>
      <c r="T19" s="753"/>
      <c r="U19" s="754"/>
      <c r="V19" s="753"/>
      <c r="W19" s="754"/>
      <c r="X19" s="1900"/>
      <c r="Y19" s="3036"/>
      <c r="Z19" s="1902"/>
      <c r="AA19" s="1903">
        <v>1</v>
      </c>
      <c r="AB19" s="1903">
        <v>1</v>
      </c>
      <c r="AC19" s="1903">
        <v>1</v>
      </c>
    </row>
    <row r="20" spans="1:29" ht="99.75">
      <c r="A20" s="408"/>
      <c r="B20" s="431" t="s">
        <v>2510</v>
      </c>
      <c r="C20" s="2407" t="str">
        <f>IF(B1="工业",估价对象房地状况!G7,估价对象房地状况!C9)</f>
        <v>自然环境：红军公园、狼各庄村休闲公园、富力又一城公园等公园；人文环境：无；综合评价环境状况一般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2372</v>
      </c>
      <c r="Q32" s="1899">
        <f t="shared" si="11"/>
        <v>111</v>
      </c>
      <c r="R32" s="753" t="s">
        <v>25</v>
      </c>
      <c r="S32" s="754">
        <f t="shared" si="12"/>
        <v>100</v>
      </c>
      <c r="T32" s="753" t="s">
        <v>25</v>
      </c>
      <c r="U32" s="754">
        <f t="shared" si="13"/>
        <v>100</v>
      </c>
      <c r="V32" s="753" t="s">
        <v>25</v>
      </c>
      <c r="W32" s="754">
        <f t="shared" si="14"/>
        <v>100</v>
      </c>
      <c r="X32" s="1900"/>
      <c r="Y32" s="3040"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6" t="str">
        <f>A35</f>
        <v>成交单价（元/平方米）</v>
      </c>
      <c r="Q35" s="3046"/>
      <c r="R35" s="3047">
        <f>E35</f>
        <v>0</v>
      </c>
      <c r="S35" s="3047"/>
      <c r="T35" s="3047">
        <f>G35</f>
        <v>0</v>
      </c>
      <c r="U35" s="3047"/>
      <c r="V35" s="3047">
        <f>I35</f>
        <v>0</v>
      </c>
      <c r="W35" s="304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6" t="str">
        <f>A36</f>
        <v>比较价值（元/平方米）</v>
      </c>
      <c r="Q36" s="3046"/>
      <c r="R36" s="3047" t="e">
        <f>IF(E1="售价",ROUND(PRODUCT(R35,AA7:AA34),0),ROUND(PRODUCT(R35,AA7:AA34),1))</f>
        <v>#DIV/0!</v>
      </c>
      <c r="S36" s="3047"/>
      <c r="T36" s="3047" t="e">
        <f>IF(E1="售价",ROUND(PRODUCT(T35,AB7:AB34),0),ROUND(PRODUCT(T35,AB7:AB34),1))</f>
        <v>#DIV/0!</v>
      </c>
      <c r="U36" s="3047"/>
      <c r="V36" s="3047" t="e">
        <f>IF(E1="售价",ROUND(PRODUCT(V35,AC7:AC34),0),ROUND(PRODUCT(V35,AC7:AC34),1))</f>
        <v>#DIV/0!</v>
      </c>
      <c r="W36" s="304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2" t="str">
        <f>A37</f>
        <v>估价对象XX用房的比较价值（楼面单价，元/平方米）</v>
      </c>
      <c r="Q37" s="3053"/>
      <c r="R37" s="3054" t="e">
        <f>IF(E1="售价",ROUND(AVERAGE(R36:V36),0),ROUND(AVERAGE(R36:V36),1))</f>
        <v>#DIV/0!</v>
      </c>
      <c r="S37" s="3054"/>
      <c r="T37" s="3054"/>
      <c r="U37" s="3054"/>
      <c r="V37" s="3054"/>
      <c r="W37" s="305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30"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30"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6"/>
      <c r="Q10" s="1887" t="str">
        <f t="shared" si="6"/>
        <v>土地使用年限（年）</v>
      </c>
      <c r="R10" s="749" t="s">
        <v>25</v>
      </c>
      <c r="S10" s="750">
        <f t="shared" si="0"/>
        <v>105</v>
      </c>
      <c r="T10" s="749" t="s">
        <v>25</v>
      </c>
      <c r="U10" s="750">
        <f t="shared" si="1"/>
        <v>105</v>
      </c>
      <c r="V10" s="749" t="s">
        <v>25</v>
      </c>
      <c r="W10" s="750">
        <f t="shared" si="2"/>
        <v>105</v>
      </c>
      <c r="X10" s="751"/>
      <c r="Y10" s="2844"/>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6"/>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71.25">
      <c r="A15" s="380" t="s">
        <v>2365</v>
      </c>
      <c r="B15" s="1487" t="s">
        <v>1741</v>
      </c>
      <c r="C15" s="2468" t="str">
        <f>估价对象房地状况!C15</f>
        <v>估价对象周边有朝丰家园、富力又一城等住宅小区，居住社区成熟度一般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2366</v>
      </c>
      <c r="Q15" s="1899" t="str">
        <f t="shared" si="6"/>
        <v>居住社区成熟度</v>
      </c>
      <c r="R15" s="753" t="s">
        <v>25</v>
      </c>
      <c r="S15" s="754">
        <f t="shared" si="0"/>
        <v>100</v>
      </c>
      <c r="T15" s="753" t="s">
        <v>25</v>
      </c>
      <c r="U15" s="754">
        <f t="shared" si="1"/>
        <v>100</v>
      </c>
      <c r="V15" s="753" t="s">
        <v>25</v>
      </c>
      <c r="W15" s="754">
        <f t="shared" si="2"/>
        <v>100</v>
      </c>
      <c r="X15" s="1900"/>
      <c r="Y15" s="3035"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57">
      <c r="A21" s="383"/>
      <c r="B21" s="1489" t="s">
        <v>2509</v>
      </c>
      <c r="C21" s="2469" t="str">
        <f>估价对象房地状况!C18</f>
        <v>周边有411路、457路、657路等多条公交线路，交通便捷度一般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6"/>
      <c r="Q24" s="1899"/>
      <c r="R24" s="753"/>
      <c r="S24" s="754"/>
      <c r="T24" s="753"/>
      <c r="U24" s="754"/>
      <c r="V24" s="753"/>
      <c r="W24" s="754"/>
      <c r="X24" s="1900"/>
      <c r="Y24" s="3036"/>
      <c r="Z24" s="1902"/>
      <c r="AA24" s="1903"/>
      <c r="AB24" s="1903"/>
      <c r="AC24" s="1903"/>
    </row>
    <row r="25" spans="1:29" ht="99.75">
      <c r="A25" s="383"/>
      <c r="B25" s="1491" t="s">
        <v>2550</v>
      </c>
      <c r="C25" s="2486" t="str">
        <f>估价对象房地状况!C20</f>
        <v>自然环境：红军公园、狼各庄村休闲公园、富力又一城公园等公园；人文环境：无；综合评价环境状况一般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40"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0" t="s">
        <v>2372</v>
      </c>
      <c r="Q42" s="1899" t="str">
        <f t="shared" si="14"/>
        <v>工程地质条件</v>
      </c>
      <c r="R42" s="753" t="s">
        <v>25</v>
      </c>
      <c r="S42" s="754">
        <f t="shared" si="10"/>
        <v>100</v>
      </c>
      <c r="T42" s="753" t="s">
        <v>25</v>
      </c>
      <c r="U42" s="754">
        <f t="shared" si="11"/>
        <v>100</v>
      </c>
      <c r="V42" s="753" t="s">
        <v>25</v>
      </c>
      <c r="W42" s="754">
        <f t="shared" si="12"/>
        <v>100</v>
      </c>
      <c r="X42" s="1900"/>
      <c r="Y42" s="3040"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6" t="str">
        <f>A46</f>
        <v>成交单价</v>
      </c>
      <c r="Q46" s="3046"/>
      <c r="R46" s="3026">
        <f>E46</f>
        <v>0</v>
      </c>
      <c r="S46" s="3026"/>
      <c r="T46" s="3026">
        <f>G46</f>
        <v>0</v>
      </c>
      <c r="U46" s="3026"/>
      <c r="V46" s="3026">
        <f>I46</f>
        <v>0</v>
      </c>
      <c r="W46" s="302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6" t="str">
        <f>A47</f>
        <v>比较价值（元/平方米）</v>
      </c>
      <c r="Q47" s="3046"/>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2" t="str">
        <f>A48</f>
        <v>估价对象XX用房的比较价值（楼面单价，元/平方米）</v>
      </c>
      <c r="Q48" s="3053"/>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5" t="s">
        <v>2348</v>
      </c>
      <c r="D5" s="3056"/>
      <c r="E5" s="3057" t="s">
        <v>2349</v>
      </c>
      <c r="F5" s="3058"/>
      <c r="G5" s="3055" t="s">
        <v>2350</v>
      </c>
      <c r="H5" s="3056"/>
      <c r="I5" s="3055" t="s">
        <v>2351</v>
      </c>
      <c r="J5" s="3056"/>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
        <v>2352</v>
      </c>
      <c r="D6" s="3032"/>
      <c r="E6" s="3033" t="s">
        <v>2352</v>
      </c>
      <c r="F6" s="3034"/>
      <c r="G6" s="3031" t="s">
        <v>2352</v>
      </c>
      <c r="H6" s="3032"/>
      <c r="I6" s="3031" t="s">
        <v>2352</v>
      </c>
      <c r="J6" s="3032"/>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2" t="s">
        <v>2355</v>
      </c>
      <c r="Q7" s="3044"/>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6"/>
      <c r="Q10" s="1887" t="str">
        <f t="shared" si="6"/>
        <v>土地使用年限（年）</v>
      </c>
      <c r="R10" s="749" t="s">
        <v>25</v>
      </c>
      <c r="S10" s="750">
        <f t="shared" si="0"/>
        <v>105</v>
      </c>
      <c r="T10" s="749" t="s">
        <v>25</v>
      </c>
      <c r="U10" s="750">
        <f t="shared" si="1"/>
        <v>105</v>
      </c>
      <c r="V10" s="749" t="s">
        <v>25</v>
      </c>
      <c r="W10" s="750">
        <f t="shared" si="2"/>
        <v>105</v>
      </c>
      <c r="X10" s="751"/>
      <c r="Y10" s="2844"/>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40"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0" t="s">
        <v>2372</v>
      </c>
      <c r="Q37" s="1899" t="str">
        <f t="shared" si="14"/>
        <v>工程地质条件</v>
      </c>
      <c r="R37" s="753" t="s">
        <v>25</v>
      </c>
      <c r="S37" s="754">
        <f t="shared" si="10"/>
        <v>100</v>
      </c>
      <c r="T37" s="753" t="s">
        <v>25</v>
      </c>
      <c r="U37" s="754">
        <f t="shared" si="11"/>
        <v>100</v>
      </c>
      <c r="V37" s="753" t="s">
        <v>25</v>
      </c>
      <c r="W37" s="754">
        <f t="shared" si="12"/>
        <v>100</v>
      </c>
      <c r="X37" s="1900"/>
      <c r="Y37" s="3040"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6" t="str">
        <f>A41</f>
        <v>成交单价</v>
      </c>
      <c r="Q41" s="3046"/>
      <c r="R41" s="3026">
        <f>E41</f>
        <v>0</v>
      </c>
      <c r="S41" s="3026"/>
      <c r="T41" s="3026">
        <f>G41</f>
        <v>0</v>
      </c>
      <c r="U41" s="3026"/>
      <c r="V41" s="3026">
        <f>I41</f>
        <v>0</v>
      </c>
      <c r="W41" s="302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6" t="str">
        <f>A42</f>
        <v>比较价值（元/平方米）</v>
      </c>
      <c r="Q42" s="3046"/>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2" t="str">
        <f>A43</f>
        <v>估价对象XX用房的比较价值（楼面单价，元/平方米）</v>
      </c>
      <c r="Q43" s="3053"/>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209.06</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2885</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69"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0"/>
      <c r="B8" s="115" t="s">
        <v>2631</v>
      </c>
      <c r="C8" s="2540" t="s">
        <v>2886</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2" t="s">
        <v>2634</v>
      </c>
      <c r="X8" s="308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0"/>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0"/>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0"/>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4"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9">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9"/>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4"/>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89"/>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0"/>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9">
        <f>IF(E2="办公",2,IF(E2="工业",2,IF(E2="住宅",3,IF(E2="商业",IF(C8="不临58条商业街",2,3)))))</f>
        <v>3</v>
      </c>
      <c r="B16" s="2535" t="s">
        <v>2680</v>
      </c>
      <c r="C16" s="1885">
        <f>ROUND(SUM(G17:J17)/C17,0)</f>
        <v>44</v>
      </c>
      <c r="D16" s="2570" t="s">
        <v>2681</v>
      </c>
      <c r="E16" s="2571" t="s">
        <v>2887</v>
      </c>
      <c r="F16" s="2572" t="s">
        <v>2888</v>
      </c>
      <c r="G16" s="2573" t="s">
        <v>2890</v>
      </c>
      <c r="H16" s="2573" t="s">
        <v>2889</v>
      </c>
      <c r="I16" s="2573" t="s">
        <v>2891</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0"/>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43207</v>
      </c>
      <c r="H19" s="2587" t="s">
        <v>2892</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0.9667</v>
      </c>
      <c r="D20" s="2594" t="s">
        <v>2697</v>
      </c>
      <c r="E20" s="1856">
        <f ca="1">存贷款利率!D4/100</f>
        <v>4.3499999999999997E-2</v>
      </c>
      <c r="F20" s="2594" t="s">
        <v>2686</v>
      </c>
      <c r="G20" s="963">
        <f ca="1">SUMIF(M15:P15,E2,M17:P17)</f>
        <v>0.05</v>
      </c>
      <c r="H20" s="2594" t="s">
        <v>2698</v>
      </c>
      <c r="I20" s="964">
        <f>'数据-取费表'!B13</f>
        <v>56</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209.06</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9"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0"/>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0"/>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1"/>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38.25" hidden="1">
      <c r="A49" s="2671" t="s">
        <v>2758</v>
      </c>
      <c r="B49" s="2675" t="str">
        <f>估价对象房地状况!C18</f>
        <v>周边有411路、457路、657路等多条公交线路，交通便捷度一般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项目临近万通路，为城市支路</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hidden="1" thickBot="1">
      <c r="A56" s="2680" t="s">
        <v>2767</v>
      </c>
      <c r="B56" s="2681" t="str">
        <f>估价对象房地状况!C20</f>
        <v>自然环境：红军公园、狼各庄村休闲公园、富力又一城公园等公园；人文环境：无；综合评价环境状况一般</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38.25" hidden="1">
      <c r="A60" s="2671" t="s">
        <v>2758</v>
      </c>
      <c r="B60" s="2675" t="str">
        <f>估价对象房地状况!C18</f>
        <v>周边有411路、457路、657路等多条公交线路，交通便捷度一般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项目临近万通路，为城市支路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hidden="1" thickBot="1">
      <c r="A67" s="2680" t="s">
        <v>2767</v>
      </c>
      <c r="B67" s="2683" t="str">
        <f>估价对象房地状况!C20</f>
        <v>自然环境：红军公园、狼各庄村休闲公园、富力又一城公园等公园；人文环境：无；综合评价环境状况一般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2774</v>
      </c>
      <c r="B70" s="2674" t="str">
        <f>估价对象房地状况!C15</f>
        <v>估价对象周边有朝丰家园、富力又一城等住宅小区，居住社区成熟度一般</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38.25">
      <c r="A71" s="2671" t="s">
        <v>2758</v>
      </c>
      <c r="B71" s="2675" t="str">
        <f>估价对象房地状况!C18</f>
        <v>周边有411路、457路、657路等多条公交线路，交通便捷度一般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项目临近万通路，为城市支路</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63.75">
      <c r="A77" s="2671" t="s">
        <v>2767</v>
      </c>
      <c r="B77" s="2674" t="str">
        <f>估价对象房地状况!C20</f>
        <v>自然环境：红军公园、狼各庄村休闲公园、富力又一城公园等公园；人文环境：无；综合评价环境状况一般</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1" t="s">
        <v>2780</v>
      </c>
      <c r="B90" s="3071"/>
      <c r="C90" s="3071"/>
      <c r="D90" s="3071"/>
      <c r="E90" s="3071"/>
      <c r="F90" s="3071"/>
      <c r="G90" s="3071"/>
      <c r="H90" s="3071"/>
      <c r="I90" s="3071"/>
      <c r="J90" s="3071"/>
      <c r="K90" s="2688"/>
      <c r="L90" s="2688"/>
      <c r="M90" s="2688"/>
      <c r="N90" s="2688"/>
    </row>
    <row r="91" spans="1:37">
      <c r="A91" s="3073" t="s">
        <v>2781</v>
      </c>
      <c r="B91" s="3073" t="s">
        <v>2782</v>
      </c>
      <c r="C91" s="2636" t="s">
        <v>2783</v>
      </c>
      <c r="D91" s="2637"/>
      <c r="E91" s="2637"/>
      <c r="F91" s="2637"/>
      <c r="G91" s="2637"/>
      <c r="H91" s="2637"/>
      <c r="I91" s="2637"/>
      <c r="J91" s="2689"/>
      <c r="K91" s="2690"/>
      <c r="L91" s="2690"/>
      <c r="M91" s="2690"/>
      <c r="N91" s="2690"/>
    </row>
    <row r="92" spans="1:37">
      <c r="A92" s="3073"/>
      <c r="B92" s="307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4"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5"/>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5"/>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5"/>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5"/>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5"/>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5"/>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6"/>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4"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5"/>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5"/>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5"/>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5"/>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5"/>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5"/>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5"/>
      <c r="B108" s="3077"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6"/>
      <c r="B109" s="3078"/>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2" t="s">
        <v>2788</v>
      </c>
      <c r="B110" s="3072"/>
      <c r="C110" s="3072"/>
      <c r="D110" s="3072"/>
      <c r="E110" s="3072"/>
      <c r="F110" s="3072"/>
      <c r="G110" s="3072"/>
      <c r="H110" s="3072"/>
      <c r="I110" s="3072"/>
      <c r="J110" s="3072"/>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490603</v>
      </c>
      <c r="C2" s="163" t="str">
        <f>'数据-取费表'!B3</f>
        <v>元</v>
      </c>
      <c r="D2" s="2333" t="s">
        <v>1255</v>
      </c>
      <c r="E2" s="1546">
        <f ca="1">SUMIF(INDIRECT("'"&amp;G2&amp;"'"&amp;"!A:A"),"承租人权益价值",INDIRECT("'"&amp;G2&amp;"'"&amp;"!c:c"))</f>
        <v>-6124402</v>
      </c>
      <c r="F2" s="2334" t="str">
        <f>C2</f>
        <v>元</v>
      </c>
      <c r="G2" s="1906" t="s">
        <v>2826</v>
      </c>
    </row>
    <row r="3" spans="1:7" s="164" customFormat="1" ht="18" customHeight="1" thickBot="1">
      <c r="A3" s="167" t="s">
        <v>2008</v>
      </c>
      <c r="B3" s="168">
        <f ca="1">ROUND(C52/IF(B1="仅计算典型户型",'数据-取费表'!E5,'数据-取费表'!B5),0)</f>
        <v>2347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2893</v>
      </c>
    </row>
    <row r="9" spans="1:7" s="175" customFormat="1" ht="13.5" customHeight="1">
      <c r="A9" s="1304" t="s">
        <v>954</v>
      </c>
      <c r="B9" s="181" t="s">
        <v>2022</v>
      </c>
      <c r="C9" s="1537">
        <f>ROUND(D9*E9,0)</f>
        <v>0</v>
      </c>
      <c r="D9" s="1538">
        <f>IF('数据-取费表'!B10="住宅",IF(B1="仅计算典型户型",'数据-取费表'!E5,'数据-取费表'!B5),0)</f>
        <v>209.06</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209.06</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453869</v>
      </c>
      <c r="D33" s="183"/>
      <c r="E33" s="1532"/>
      <c r="F33" s="191"/>
      <c r="G33" s="184"/>
    </row>
    <row r="34" spans="1:7" s="206" customFormat="1" ht="13.5" customHeight="1">
      <c r="A34" s="176" t="s">
        <v>2044</v>
      </c>
      <c r="B34" s="177" t="s">
        <v>2066</v>
      </c>
      <c r="C34" s="199">
        <f>IF(B1="仅计算典型户型",'数据-取费表'!F18,'数据-取费表'!E18)</f>
        <v>376308</v>
      </c>
      <c r="D34" s="1533"/>
      <c r="E34" s="199"/>
      <c r="F34" s="1544" t="str">
        <f>IF('数据-取费表'!B25=0,"",'数据-取费表'!E20)</f>
        <v/>
      </c>
      <c r="G34" s="179"/>
    </row>
    <row r="35" spans="1:7" ht="13.5" customHeight="1">
      <c r="A35" s="176" t="s">
        <v>2018</v>
      </c>
      <c r="B35" s="177" t="s">
        <v>2067</v>
      </c>
      <c r="C35" s="199">
        <f>ROUND(C34*F35,0)</f>
        <v>11289</v>
      </c>
      <c r="D35" s="199"/>
      <c r="E35" s="199"/>
      <c r="F35" s="1545">
        <f>'数据-取费表'!E21</f>
        <v>0.03</v>
      </c>
      <c r="G35" s="179" t="s">
        <v>2068</v>
      </c>
    </row>
    <row r="36" spans="1:7" ht="24">
      <c r="A36" s="176" t="s">
        <v>2020</v>
      </c>
      <c r="B36" s="177" t="s">
        <v>2069</v>
      </c>
      <c r="C36" s="199">
        <f>ROUND(IF('数据-取费表'!B10="住宅",C34*F36,0),0)</f>
        <v>18815</v>
      </c>
      <c r="D36" s="199"/>
      <c r="E36" s="199"/>
      <c r="F36" s="1545">
        <f>'数据-取费表'!E22</f>
        <v>0.05</v>
      </c>
      <c r="G36" s="207" t="s">
        <v>2070</v>
      </c>
    </row>
    <row r="37" spans="1:7" s="206" customFormat="1" ht="13.5" customHeight="1">
      <c r="A37" s="176" t="s">
        <v>2051</v>
      </c>
      <c r="B37" s="177" t="s">
        <v>2071</v>
      </c>
      <c r="C37" s="199">
        <f>ROUND(E37*D37,0)</f>
        <v>41812</v>
      </c>
      <c r="D37" s="1533">
        <f>IF(B1="仅计算典型户型",'数据-取费表'!E5,'数据-取费表'!B5)</f>
        <v>209.06</v>
      </c>
      <c r="E37" s="199">
        <f>'数据-取费表'!E23</f>
        <v>200</v>
      </c>
      <c r="F37" s="1545"/>
      <c r="G37" s="208" t="s">
        <v>2072</v>
      </c>
    </row>
    <row r="38" spans="1:7" ht="13.5" customHeight="1">
      <c r="A38" s="176" t="s">
        <v>2073</v>
      </c>
      <c r="B38" s="177" t="s">
        <v>2074</v>
      </c>
      <c r="C38" s="199">
        <f>ROUND(C34*F38,0)</f>
        <v>5645</v>
      </c>
      <c r="D38" s="199"/>
      <c r="E38" s="199"/>
      <c r="F38" s="1545">
        <f>'数据-取费表'!E24</f>
        <v>1.4999999999999999E-2</v>
      </c>
      <c r="G38" s="179" t="s">
        <v>2068</v>
      </c>
    </row>
    <row r="39" spans="1:7" s="175" customFormat="1" ht="13.5" customHeight="1">
      <c r="A39" s="204" t="s">
        <v>2033</v>
      </c>
      <c r="B39" s="173" t="s">
        <v>2036</v>
      </c>
      <c r="C39" s="183">
        <f>ROUND(C33*F20,0)</f>
        <v>9077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10069</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9872</v>
      </c>
      <c r="D42" s="188"/>
      <c r="E42" s="188"/>
      <c r="F42" s="189"/>
      <c r="G42" s="3091" t="s">
        <v>2078</v>
      </c>
    </row>
    <row r="43" spans="1:7" ht="13.5" customHeight="1">
      <c r="A43" s="176" t="s">
        <v>2018</v>
      </c>
      <c r="B43" s="177" t="s">
        <v>2047</v>
      </c>
      <c r="C43" s="188">
        <f ca="1">ROUND(IF('数据-取费表'!B23&lt;=1,C39*F22*'数据-取费表'!B22/2,C39*(POWER((1+F22),'数据-取费表'!B22/2)-1)),0)</f>
        <v>197</v>
      </c>
      <c r="D43" s="188"/>
      <c r="E43" s="188"/>
      <c r="F43" s="189"/>
      <c r="G43" s="3092"/>
    </row>
    <row r="44" spans="1:7" ht="13.5" customHeight="1">
      <c r="A44" s="176" t="s">
        <v>2020</v>
      </c>
      <c r="B44" s="177" t="s">
        <v>2049</v>
      </c>
      <c r="C44" s="188">
        <f ca="1">ROUND(IF('数据-取费表'!B23&lt;=1,C40*F22*'数据-取费表'!B22/2,C40*(POWER((1+F22),'数据-取费表'!B22/2)-1)),4)</f>
        <v>4.0000000000000002E-4</v>
      </c>
      <c r="D44" s="188"/>
      <c r="E44" s="188"/>
      <c r="F44" s="189"/>
      <c r="G44" s="3093"/>
    </row>
    <row r="45" spans="1:7" s="175" customFormat="1" ht="13.5" customHeight="1">
      <c r="A45" s="204" t="s">
        <v>2042</v>
      </c>
      <c r="B45" s="194" t="s">
        <v>2054</v>
      </c>
      <c r="C45" s="195">
        <f>C46</f>
        <v>92589</v>
      </c>
      <c r="D45" s="185">
        <f>C47</f>
        <v>4.0000000000000001E-3</v>
      </c>
      <c r="E45" s="186" t="s">
        <v>2076</v>
      </c>
      <c r="F45" s="196"/>
      <c r="G45" s="197" t="s">
        <v>2079</v>
      </c>
    </row>
    <row r="46" spans="1:7" s="175" customFormat="1" ht="13.5" customHeight="1">
      <c r="A46" s="176" t="s">
        <v>2044</v>
      </c>
      <c r="B46" s="198" t="s">
        <v>2080</v>
      </c>
      <c r="C46" s="199">
        <f>ROUND((C33+C39)*F27,0)</f>
        <v>92589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613254</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490603</v>
      </c>
      <c r="D51" s="183"/>
      <c r="E51" s="183"/>
      <c r="F51" s="210"/>
      <c r="G51" s="184" t="s">
        <v>2092</v>
      </c>
    </row>
    <row r="52" spans="1:7" s="172" customFormat="1" ht="16.5" thickBot="1">
      <c r="A52" s="211" t="s">
        <v>2093</v>
      </c>
      <c r="B52" s="212"/>
      <c r="C52" s="213">
        <f ca="1">C31+C51</f>
        <v>490603</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2912</v>
      </c>
      <c r="D4" s="2199" t="s">
        <v>2826</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12121926</v>
      </c>
      <c r="D19" s="60">
        <f ca="1">SUMIF(INDIRECT("'"&amp;D4&amp;"'"&amp;"!A:A"),结果表!B19,INDIRECT("'"&amp;D4&amp;"'"&amp;"!B:B"))</f>
        <v>5962712</v>
      </c>
      <c r="E19" s="2206" t="s">
        <v>1796</v>
      </c>
      <c r="F19" s="2207" t="s">
        <v>1795</v>
      </c>
      <c r="G19" s="61">
        <f ca="1">ROUND(C19*$C$18+D19*$D$18,0)</f>
        <v>10890083</v>
      </c>
      <c r="H19" s="2208" t="str">
        <f>'数据-取费表'!B3</f>
        <v>元</v>
      </c>
      <c r="I19" s="2195"/>
    </row>
    <row r="20" spans="1:35" ht="15">
      <c r="A20" s="2209"/>
      <c r="B20" s="2210" t="s">
        <v>1797</v>
      </c>
      <c r="C20" s="62">
        <f ca="1">SUMIF(INDIRECT("'"&amp;C4&amp;"'"&amp;"!A:A"),结果表!B20,INDIRECT("'"&amp;C4&amp;"'"&amp;"!B:B"))</f>
        <v>57983</v>
      </c>
      <c r="D20" s="63">
        <f ca="1">SUMIF(INDIRECT("'"&amp;D4&amp;"'"&amp;"!A:A"),结果表!B20,INDIRECT("'"&amp;D4&amp;"'"&amp;"!B:B"))</f>
        <v>28522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1.0329551385342777</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47820</v>
      </c>
      <c r="D34" s="1091">
        <f ca="1">IF(D33="自定义",ROUND(C34/C32,3),1-D35)</f>
        <v>0.91800000000000004</v>
      </c>
      <c r="E34" s="2233" t="s">
        <v>1810</v>
      </c>
      <c r="F34" s="1828">
        <v>2000</v>
      </c>
      <c r="G34" s="2195"/>
      <c r="H34" s="2195"/>
      <c r="I34" s="2195"/>
    </row>
    <row r="35" spans="1:16" ht="15.75" thickBot="1">
      <c r="A35" s="2234"/>
      <c r="B35" s="2235" t="s">
        <v>1811</v>
      </c>
      <c r="C35" s="73">
        <f ca="1">IF(D33="自定义",F35,ROUND(C32*D35,0))</f>
        <v>4271</v>
      </c>
      <c r="D35" s="1090">
        <f ca="1">IF(D33="自定义",ROUND(C35/C32,3),IF(D33="成本法成本比率",成本法!C56,IF(D33="收益法收益比率",收益法!J38,收益法!J41)))</f>
        <v>8.2000000000000003E-2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10890144</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43207</v>
      </c>
      <c r="N47" s="2859"/>
      <c r="O47" s="2859"/>
      <c r="P47" s="1845"/>
    </row>
    <row r="48" spans="1:16" ht="25.5">
      <c r="A48" s="2860" t="s">
        <v>1836</v>
      </c>
      <c r="B48" s="2861"/>
      <c r="C48" s="2861"/>
      <c r="D48" s="56">
        <f ca="1">IF(H48="情况1",0,IF(H48="情况2",D52,IF(H48="情况3",D53,IF(H48="情况4",D54))))</f>
        <v>580808</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10890144</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580808</v>
      </c>
      <c r="E52" s="10" t="s">
        <v>1853</v>
      </c>
      <c r="F52" s="100">
        <f>'数据-取费表'!E29</f>
        <v>5.6000000000000001E-2</v>
      </c>
      <c r="G52" s="2262"/>
      <c r="H52" s="2195"/>
      <c r="I52" s="2260"/>
      <c r="J52" s="1883">
        <v>1</v>
      </c>
      <c r="K52" s="2857" t="s">
        <v>1854</v>
      </c>
      <c r="L52" s="2857"/>
      <c r="M52" s="778">
        <f ca="1">D48</f>
        <v>580808</v>
      </c>
      <c r="N52" s="1883" t="str">
        <f>E48</f>
        <v>销售额×税（费）率</v>
      </c>
      <c r="O52" s="779">
        <f>F48</f>
        <v>5.6000000000000001E-2</v>
      </c>
      <c r="P52" s="1845"/>
    </row>
    <row r="53" spans="1:16" ht="12" customHeight="1">
      <c r="A53" s="99" t="s">
        <v>1855</v>
      </c>
      <c r="B53" s="2858" t="s">
        <v>1856</v>
      </c>
      <c r="C53" s="2816"/>
      <c r="D53" s="98">
        <f ca="1">ROUND(D45*'数据-取费表'!E29/(1+'数据-取费表'!F30),0)</f>
        <v>580808</v>
      </c>
      <c r="E53" s="10" t="s">
        <v>1853</v>
      </c>
      <c r="F53" s="100">
        <f>'数据-取费表'!E29</f>
        <v>5.6000000000000001E-2</v>
      </c>
      <c r="G53" s="2262"/>
      <c r="H53" s="2195"/>
      <c r="I53" s="2260"/>
      <c r="J53" s="1883">
        <v>2</v>
      </c>
      <c r="K53" s="2857" t="s">
        <v>1857</v>
      </c>
      <c r="L53" s="2857"/>
      <c r="M53" s="778">
        <f t="shared" ref="M53:O54" ca="1" si="1">D55</f>
        <v>5445</v>
      </c>
      <c r="N53" s="1883" t="str">
        <f t="shared" si="1"/>
        <v>销售额×税（费）率</v>
      </c>
      <c r="O53" s="779">
        <f t="shared" si="1"/>
        <v>5.0000000000000001E-4</v>
      </c>
      <c r="P53" s="1845"/>
    </row>
    <row r="54" spans="1:16" ht="12" customHeight="1">
      <c r="A54" s="99" t="s">
        <v>1858</v>
      </c>
      <c r="B54" s="2858" t="s">
        <v>1859</v>
      </c>
      <c r="C54" s="2816"/>
      <c r="D54" s="98">
        <f ca="1">C68</f>
        <v>580808</v>
      </c>
      <c r="E54" s="20" t="s">
        <v>1860</v>
      </c>
      <c r="F54" s="100">
        <f>'数据-取费表'!E29</f>
        <v>5.6000000000000001E-2</v>
      </c>
      <c r="G54" s="2262"/>
      <c r="H54" s="2263"/>
      <c r="I54" s="2260"/>
      <c r="J54" s="1883">
        <v>3</v>
      </c>
      <c r="K54" s="2857" t="s">
        <v>1861</v>
      </c>
      <c r="L54" s="2857"/>
      <c r="M54" s="778">
        <f t="shared" ca="1" si="1"/>
        <v>6163822</v>
      </c>
      <c r="N54" s="1883" t="str">
        <f t="shared" si="1"/>
        <v>增值额×税（费）率</v>
      </c>
      <c r="O54" s="780" t="str">
        <f t="shared" si="1"/>
        <v>——</v>
      </c>
      <c r="P54" s="1845"/>
    </row>
    <row r="55" spans="1:16" ht="24" customHeight="1">
      <c r="A55" s="2808" t="s">
        <v>1862</v>
      </c>
      <c r="B55" s="2861"/>
      <c r="C55" s="2861"/>
      <c r="D55" s="101">
        <f ca="1">IF(H55="个人住宅",0,ROUND(D45*I55,0))</f>
        <v>5445</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108901</v>
      </c>
      <c r="N55" s="1886" t="str">
        <f>E59</f>
        <v>销售额×税（费）率</v>
      </c>
      <c r="O55" s="782">
        <f>F59</f>
        <v>0.01</v>
      </c>
      <c r="P55" s="1845"/>
    </row>
    <row r="56" spans="1:16" ht="24.75">
      <c r="A56" s="2808" t="s">
        <v>1865</v>
      </c>
      <c r="B56" s="2861"/>
      <c r="C56" s="2861"/>
      <c r="D56" s="101">
        <f ca="1">IF(H56="个人住宅",D57,D58)</f>
        <v>6163822</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6858976</v>
      </c>
      <c r="O57" s="2267"/>
      <c r="P57" s="1841" t="e">
        <f ca="1">N57/M49</f>
        <v>#VALUE!</v>
      </c>
    </row>
    <row r="58" spans="1:16" ht="24.75">
      <c r="A58" s="99" t="s">
        <v>1851</v>
      </c>
      <c r="B58" s="2865" t="s">
        <v>1871</v>
      </c>
      <c r="C58" s="2866"/>
      <c r="D58" s="101">
        <f ca="1">IF(H58="转让取得",C81,C97)</f>
        <v>6163822</v>
      </c>
      <c r="E58" s="10" t="s">
        <v>1866</v>
      </c>
      <c r="F58" s="14" t="s">
        <v>48</v>
      </c>
      <c r="G58" s="2262"/>
      <c r="H58" s="2265" t="s">
        <v>1872</v>
      </c>
      <c r="I58" s="1022"/>
      <c r="J58" s="2857"/>
      <c r="K58" s="2857"/>
      <c r="L58" s="2266" t="s">
        <v>1873</v>
      </c>
      <c r="M58" s="785"/>
      <c r="N58" s="2268" t="str">
        <f ca="1">IF(H19="元",NUMBERSTRING(INT(N57),2)&amp;"元整",NUMBERSTRING(INT(N57*10000),2)&amp;"元整")</f>
        <v>陆佰捌拾伍万捌仟玖佰柒拾陆元整</v>
      </c>
      <c r="O58" s="2269"/>
      <c r="P58" s="1845"/>
    </row>
    <row r="59" spans="1:16" ht="26.25" thickBot="1">
      <c r="A59" s="2809" t="s">
        <v>1874</v>
      </c>
      <c r="B59" s="2812"/>
      <c r="C59" s="2812"/>
      <c r="D59" s="104">
        <f ca="1">IF(H59="非个人房产","——",IF(H59="个人住宅",0,ROUND(D45*I59,0)))</f>
        <v>108901</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10371566</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10890144</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10371566</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580808</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10371566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62229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62229</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10309337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165.66772726542288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6163822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10371566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62229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62229</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10309337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165.66772726542288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6163822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12121926</v>
      </c>
      <c r="D101" s="721">
        <f ca="1">D19</f>
        <v>5962712</v>
      </c>
      <c r="E101" s="2195"/>
      <c r="F101" s="2901" t="str">
        <f>项目基本情况!I1</f>
        <v>北京市房地产</v>
      </c>
      <c r="G101" s="2902"/>
      <c r="H101" s="2908">
        <f>项目基本情况!C12</f>
        <v>209.06</v>
      </c>
      <c r="I101" s="2904"/>
    </row>
    <row r="102" spans="1:35" ht="15.75">
      <c r="A102" s="3094"/>
      <c r="B102" s="2290" t="s">
        <v>1939</v>
      </c>
      <c r="C102" s="722">
        <f ca="1">C20</f>
        <v>57983</v>
      </c>
      <c r="D102" s="723">
        <f ca="1">D20</f>
        <v>28522</v>
      </c>
      <c r="E102" s="2195"/>
      <c r="F102" s="2909" t="s">
        <v>1940</v>
      </c>
      <c r="G102" s="2910"/>
      <c r="H102" s="2291" t="str">
        <f>C106</f>
        <v>总价（元）</v>
      </c>
      <c r="I102" s="1862">
        <f ca="1">H121</f>
        <v>10890144</v>
      </c>
    </row>
    <row r="103" spans="1:35" ht="15">
      <c r="A103" s="3094" t="s">
        <v>1941</v>
      </c>
      <c r="B103" s="2292" t="str">
        <f>B101</f>
        <v>总价（元）</v>
      </c>
      <c r="C103" s="724">
        <f ca="1">H121</f>
        <v>10890144</v>
      </c>
      <c r="D103" s="725"/>
      <c r="E103" s="2195"/>
      <c r="F103" s="2909"/>
      <c r="G103" s="2910"/>
      <c r="H103" s="2291" t="s">
        <v>1939</v>
      </c>
      <c r="I103" s="1050">
        <f ca="1">I121</f>
        <v>52091</v>
      </c>
    </row>
    <row r="104" spans="1:35" ht="16.5" thickBot="1">
      <c r="A104" s="2953"/>
      <c r="B104" s="2293" t="s">
        <v>1939</v>
      </c>
      <c r="C104" s="726">
        <f ca="1">I121</f>
        <v>52091</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10890144</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52091</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10890144</v>
      </c>
    </row>
    <row r="111" spans="1:35" ht="15">
      <c r="A111" s="2918" t="s">
        <v>1948</v>
      </c>
      <c r="B111" s="2919"/>
      <c r="C111" s="2294" t="str">
        <f>C108</f>
        <v>总额（元）</v>
      </c>
      <c r="D111" s="637">
        <f>C38</f>
        <v>0</v>
      </c>
      <c r="E111" s="2195"/>
      <c r="F111" s="2930"/>
      <c r="G111" s="2931"/>
      <c r="H111" s="2291" t="s">
        <v>1939</v>
      </c>
      <c r="I111" s="2297">
        <f ca="1">D113</f>
        <v>52091</v>
      </c>
    </row>
    <row r="112" spans="1:35" ht="26.25" customHeight="1">
      <c r="A112" s="2922" t="str">
        <f>IF(项目基本情况!F5="已注销","——","3.房地产抵押价值")</f>
        <v>3.房地产抵押价值</v>
      </c>
      <c r="B112" s="2923"/>
      <c r="C112" s="2291" t="str">
        <f>B101</f>
        <v>总价（元）</v>
      </c>
      <c r="D112" s="1051">
        <f ca="1">IF(A112="——","——",D106-D108)</f>
        <v>10890144</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52091</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209.06</v>
      </c>
      <c r="C121" s="1887">
        <f>项目基本情况!C13</f>
        <v>0</v>
      </c>
      <c r="D121" s="1887">
        <f ca="1">ROUND(IF(B32="总价",C34,IF('数据-取费表'!B3="万元",E121*B121/10000,E121*B121)),0)</f>
        <v>9997249</v>
      </c>
      <c r="E121" s="1887">
        <f ca="1">ROUND(IF(B32="楼面单价",C34,IF(H19="元",D121/B121,D121*10000/B121)),0)</f>
        <v>47820</v>
      </c>
      <c r="F121" s="1887">
        <f ca="1">ROUND(IF(B32="总价",C35,IF('数据-取费表'!B3="万元",G121*B121/10000,G121*B121)),0)</f>
        <v>892895</v>
      </c>
      <c r="G121" s="1887">
        <f ca="1">ROUND(IF(B32="楼面单价",C35,IF(H19="元",F121/B121,F121*10000/B121)),0)</f>
        <v>4271</v>
      </c>
      <c r="H121" s="1887">
        <f ca="1">ROUND(IF(B32="总价",C32,IF('数据-取费表'!B3="万元",I121*B121/10000,I121*B121)),0)</f>
        <v>10890144</v>
      </c>
      <c r="I121" s="637">
        <f ca="1">ROUND(IF(B32="楼面单价",C32,IF(H19="元",H121/B121,H121*10000/B121)),0)</f>
        <v>52091</v>
      </c>
    </row>
    <row r="122" spans="1:15" ht="14.25">
      <c r="A122" s="2960" t="s">
        <v>1958</v>
      </c>
      <c r="B122" s="2844"/>
      <c r="C122" s="2844"/>
      <c r="D122" s="2973" t="str">
        <f ca="1">IF(H19="元",NUMBERSTRING(INT(D121),2)&amp;"元整",NUMBERSTRING(INT(D121*10000),2)&amp;"元整")</f>
        <v>玖佰玖拾玖万柒仟贰佰肆拾玖元整</v>
      </c>
      <c r="E122" s="2974"/>
      <c r="F122" s="2973" t="str">
        <f ca="1">IF(H19="元",NUMBERSTRING(INT(F121),2)&amp;"元整",NUMBERSTRING(INT(F121*10000),2)&amp;"元整")</f>
        <v>捌拾玖万贰仟捌佰玖拾伍元整</v>
      </c>
      <c r="G122" s="2974"/>
      <c r="H122" s="2973" t="str">
        <f ca="1">IF(H19="元",NUMBERSTRING(INT(H121),2)&amp;"元整",NUMBERSTRING(INT(H121*10000),2)&amp;"元整")</f>
        <v>壹仟零捌拾玖万零壹佰肆拾肆元整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10890144</v>
      </c>
      <c r="E125" s="2971"/>
      <c r="F125" s="2971"/>
      <c r="G125" s="2971"/>
      <c r="H125" s="2971"/>
      <c r="I125" s="2972"/>
    </row>
    <row r="126" spans="1:15" ht="14.25">
      <c r="A126" s="2960" t="s">
        <v>1958</v>
      </c>
      <c r="B126" s="2844"/>
      <c r="C126" s="2844"/>
      <c r="D126" s="2968">
        <f ca="1">I111</f>
        <v>52091</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估价对象为北京市房地产，为所有。根据《不动产权证书》[]，估价对象建筑面积为209.06平方米，（分摊）出让国有建设用地使用权面积为平方米。估价对象用途为。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B82" workbookViewId="0">
      <selection activeCell="A183" sqref="A18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47" sqref="E47"/>
    </sheetView>
  </sheetViews>
  <sheetFormatPr defaultColWidth="14.625" defaultRowHeight="13.5"/>
  <cols>
    <col min="1" max="1" width="24.375" customWidth="1"/>
  </cols>
  <sheetData>
    <row r="1" spans="1:9" ht="16.5">
      <c r="A1" s="1830" t="s">
        <v>1226</v>
      </c>
      <c r="B1" s="1830">
        <f>SUM(B14:B23)</f>
        <v>209.06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1089.0144</v>
      </c>
      <c r="C5" s="1830">
        <f ca="1">ROUND(B5*10000/$B$1,0)</f>
        <v>52091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209.06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1089.0144</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周边有411路、457路、657路等多条公交线路，交通便捷度一般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项目临近万通路，为城市支路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自然环境：红军公园、狼各庄村休闲公园、富力又一城公园等公园；人文环境：无；综合评价环境状况一般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周边有411路、457路、657路等多条公交线路，交通便捷度一般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项目临近万通路，为城市支路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自然环境：红军公园、狼各庄村休闲公园、富力又一城公园等公园；人文环境：无；综合评价环境状况一般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估价对象周边有朝丰家园、富力又一城等住宅小区，居住社区成熟度一般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周边有411路、457路、657路等多条公交线路，交通便捷度一般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项目临近万通路，为城市支路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自然环境：红军公园、狼各庄村休闲公园、富力又一城公园等公园；人文环境：无；综合评价环境状况一般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209.06</v>
      </c>
      <c r="D6" s="2762"/>
      <c r="E6" s="1927"/>
    </row>
    <row r="7" spans="1:5" ht="14.25">
      <c r="A7" s="1927"/>
      <c r="B7" s="2756" t="s">
        <v>785</v>
      </c>
      <c r="C7" s="1933" t="str">
        <f>IF('数据-取费表'!B3="万元","总价（万元）","总价（元）")</f>
        <v>总价（元）</v>
      </c>
      <c r="D7" s="1934">
        <f ca="1">IF('数据-取费表'!E3="否",结果表!I102,'结果表 (1修多)'!I103)</f>
        <v>10890144</v>
      </c>
      <c r="E7" s="1927"/>
    </row>
    <row r="8" spans="1:5" ht="28.5">
      <c r="A8" s="1927"/>
      <c r="B8" s="2756"/>
      <c r="C8" s="1935" t="s">
        <v>1176</v>
      </c>
      <c r="D8" s="1936" t="str">
        <f ca="1">IF('数据-取费表'!B3="万元",NUMBERSTRING(INT(D7*10000),2)&amp;"元整",NUMBERSTRING(INT(D7),2)&amp;"元整")</f>
        <v>壹仟零捌拾玖万零壹佰肆拾肆元整</v>
      </c>
      <c r="E8" s="1927"/>
    </row>
    <row r="9" spans="1:5" ht="14.25">
      <c r="A9" s="1927"/>
      <c r="B9" s="2756"/>
      <c r="C9" s="1937" t="s">
        <v>1275</v>
      </c>
      <c r="D9" s="1934">
        <f ca="1">IF('数据-取费表'!E3="否",结果表!I103,'结果表 (1修多)'!I104)</f>
        <v>52091</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10890144</v>
      </c>
      <c r="E15" s="1927"/>
    </row>
    <row r="16" spans="1:5" ht="28.5">
      <c r="A16" s="1927"/>
      <c r="B16" s="2763"/>
      <c r="C16" s="1935" t="s">
        <v>1176</v>
      </c>
      <c r="D16" s="1934" t="str">
        <f ca="1">IF('数据-取费表'!B3="万元",NUMBERSTRING(INT(D15*10000),2)&amp;"元整",NUMBERSTRING(INT(D15),2)&amp;"元整")</f>
        <v>壹仟零捌拾玖万零壹佰肆拾肆元整</v>
      </c>
      <c r="E16" s="1927"/>
    </row>
    <row r="17" spans="1:5" ht="14.25">
      <c r="A17" s="1927"/>
      <c r="B17" s="2763"/>
      <c r="C17" s="1937" t="s">
        <v>1275</v>
      </c>
      <c r="D17" s="1934">
        <f ca="1">IF('数据-取费表'!E3="否",结果表!I111,'结果表 (1修多)'!I112)</f>
        <v>52091</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10890144</v>
      </c>
      <c r="E28" s="1927"/>
    </row>
    <row r="29" spans="1:5" ht="28.5">
      <c r="A29" s="1927"/>
      <c r="B29" s="2765"/>
      <c r="C29" s="1946" t="s">
        <v>1176</v>
      </c>
      <c r="D29" s="1947" t="str">
        <f ca="1">IF('数据-取费表'!B3="万元",NUMBERSTRING(INT(D28*10000),2)&amp;"元整",NUMBERSTRING(INT(D28),2)&amp;"元整")</f>
        <v>壹仟零捌拾玖万零壹佰肆拾肆元整</v>
      </c>
      <c r="E29" s="1927"/>
    </row>
    <row r="30" spans="1:5" ht="14.25">
      <c r="A30" s="1927"/>
      <c r="B30" s="2766"/>
      <c r="C30" s="1937" t="s">
        <v>1179</v>
      </c>
      <c r="D30" s="1948">
        <f ca="1">IF('数据-取费表'!E3="否",结果表!I103,'结果表 (1修多)'!I104)</f>
        <v>52091</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10890144</v>
      </c>
      <c r="E36" s="1927"/>
    </row>
    <row r="37" spans="1:5" ht="28.5">
      <c r="A37" s="1927"/>
      <c r="B37" s="2767"/>
      <c r="C37" s="1946" t="s">
        <v>1176</v>
      </c>
      <c r="D37" s="1951" t="str">
        <f ca="1">IF('数据-取费表'!B3="万元",NUMBERSTRING(INT(D36*10000),2)&amp;"元整",NUMBERSTRING(INT(D36),2)&amp;"元整")</f>
        <v>壹仟零捌拾玖万零壹佰肆拾肆元整</v>
      </c>
      <c r="E37" s="1927"/>
    </row>
    <row r="38" spans="1:5" ht="14.25">
      <c r="A38" s="1927"/>
      <c r="B38" s="2767"/>
      <c r="C38" s="1937" t="s">
        <v>1180</v>
      </c>
      <c r="D38" s="1948">
        <f ca="1">IF('数据-取费表'!E3="否",结果表!D113,'结果表 (1修多)'!D116)</f>
        <v>52091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209.06</v>
      </c>
      <c r="C4" s="1049">
        <f>结果表!C121</f>
        <v>0</v>
      </c>
      <c r="D4" s="1049">
        <f ca="1">IF('数据-取费表'!E3="否",结果表!D121,'结果表 (1修多)'!D124)</f>
        <v>9997249</v>
      </c>
      <c r="E4" s="1049">
        <f ca="1">IF('数据-取费表'!E3="否",结果表!E121,'结果表 (1修多)'!E124)</f>
        <v>47820</v>
      </c>
      <c r="F4" s="1049">
        <f ca="1">IF('数据-取费表'!E3="否",结果表!F121,'结果表 (1修多)'!F124)</f>
        <v>892895</v>
      </c>
      <c r="G4" s="1049">
        <f ca="1">IF('数据-取费表'!E3="否",结果表!G121,'结果表 (1修多)'!G124)</f>
        <v>4271</v>
      </c>
      <c r="H4" s="1049">
        <f ca="1">IF('数据-取费表'!E3="否",结果表!H121,'结果表 (1修多)'!H124)</f>
        <v>10890144</v>
      </c>
      <c r="I4" s="1049">
        <f ca="1">IF('数据-取费表'!E3="否",结果表!I121,'结果表 (1修多)'!I124)</f>
        <v>52091</v>
      </c>
    </row>
    <row r="5" spans="1:9" ht="15">
      <c r="A5" s="2781" t="s">
        <v>1285</v>
      </c>
      <c r="B5" s="2781"/>
      <c r="C5" s="2781"/>
      <c r="D5" s="2779" t="str">
        <f ca="1">IF('数据-取费表'!E3="否",结果表!D122,'结果表 (1修多)'!D125)</f>
        <v>玖佰玖拾玖万柒仟贰佰肆拾玖元整</v>
      </c>
      <c r="E5" s="2779"/>
      <c r="F5" s="2779" t="str">
        <f ca="1">IF('数据-取费表'!E3="否",结果表!F122,'结果表 (1修多)'!F125)</f>
        <v>捌拾玖万贰仟捌佰玖拾伍元整</v>
      </c>
      <c r="G5" s="2779"/>
      <c r="H5" s="2779" t="str">
        <f ca="1">IF('数据-取费表'!E3="否",结果表!H122,'结果表 (1修多)'!H125)</f>
        <v>壹仟零捌拾玖万零壹佰肆拾肆元整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10890144</v>
      </c>
      <c r="E8" s="2780"/>
      <c r="F8" s="2780"/>
      <c r="G8" s="2780"/>
      <c r="H8" s="2780"/>
      <c r="I8" s="2780"/>
    </row>
    <row r="9" spans="1:9" ht="15">
      <c r="A9" s="2781" t="s">
        <v>1285</v>
      </c>
      <c r="B9" s="2781"/>
      <c r="C9" s="2781"/>
      <c r="D9" s="2779">
        <f ca="1">IF('数据-取费表'!E3="否",结果表!D126,'结果表 (1修多)'!D129)</f>
        <v>52091</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2018-05-07T04:42:06Z</dcterms:modified>
</cp:coreProperties>
</file>