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C15" i="66" l="1"/>
  <c r="B15" i="66"/>
  <c r="N26" i="69" l="1"/>
  <c r="Q82" i="69"/>
  <c r="Q83" i="69"/>
  <c r="O73" i="69"/>
  <c r="O72" i="69"/>
  <c r="O125" i="69"/>
  <c r="O126" i="69" s="1"/>
  <c r="R115" i="69"/>
  <c r="R114" i="69"/>
  <c r="R118" i="69" s="1"/>
  <c r="R119" i="69" s="1"/>
  <c r="Q66" i="69"/>
  <c r="Q65" i="69"/>
  <c r="Q16" i="69"/>
  <c r="Q17" i="69" s="1"/>
  <c r="Q18" i="69" s="1"/>
  <c r="O116" i="69"/>
  <c r="O115" i="69"/>
  <c r="N18" i="69"/>
  <c r="N17" i="69"/>
  <c r="N67" i="69"/>
  <c r="N66" i="69"/>
  <c r="N85" i="69"/>
  <c r="N86" i="69" s="1"/>
  <c r="N88" i="69" s="1"/>
  <c r="R125" i="69" l="1"/>
  <c r="O23" i="69"/>
  <c r="O24" i="69" s="1"/>
  <c r="R116" i="69"/>
  <c r="Q67" i="69"/>
  <c r="I47" i="21"/>
  <c r="G47" i="21"/>
  <c r="E47" i="21"/>
  <c r="C11" i="21"/>
  <c r="K23" i="68" l="1"/>
  <c r="L25" i="68" s="1"/>
  <c r="K12" i="68"/>
  <c r="K29" i="68" l="1"/>
  <c r="D69" i="68"/>
  <c r="F20" i="6"/>
  <c r="AH13" i="3"/>
  <c r="AD13" i="3"/>
  <c r="I13" i="3" s="1"/>
  <c r="I40" i="39"/>
  <c r="G40" i="39"/>
  <c r="E40" i="39"/>
  <c r="C40" i="39"/>
  <c r="I9" i="39"/>
  <c r="G9" i="39"/>
  <c r="E9" i="39"/>
  <c r="I7" i="39"/>
  <c r="G7" i="39"/>
  <c r="E7" i="39"/>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c r="D20" i="59"/>
  <c r="AH18" i="59"/>
  <c r="AG18" i="59"/>
  <c r="AE18" i="59"/>
  <c r="AF18" i="59" s="1"/>
  <c r="AD18" i="59"/>
  <c r="AE19" i="59"/>
  <c r="AF19" i="59" s="1"/>
  <c r="AG19" i="59"/>
  <c r="AH19" i="59"/>
  <c r="AD19" i="59"/>
  <c r="Q19" i="59"/>
  <c r="P19" i="59"/>
  <c r="O19" i="59"/>
  <c r="N19" i="59"/>
  <c r="N20" i="59"/>
  <c r="Q20" i="59"/>
  <c r="P20" i="59"/>
  <c r="O20" i="59"/>
  <c r="K59" i="15"/>
  <c r="P62" i="15" s="1"/>
  <c r="P75" i="15"/>
  <c r="Q74" i="44"/>
  <c r="Q61" i="44"/>
  <c r="Q60" i="44"/>
  <c r="Q53" i="44"/>
  <c r="J51" i="44"/>
  <c r="J52" i="44" s="1"/>
  <c r="M48" i="44"/>
  <c r="A16" i="55"/>
  <c r="A15" i="55"/>
  <c r="B66" i="63" s="1"/>
  <c r="A10" i="55"/>
  <c r="B61" i="63" s="1"/>
  <c r="A9" i="55"/>
  <c r="B60" i="63" s="1"/>
  <c r="A8" i="55"/>
  <c r="A6" i="54"/>
  <c r="A8" i="54"/>
  <c r="A7" i="54"/>
  <c r="A27" i="51"/>
  <c r="B20" i="63" s="1"/>
  <c r="Q21" i="59"/>
  <c r="O21" i="59"/>
  <c r="N22" i="59"/>
  <c r="O22" i="59"/>
  <c r="P22" i="59"/>
  <c r="Q22" i="59"/>
  <c r="N21" i="59"/>
  <c r="P21" i="59"/>
  <c r="K75" i="9"/>
  <c r="K6" i="4"/>
  <c r="O76" i="9" s="1"/>
  <c r="B22" i="31"/>
  <c r="E16" i="66"/>
  <c r="F16" i="66"/>
  <c r="E17" i="66"/>
  <c r="F17" i="66"/>
  <c r="E18" i="66"/>
  <c r="F18" i="66"/>
  <c r="E19" i="66"/>
  <c r="F19" i="66"/>
  <c r="E20" i="66"/>
  <c r="F20" i="66"/>
  <c r="E21" i="66"/>
  <c r="F21" i="66"/>
  <c r="E22" i="66"/>
  <c r="F22" i="66"/>
  <c r="E23" i="66"/>
  <c r="F23" i="66"/>
  <c r="B3" i="66"/>
  <c r="B19" i="59"/>
  <c r="B18" i="59" s="1"/>
  <c r="B17" i="59" s="1"/>
  <c r="E19" i="59"/>
  <c r="E18" i="59" s="1"/>
  <c r="E17" i="59" s="1"/>
  <c r="E16" i="59" s="1"/>
  <c r="E15" i="59" s="1"/>
  <c r="E14" i="59" s="1"/>
  <c r="E13" i="59" s="1"/>
  <c r="E12" i="59" s="1"/>
  <c r="F19" i="59"/>
  <c r="V19" i="59" s="1"/>
  <c r="S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3" i="65"/>
  <c r="C1" i="65"/>
  <c r="N1" i="65" s="1"/>
  <c r="T19" i="59"/>
  <c r="B76" i="63"/>
  <c r="M5" i="54"/>
  <c r="B41" i="63" s="1"/>
  <c r="A23" i="51"/>
  <c r="Y12" i="46"/>
  <c r="AA9" i="46"/>
  <c r="AA10" i="46" s="1"/>
  <c r="AB9" i="46"/>
  <c r="AB10" i="46" s="1"/>
  <c r="AC9" i="46"/>
  <c r="AC10" i="46" s="1"/>
  <c r="AD9" i="46"/>
  <c r="AD10" i="46" s="1"/>
  <c r="AE9" i="46"/>
  <c r="AE10" i="46" s="1"/>
  <c r="AF9" i="46"/>
  <c r="AF10" i="46"/>
  <c r="AG9" i="46"/>
  <c r="AH9" i="46"/>
  <c r="AH10" i="46" s="1"/>
  <c r="AI9" i="46"/>
  <c r="AI10" i="46" s="1"/>
  <c r="AJ9" i="46"/>
  <c r="AJ10" i="46" s="1"/>
  <c r="Z9" i="46"/>
  <c r="Z10" i="46" s="1"/>
  <c r="AG10" i="46"/>
  <c r="Y10" i="46"/>
  <c r="AI12" i="46"/>
  <c r="AG12" i="46"/>
  <c r="AE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s="1"/>
  <c r="B40" i="50"/>
  <c r="B3" i="63" s="1"/>
  <c r="B67" i="63"/>
  <c r="I19" i="46"/>
  <c r="Q23" i="59"/>
  <c r="P23" i="59"/>
  <c r="E23" i="59" s="1"/>
  <c r="O23" i="59"/>
  <c r="N23" i="59"/>
  <c r="B23" i="59" s="1"/>
  <c r="S23" i="59" s="1"/>
  <c r="D84" i="59"/>
  <c r="F83" i="59"/>
  <c r="F82" i="59" s="1"/>
  <c r="E83" i="59"/>
  <c r="E82" i="59" s="1"/>
  <c r="E81" i="59" s="1"/>
  <c r="C83" i="59"/>
  <c r="B83" i="59"/>
  <c r="B82" i="59" s="1"/>
  <c r="F81" i="59"/>
  <c r="B81" i="59"/>
  <c r="D80" i="59"/>
  <c r="F79" i="59"/>
  <c r="F78" i="59" s="1"/>
  <c r="E79" i="59"/>
  <c r="E78" i="59" s="1"/>
  <c r="E77" i="59" s="1"/>
  <c r="C79" i="59"/>
  <c r="B79" i="59"/>
  <c r="B78" i="59" s="1"/>
  <c r="F77" i="59"/>
  <c r="B77" i="59"/>
  <c r="D76" i="59"/>
  <c r="Q75" i="59"/>
  <c r="P75" i="59"/>
  <c r="O75" i="59"/>
  <c r="N75" i="59"/>
  <c r="F75" i="59"/>
  <c r="V75" i="59" s="1"/>
  <c r="E75" i="59"/>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T67" i="59" s="1"/>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c r="B62" i="59"/>
  <c r="D60" i="59"/>
  <c r="Q59" i="59"/>
  <c r="P59" i="59"/>
  <c r="O59" i="59"/>
  <c r="N59" i="59"/>
  <c r="Q58" i="59"/>
  <c r="P58" i="59"/>
  <c r="O58" i="59"/>
  <c r="N58" i="59"/>
  <c r="Q57" i="59"/>
  <c r="P57" i="59"/>
  <c r="O57" i="59"/>
  <c r="N57" i="59"/>
  <c r="Q56" i="59"/>
  <c r="F57" i="59"/>
  <c r="F58" i="59" s="1"/>
  <c r="F59" i="59" s="1"/>
  <c r="V59" i="59" s="1"/>
  <c r="P56" i="59"/>
  <c r="E57" i="59"/>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P48" i="59"/>
  <c r="E49" i="59"/>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AB34" i="59" s="1"/>
  <c r="P34" i="59"/>
  <c r="O34" i="59"/>
  <c r="Y34" i="59"/>
  <c r="Z34" i="59" s="1"/>
  <c r="N34" i="59"/>
  <c r="Q33" i="59"/>
  <c r="AB33" i="59" s="1"/>
  <c r="P33" i="59"/>
  <c r="O33" i="59"/>
  <c r="Y33" i="59" s="1"/>
  <c r="Z33" i="59" s="1"/>
  <c r="N33" i="59"/>
  <c r="Q32" i="59"/>
  <c r="P32" i="59"/>
  <c r="E33" i="59" s="1"/>
  <c r="E34" i="59"/>
  <c r="E35" i="59" s="1"/>
  <c r="U35" i="59" s="1"/>
  <c r="O32" i="59"/>
  <c r="C33" i="59" s="1"/>
  <c r="N32" i="59"/>
  <c r="X32" i="59" s="1"/>
  <c r="D32" i="59"/>
  <c r="Q31" i="59"/>
  <c r="P31" i="59"/>
  <c r="O31" i="59"/>
  <c r="N31" i="59"/>
  <c r="Q30" i="59"/>
  <c r="P30" i="59"/>
  <c r="O30" i="59"/>
  <c r="Y30" i="59" s="1"/>
  <c r="Z30" i="59" s="1"/>
  <c r="N30" i="59"/>
  <c r="Q29" i="59"/>
  <c r="P29" i="59"/>
  <c r="O29" i="59"/>
  <c r="N29" i="59"/>
  <c r="Q28" i="59"/>
  <c r="F29" i="59" s="1"/>
  <c r="F30" i="59" s="1"/>
  <c r="F31" i="59" s="1"/>
  <c r="V31" i="59" s="1"/>
  <c r="P28" i="59"/>
  <c r="E29" i="59" s="1"/>
  <c r="E30" i="59" s="1"/>
  <c r="E31" i="59" s="1"/>
  <c r="U31" i="59" s="1"/>
  <c r="O28" i="59"/>
  <c r="Y21" i="59" s="1"/>
  <c r="Z21" i="59" s="1"/>
  <c r="N28" i="59"/>
  <c r="D28" i="59"/>
  <c r="Q27" i="59"/>
  <c r="P27" i="59"/>
  <c r="O27" i="59"/>
  <c r="N27" i="59"/>
  <c r="Q26" i="59"/>
  <c r="P26" i="59"/>
  <c r="O26" i="59"/>
  <c r="N26" i="59"/>
  <c r="Q25" i="59"/>
  <c r="P25" i="59"/>
  <c r="O25" i="59"/>
  <c r="N25" i="59"/>
  <c r="Q24" i="59"/>
  <c r="P24" i="59"/>
  <c r="O24" i="59"/>
  <c r="C25" i="59" s="1"/>
  <c r="N24" i="59"/>
  <c r="B25" i="59" s="1"/>
  <c r="B26" i="59" s="1"/>
  <c r="B27" i="59" s="1"/>
  <c r="S27" i="59" s="1"/>
  <c r="D24" i="59"/>
  <c r="X23" i="59"/>
  <c r="AB20" i="59"/>
  <c r="S63" i="59"/>
  <c r="AA34" i="59"/>
  <c r="F42" i="59"/>
  <c r="F43" i="59" s="1"/>
  <c r="V43" i="59" s="1"/>
  <c r="V51" i="59"/>
  <c r="C50" i="59"/>
  <c r="C51" i="59" s="1"/>
  <c r="T51" i="59" s="1"/>
  <c r="C58" i="59"/>
  <c r="C59" i="59" s="1"/>
  <c r="T59" i="59" s="1"/>
  <c r="N62" i="59"/>
  <c r="B61" i="59"/>
  <c r="N60" i="59" s="1"/>
  <c r="P63" i="59"/>
  <c r="Q63" i="59"/>
  <c r="C66" i="59"/>
  <c r="C65" i="59" s="1"/>
  <c r="D65" i="59" s="1"/>
  <c r="D67" i="59"/>
  <c r="E70" i="59"/>
  <c r="E69" i="59" s="1"/>
  <c r="C74" i="59"/>
  <c r="D74" i="59" s="1"/>
  <c r="D75" i="59"/>
  <c r="U16" i="4"/>
  <c r="S16" i="4"/>
  <c r="Q16" i="4"/>
  <c r="O16" i="4"/>
  <c r="M16" i="4"/>
  <c r="K16" i="4"/>
  <c r="C73" i="59"/>
  <c r="D73" i="59" s="1"/>
  <c r="D66" i="59"/>
  <c r="N61" i="59"/>
  <c r="D58"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Q21" i="21"/>
  <c r="Z21" i="21" s="1"/>
  <c r="D83" i="21"/>
  <c r="E83" i="21" s="1"/>
  <c r="F83" i="21" s="1"/>
  <c r="G83" i="21" s="1"/>
  <c r="F21" i="21"/>
  <c r="C21" i="21"/>
  <c r="Q27" i="40"/>
  <c r="Z27" i="40" s="1"/>
  <c r="D96" i="40"/>
  <c r="E96" i="40" s="1"/>
  <c r="F96" i="40" s="1"/>
  <c r="F27" i="40"/>
  <c r="AA27" i="40" s="1"/>
  <c r="Q31" i="39"/>
  <c r="Z31" i="39" s="1"/>
  <c r="D105" i="39"/>
  <c r="E105" i="39" s="1"/>
  <c r="F105" i="39" s="1"/>
  <c r="G105" i="39" s="1"/>
  <c r="F31" i="39"/>
  <c r="AA31" i="39" s="1"/>
  <c r="G20" i="20"/>
  <c r="B85" i="46" s="1"/>
  <c r="C22" i="20"/>
  <c r="B65" i="46" s="1"/>
  <c r="S18" i="36"/>
  <c r="S18" i="35"/>
  <c r="S21" i="34"/>
  <c r="C27" i="40"/>
  <c r="B5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H44" i="21" s="1"/>
  <c r="U44" i="21" s="1"/>
  <c r="B98" i="21"/>
  <c r="B96" i="21"/>
  <c r="B94" i="21"/>
  <c r="B92" i="21"/>
  <c r="F28" i="21" s="1"/>
  <c r="B90" i="21"/>
  <c r="B74" i="21"/>
  <c r="B72" i="2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F19" i="6"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AC8" i="21" s="1"/>
  <c r="H8" i="21"/>
  <c r="U8"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s="1"/>
  <c r="F39" i="37"/>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40" i="33"/>
  <c r="S33" i="33"/>
  <c r="W33" i="33"/>
  <c r="U38" i="33"/>
  <c r="H39" i="37"/>
  <c r="AB39" i="37" s="1"/>
  <c r="AB27" i="35"/>
  <c r="S10" i="40"/>
  <c r="W10" i="40"/>
  <c r="S11" i="40"/>
  <c r="U11" i="40"/>
  <c r="S36" i="40"/>
  <c r="U36" i="40"/>
  <c r="S40" i="39"/>
  <c r="F11" i="21"/>
  <c r="S11" i="21" s="1"/>
  <c r="AA38" i="21"/>
  <c r="AB36" i="21"/>
  <c r="AC35" i="21"/>
  <c r="C29" i="39"/>
  <c r="C23" i="39"/>
  <c r="S42" i="39"/>
  <c r="H32" i="33"/>
  <c r="AB32" i="33" s="1"/>
  <c r="J11" i="21"/>
  <c r="W11" i="21" s="1"/>
  <c r="F86" i="40"/>
  <c r="G86" i="40" s="1"/>
  <c r="J27" i="36"/>
  <c r="W27" i="36" s="1"/>
  <c r="J34" i="36"/>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W42" i="21"/>
  <c r="U36" i="37"/>
  <c r="AC13" i="36"/>
  <c r="AB31" i="33"/>
  <c r="AB44"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A13" i="33"/>
  <c r="AC45" i="33"/>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BL377" i="3"/>
  <c r="G378" i="3"/>
  <c r="BA379" i="3"/>
  <c r="AZ379" i="3" s="1"/>
  <c r="BA114" i="3"/>
  <c r="AZ114" i="3" s="1"/>
  <c r="BL115" i="3"/>
  <c r="G116" i="3"/>
  <c r="BA118" i="3"/>
  <c r="AZ118" i="3" s="1"/>
  <c r="BL119" i="3"/>
  <c r="AZ119" i="3" s="1"/>
  <c r="G120" i="3"/>
  <c r="BA122" i="3"/>
  <c r="AZ122" i="3" s="1"/>
  <c r="BL123" i="3"/>
  <c r="AZ123" i="3" s="1"/>
  <c r="G124" i="3"/>
  <c r="BA126" i="3"/>
  <c r="BL127" i="3"/>
  <c r="G128" i="3"/>
  <c r="BA130" i="3"/>
  <c r="AZ130" i="3" s="1"/>
  <c r="BL131" i="3"/>
  <c r="AZ131" i="3" s="1"/>
  <c r="G132" i="3"/>
  <c r="BA134" i="3"/>
  <c r="BL135" i="3"/>
  <c r="G136" i="3"/>
  <c r="BA138" i="3"/>
  <c r="BL139" i="3"/>
  <c r="G140" i="3"/>
  <c r="BA142" i="3"/>
  <c r="AZ142" i="3" s="1"/>
  <c r="BL143" i="3"/>
  <c r="AZ143" i="3" s="1"/>
  <c r="G144" i="3"/>
  <c r="BA146" i="3"/>
  <c r="AZ146" i="3" s="1"/>
  <c r="BL147" i="3"/>
  <c r="G148" i="3"/>
  <c r="BA150" i="3"/>
  <c r="BL151" i="3"/>
  <c r="AZ151" i="3"/>
  <c r="BA153" i="3"/>
  <c r="BL154" i="3"/>
  <c r="G155" i="3"/>
  <c r="BA157" i="3"/>
  <c r="AZ157" i="3" s="1"/>
  <c r="BL158" i="3"/>
  <c r="G159" i="3"/>
  <c r="BA161" i="3"/>
  <c r="AZ161" i="3" s="1"/>
  <c r="BL162" i="3"/>
  <c r="G163" i="3"/>
  <c r="BA165" i="3"/>
  <c r="BL166" i="3"/>
  <c r="G167" i="3"/>
  <c r="BA169" i="3"/>
  <c r="BL170" i="3"/>
  <c r="G171" i="3"/>
  <c r="BA173" i="3"/>
  <c r="AZ173" i="3" s="1"/>
  <c r="BL174" i="3"/>
  <c r="AZ174" i="3" s="1"/>
  <c r="G175" i="3"/>
  <c r="BA178" i="3"/>
  <c r="BL179" i="3"/>
  <c r="G180" i="3"/>
  <c r="AZ23" i="3"/>
  <c r="AZ27" i="3"/>
  <c r="AZ31" i="3"/>
  <c r="AZ35" i="3"/>
  <c r="AZ51" i="3"/>
  <c r="G537" i="3"/>
  <c r="BL181" i="3"/>
  <c r="G182" i="3"/>
  <c r="BA184" i="3"/>
  <c r="BL185" i="3"/>
  <c r="G186" i="3"/>
  <c r="BA188" i="3"/>
  <c r="AZ188" i="3" s="1"/>
  <c r="BL189" i="3"/>
  <c r="AZ189" i="3" s="1"/>
  <c r="G190" i="3"/>
  <c r="BA192" i="3"/>
  <c r="AZ192" i="3" s="1"/>
  <c r="BL193" i="3"/>
  <c r="AZ193" i="3" s="1"/>
  <c r="G194" i="3"/>
  <c r="BA196" i="3"/>
  <c r="BL197" i="3"/>
  <c r="G198" i="3"/>
  <c r="BA200" i="3"/>
  <c r="BL201" i="3"/>
  <c r="AZ70" i="3"/>
  <c r="AZ74" i="3"/>
  <c r="AZ78" i="3"/>
  <c r="AZ82" i="3"/>
  <c r="AZ84" i="3"/>
  <c r="AZ86"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s="1"/>
  <c r="BA365" i="3"/>
  <c r="AZ365" i="3" s="1"/>
  <c r="BL365" i="3"/>
  <c r="G366" i="3"/>
  <c r="G369" i="3"/>
  <c r="BL370" i="3"/>
  <c r="BA372" i="3"/>
  <c r="AZ372" i="3" s="1"/>
  <c r="BA373" i="3"/>
  <c r="BL373" i="3"/>
  <c r="AZ373" i="3" s="1"/>
  <c r="G374" i="3"/>
  <c r="G377" i="3"/>
  <c r="BL378" i="3"/>
  <c r="BA380" i="3"/>
  <c r="BA381" i="3"/>
  <c r="BL381" i="3"/>
  <c r="G382" i="3"/>
  <c r="G385" i="3"/>
  <c r="AZ162" i="3"/>
  <c r="AZ170" i="3"/>
  <c r="AZ179" i="3"/>
  <c r="AZ187" i="3"/>
  <c r="AZ191" i="3"/>
  <c r="G523" i="3"/>
  <c r="BL297" i="3"/>
  <c r="G298" i="3"/>
  <c r="BA300" i="3"/>
  <c r="BL301" i="3"/>
  <c r="G302" i="3"/>
  <c r="BA304" i="3"/>
  <c r="AZ304" i="3" s="1"/>
  <c r="BL305" i="3"/>
  <c r="G306" i="3"/>
  <c r="BA308" i="3"/>
  <c r="BL309" i="3"/>
  <c r="G310" i="3"/>
  <c r="BA310" i="3"/>
  <c r="BL311" i="3"/>
  <c r="AZ311" i="3" s="1"/>
  <c r="G312" i="3"/>
  <c r="BA312" i="3"/>
  <c r="AZ312" i="3" s="1"/>
  <c r="BL313" i="3"/>
  <c r="G314" i="3"/>
  <c r="BA314" i="3"/>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BL345" i="3"/>
  <c r="G346" i="3"/>
  <c r="BA348" i="3"/>
  <c r="AZ348" i="3" s="1"/>
  <c r="BL349" i="3"/>
  <c r="G350" i="3"/>
  <c r="BA352" i="3"/>
  <c r="BL353" i="3"/>
  <c r="G354" i="3"/>
  <c r="BA356" i="3"/>
  <c r="BL357" i="3"/>
  <c r="G358" i="3"/>
  <c r="BA362" i="3"/>
  <c r="AZ362" i="3" s="1"/>
  <c r="BL363" i="3"/>
  <c r="G364" i="3"/>
  <c r="BA366" i="3"/>
  <c r="BL367" i="3"/>
  <c r="AZ367" i="3" s="1"/>
  <c r="AZ205" i="3"/>
  <c r="AZ209" i="3"/>
  <c r="AZ237" i="3"/>
  <c r="AZ241" i="3"/>
  <c r="AZ363" i="3"/>
  <c r="G368" i="3"/>
  <c r="BA370" i="3"/>
  <c r="BL371" i="3"/>
  <c r="G372" i="3"/>
  <c r="BA374" i="3"/>
  <c r="AZ374" i="3" s="1"/>
  <c r="BL375" i="3"/>
  <c r="G376" i="3"/>
  <c r="BA378" i="3"/>
  <c r="AZ378" i="3" s="1"/>
  <c r="BL379" i="3"/>
  <c r="G380" i="3"/>
  <c r="BA382" i="3"/>
  <c r="BL383" i="3"/>
  <c r="G384" i="3"/>
  <c r="AZ383" i="3"/>
  <c r="AZ274" i="3"/>
  <c r="AZ278" i="3"/>
  <c r="AZ319" i="3"/>
  <c r="AZ347" i="3"/>
  <c r="AZ351" i="3"/>
  <c r="AZ361" i="3"/>
  <c r="AZ369" i="3"/>
  <c r="AZ414" i="3"/>
  <c r="AZ422" i="3"/>
  <c r="AZ434" i="3"/>
  <c r="AZ438" i="3"/>
  <c r="AZ467" i="3"/>
  <c r="AZ471"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H13" i="39"/>
  <c r="AB13" i="39" s="1"/>
  <c r="J13" i="39"/>
  <c r="AC13" i="39" s="1"/>
  <c r="AA36" i="35"/>
  <c r="H11" i="37"/>
  <c r="AB11" i="37" s="1"/>
  <c r="W37" i="37"/>
  <c r="AA30" i="33"/>
  <c r="AA36" i="37"/>
  <c r="U32" i="33"/>
  <c r="AB17" i="37"/>
  <c r="AZ516" i="3"/>
  <c r="AC29" i="33"/>
  <c r="AA45" i="33"/>
  <c r="AC11" i="36"/>
  <c r="AC10" i="36"/>
  <c r="AB45" i="34"/>
  <c r="AB35" i="35"/>
  <c r="W44" i="33"/>
  <c r="AC30" i="33"/>
  <c r="W30" i="33"/>
  <c r="AC29" i="37"/>
  <c r="W32" i="36"/>
  <c r="AC32" i="36"/>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s="1"/>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23" i="39"/>
  <c r="AA23" i="39" s="1"/>
  <c r="E97" i="39"/>
  <c r="F27" i="39"/>
  <c r="AA27" i="39" s="1"/>
  <c r="H27" i="39"/>
  <c r="AB27" i="39" s="1"/>
  <c r="J27" i="39"/>
  <c r="AC27" i="39" s="1"/>
  <c r="F15" i="40"/>
  <c r="AA15" i="40" s="1"/>
  <c r="J15" i="40"/>
  <c r="AC15" i="40" s="1"/>
  <c r="H15" i="40"/>
  <c r="AB15" i="40" s="1"/>
  <c r="E92" i="40"/>
  <c r="F92"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B41" i="1"/>
  <c r="F34" i="44" s="1"/>
  <c r="J42" i="40"/>
  <c r="AC42" i="40" s="1"/>
  <c r="J40" i="40"/>
  <c r="AC40" i="40" s="1"/>
  <c r="J34" i="40"/>
  <c r="AC34" i="40" s="1"/>
  <c r="H16" i="40"/>
  <c r="AB16" i="40" s="1"/>
  <c r="H14" i="40"/>
  <c r="U14" i="40" s="1"/>
  <c r="F32" i="40"/>
  <c r="AA32" i="40" s="1"/>
  <c r="AZ436" i="3"/>
  <c r="M1" i="46"/>
  <c r="M6" i="46"/>
  <c r="M10" i="46"/>
  <c r="N2" i="46"/>
  <c r="N5" i="46"/>
  <c r="F58" i="46"/>
  <c r="H61" i="46" s="1"/>
  <c r="N7" i="46"/>
  <c r="AZ469" i="3"/>
  <c r="AZ474" i="3"/>
  <c r="AZ207" i="3"/>
  <c r="AZ212" i="3"/>
  <c r="AZ239" i="3"/>
  <c r="AZ244" i="3"/>
  <c r="AZ273" i="3"/>
  <c r="AZ276" i="3"/>
  <c r="AZ121" i="3"/>
  <c r="AZ140" i="3"/>
  <c r="M7" i="46"/>
  <c r="M11" i="46"/>
  <c r="N3" i="46"/>
  <c r="N6" i="46"/>
  <c r="N10" i="46"/>
  <c r="F69" i="46"/>
  <c r="H71" i="46"/>
  <c r="AZ167" i="3"/>
  <c r="AZ24" i="3"/>
  <c r="AZ48" i="3"/>
  <c r="AZ71" i="3"/>
  <c r="J13" i="40"/>
  <c r="W13" i="40" s="1"/>
  <c r="W40" i="40"/>
  <c r="F27" i="43"/>
  <c r="AC14" i="40"/>
  <c r="S47" i="39"/>
  <c r="AC41" i="40"/>
  <c r="U41" i="40"/>
  <c r="J23" i="40"/>
  <c r="AC23" i="40" s="1"/>
  <c r="G92" i="40"/>
  <c r="F23" i="40"/>
  <c r="S23" i="40" s="1"/>
  <c r="W15" i="40"/>
  <c r="AB23" i="35"/>
  <c r="H20" i="35"/>
  <c r="F20" i="35"/>
  <c r="S20" i="35" s="1"/>
  <c r="H15" i="34"/>
  <c r="AB15" i="34" s="1"/>
  <c r="F78" i="34"/>
  <c r="G78" i="34" s="1"/>
  <c r="J15" i="34"/>
  <c r="AC15" i="34" s="1"/>
  <c r="H41" i="33"/>
  <c r="U41" i="33" s="1"/>
  <c r="F30" i="40"/>
  <c r="AA30" i="40" s="1"/>
  <c r="AZ486" i="3"/>
  <c r="AZ504" i="3"/>
  <c r="AZ529" i="3"/>
  <c r="AZ537" i="3"/>
  <c r="AZ548" i="3"/>
  <c r="AB37" i="39"/>
  <c r="AA29" i="35"/>
  <c r="U39" i="39"/>
  <c r="J29" i="39"/>
  <c r="AC29" i="39" s="1"/>
  <c r="U21" i="39"/>
  <c r="AB33" i="36"/>
  <c r="AA14" i="35"/>
  <c r="S14" i="35"/>
  <c r="G99" i="37"/>
  <c r="F33" i="37"/>
  <c r="AA33" i="37" s="1"/>
  <c r="AB19" i="39"/>
  <c r="U46" i="34"/>
  <c r="AC30" i="34"/>
  <c r="AA14" i="34"/>
  <c r="W12" i="34"/>
  <c r="U29" i="33"/>
  <c r="AC13" i="33"/>
  <c r="U17" i="34"/>
  <c r="AA11" i="34"/>
  <c r="W32" i="33"/>
  <c r="H15" i="33"/>
  <c r="U15" i="33"/>
  <c r="AA11" i="33"/>
  <c r="AA40" i="21"/>
  <c r="U16" i="40"/>
  <c r="W34" i="40"/>
  <c r="U42" i="40"/>
  <c r="H25" i="40"/>
  <c r="AB25" i="40" s="1"/>
  <c r="U47" i="39"/>
  <c r="J37" i="34"/>
  <c r="AC37" i="34" s="1"/>
  <c r="J36" i="33"/>
  <c r="W36" i="33" s="1"/>
  <c r="S41" i="40"/>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AA37" i="39"/>
  <c r="W29" i="35"/>
  <c r="AC39" i="39"/>
  <c r="AA39" i="39"/>
  <c r="S39" i="39"/>
  <c r="AB46" i="39"/>
  <c r="AA33" i="39"/>
  <c r="S33" i="39"/>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U20" i="35"/>
  <c r="AB20" i="35"/>
  <c r="W23" i="40"/>
  <c r="AP11" i="1"/>
  <c r="B11" i="1"/>
  <c r="E11" i="1" s="1"/>
  <c r="K11" i="1"/>
  <c r="M11" i="1" s="1"/>
  <c r="O11" i="1" s="1"/>
  <c r="B9" i="1"/>
  <c r="E9" i="1" s="1"/>
  <c r="K9" i="1"/>
  <c r="M9" i="1" s="1"/>
  <c r="O9" i="1" s="1"/>
  <c r="P9" i="1" s="1"/>
  <c r="B7" i="1"/>
  <c r="E7" i="1" s="1"/>
  <c r="K7" i="1"/>
  <c r="M7" i="1" s="1"/>
  <c r="O7" i="1" s="1"/>
  <c r="P7" i="1" s="1"/>
  <c r="C20" i="43"/>
  <c r="F6" i="1"/>
  <c r="AP6" i="1" s="1"/>
  <c r="G11" i="1"/>
  <c r="M22" i="44"/>
  <c r="F32" i="15"/>
  <c r="F59" i="15" s="1"/>
  <c r="D86" i="9"/>
  <c r="AC25" i="36"/>
  <c r="S23" i="36"/>
  <c r="S8" i="36"/>
  <c r="AA26" i="36"/>
  <c r="AA28" i="36"/>
  <c r="U25" i="36"/>
  <c r="H20" i="36"/>
  <c r="U20" i="36" s="1"/>
  <c r="F68" i="36"/>
  <c r="G68" i="36" s="1"/>
  <c r="J20" i="36"/>
  <c r="AC20" i="36" s="1"/>
  <c r="F20" i="36"/>
  <c r="F62" i="36"/>
  <c r="G62" i="36" s="1"/>
  <c r="J14" i="36"/>
  <c r="W14" i="36" s="1"/>
  <c r="H14" i="36"/>
  <c r="F14" i="36"/>
  <c r="W20" i="36"/>
  <c r="U27" i="36"/>
  <c r="U32" i="36"/>
  <c r="AB12" i="36"/>
  <c r="U9" i="36"/>
  <c r="S33" i="36"/>
  <c r="AA27" i="36"/>
  <c r="S16" i="36"/>
  <c r="S29" i="36"/>
  <c r="AC33" i="35"/>
  <c r="U22" i="35"/>
  <c r="AA13" i="35"/>
  <c r="S8" i="35"/>
  <c r="U33" i="35"/>
  <c r="W20"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AA32" i="37"/>
  <c r="J33" i="37"/>
  <c r="W33" i="37" s="1"/>
  <c r="H99" i="37"/>
  <c r="I99" i="37" s="1"/>
  <c r="J99" i="37"/>
  <c r="K99" i="37" s="1"/>
  <c r="L99" i="37" s="1"/>
  <c r="M99" i="37" s="1"/>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AC35" i="33"/>
  <c r="S29" i="33"/>
  <c r="W31" i="33"/>
  <c r="W43" i="33"/>
  <c r="U46" i="33"/>
  <c r="W39" i="33"/>
  <c r="U35" i="33"/>
  <c r="W26" i="33"/>
  <c r="AB26" i="33"/>
  <c r="H25" i="33"/>
  <c r="J25" i="33"/>
  <c r="F87" i="33"/>
  <c r="G87" i="33" s="1"/>
  <c r="H87" i="33" s="1"/>
  <c r="I87" i="33" s="1"/>
  <c r="J87" i="33" s="1"/>
  <c r="K87" i="33" s="1"/>
  <c r="L87" i="33" s="1"/>
  <c r="M87" i="33" s="1"/>
  <c r="F25" i="33"/>
  <c r="S25" i="33" s="1"/>
  <c r="G85" i="33"/>
  <c r="J23" i="33"/>
  <c r="F23" i="33"/>
  <c r="AA23" i="33" s="1"/>
  <c r="H23" i="33"/>
  <c r="U19" i="33"/>
  <c r="G79" i="33"/>
  <c r="F17" i="33"/>
  <c r="H17" i="33"/>
  <c r="AB17" i="33" s="1"/>
  <c r="J17" i="33"/>
  <c r="AB15" i="33"/>
  <c r="S10" i="33"/>
  <c r="S14" i="33"/>
  <c r="W10" i="33"/>
  <c r="AC21" i="33"/>
  <c r="W21" i="33"/>
  <c r="W14" i="33"/>
  <c r="AB10" i="33"/>
  <c r="AB21" i="33"/>
  <c r="U21" i="33"/>
  <c r="AA21" i="33"/>
  <c r="S21" i="33"/>
  <c r="AA44" i="33"/>
  <c r="AA36" i="33"/>
  <c r="S44" i="21"/>
  <c r="W39" i="21"/>
  <c r="AC34" i="21"/>
  <c r="U35" i="21"/>
  <c r="W43" i="21"/>
  <c r="S42" i="21"/>
  <c r="AB32" i="21"/>
  <c r="W28" i="21"/>
  <c r="AC46" i="21"/>
  <c r="AC26" i="21"/>
  <c r="J23" i="21"/>
  <c r="W23" i="21" s="1"/>
  <c r="F23" i="21"/>
  <c r="AA23" i="21" s="1"/>
  <c r="H23" i="21"/>
  <c r="AB23" i="21" s="1"/>
  <c r="W13" i="21"/>
  <c r="AC21" i="21"/>
  <c r="W21" i="21"/>
  <c r="W44" i="21"/>
  <c r="W10" i="21"/>
  <c r="AC38" i="21"/>
  <c r="AB21" i="21"/>
  <c r="U21" i="21"/>
  <c r="AB29" i="21"/>
  <c r="AA30" i="21"/>
  <c r="AA31" i="21"/>
  <c r="U33" i="40"/>
  <c r="U15" i="40"/>
  <c r="S14" i="40"/>
  <c r="S15" i="40"/>
  <c r="AB13" i="40"/>
  <c r="S16" i="40"/>
  <c r="W11" i="40"/>
  <c r="AA21" i="40"/>
  <c r="U21" i="40"/>
  <c r="W25" i="40"/>
  <c r="U25" i="40"/>
  <c r="W42" i="40"/>
  <c r="F37" i="40"/>
  <c r="J37" i="40"/>
  <c r="AC37" i="40" s="1"/>
  <c r="H37" i="40"/>
  <c r="G113" i="40"/>
  <c r="H113" i="40" s="1"/>
  <c r="I113" i="40" s="1"/>
  <c r="J113" i="40" s="1"/>
  <c r="K113" i="40" s="1"/>
  <c r="L113" i="40" s="1"/>
  <c r="M113" i="40" s="1"/>
  <c r="F39" i="40"/>
  <c r="S38" i="40"/>
  <c r="H39" i="40"/>
  <c r="J39" i="40"/>
  <c r="W39" i="40" s="1"/>
  <c r="W38" i="40"/>
  <c r="F29" i="40"/>
  <c r="H29" i="40"/>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AB45" i="39"/>
  <c r="S27" i="39"/>
  <c r="AA21" i="39"/>
  <c r="AC19" i="39"/>
  <c r="AC38" i="39"/>
  <c r="AC21" i="39"/>
  <c r="U11" i="39"/>
  <c r="AB38" i="39"/>
  <c r="U31" i="39"/>
  <c r="AB31" i="39"/>
  <c r="S38" i="39"/>
  <c r="S22" i="31"/>
  <c r="R22" i="31" s="1"/>
  <c r="B21" i="31" s="1"/>
  <c r="M20" i="15"/>
  <c r="D96" i="9"/>
  <c r="M18" i="15"/>
  <c r="A18" i="64"/>
  <c r="B74" i="63" s="1"/>
  <c r="C53" i="10"/>
  <c r="A25" i="64" s="1"/>
  <c r="A18" i="51"/>
  <c r="B14" i="63" s="1"/>
  <c r="BA16" i="3"/>
  <c r="BA17" i="3"/>
  <c r="AZ17" i="3"/>
  <c r="F3" i="35"/>
  <c r="K1" i="43"/>
  <c r="K1" i="12"/>
  <c r="G1" i="44"/>
  <c r="I4" i="6"/>
  <c r="G3" i="46"/>
  <c r="AZ15" i="3"/>
  <c r="BK5" i="3"/>
  <c r="BO5" i="3"/>
  <c r="BP5" i="3"/>
  <c r="BN5" i="3"/>
  <c r="BL18" i="3"/>
  <c r="AZ18" i="3" s="1"/>
  <c r="BC5" i="3"/>
  <c r="BD5" i="3"/>
  <c r="BR5" i="3"/>
  <c r="BS5" i="3"/>
  <c r="BQ5" i="3"/>
  <c r="BL16" i="3"/>
  <c r="BM5"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51" s="1"/>
  <c r="B9" i="63" s="1"/>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G66" i="36" s="1"/>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A29" i="21"/>
  <c r="U27" i="21"/>
  <c r="W31" i="21"/>
  <c r="S27" i="21"/>
  <c r="AC27" i="21"/>
  <c r="W29" i="21"/>
  <c r="G96" i="40"/>
  <c r="J27" i="40"/>
  <c r="W27" i="40" s="1"/>
  <c r="W37" i="40"/>
  <c r="S17" i="40"/>
  <c r="W30" i="40"/>
  <c r="S34" i="40"/>
  <c r="U17" i="40"/>
  <c r="U38" i="40"/>
  <c r="S40" i="40"/>
  <c r="S42" i="40"/>
  <c r="J31" i="39"/>
  <c r="AC31" i="39" s="1"/>
  <c r="S45" i="39"/>
  <c r="AB33" i="39"/>
  <c r="AC46" i="39"/>
  <c r="S34" i="39"/>
  <c r="W42" i="39"/>
  <c r="AC37" i="39"/>
  <c r="W45" i="39"/>
  <c r="AA46" i="39"/>
  <c r="W10" i="39"/>
  <c r="W11" i="39"/>
  <c r="S32" i="40"/>
  <c r="C27" i="39"/>
  <c r="C17" i="40"/>
  <c r="C19" i="40"/>
  <c r="C17" i="39"/>
  <c r="C19" i="39"/>
  <c r="C21" i="39"/>
  <c r="C23" i="40"/>
  <c r="B48" i="46"/>
  <c r="B51" i="46"/>
  <c r="B55" i="46"/>
  <c r="B59" i="46"/>
  <c r="B62" i="46"/>
  <c r="B66" i="46"/>
  <c r="B53" i="46"/>
  <c r="B64" i="46"/>
  <c r="D24" i="15"/>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AC39" i="40"/>
  <c r="AA39" i="40"/>
  <c r="S39" i="40"/>
  <c r="U37" i="40"/>
  <c r="AB37" i="40"/>
  <c r="AA37" i="40"/>
  <c r="S37" i="40"/>
  <c r="U29" i="40"/>
  <c r="AB29" i="40"/>
  <c r="AC29" i="40"/>
  <c r="W29" i="40"/>
  <c r="AA29" i="40"/>
  <c r="S29" i="40"/>
  <c r="W19" i="40"/>
  <c r="AA19" i="40"/>
  <c r="AB19" i="40"/>
  <c r="U19" i="40"/>
  <c r="B20" i="31"/>
  <c r="AT6" i="3"/>
  <c r="G29" i="6"/>
  <c r="AZ16" i="3"/>
  <c r="A9" i="64"/>
  <c r="E4" i="4"/>
  <c r="B21" i="55" s="1"/>
  <c r="B72" i="63" s="1"/>
  <c r="C4" i="4"/>
  <c r="B20" i="55" s="1"/>
  <c r="B70" i="63" s="1"/>
  <c r="J18" i="36"/>
  <c r="W18" i="36" s="1"/>
  <c r="AE8" i="1"/>
  <c r="AE7" i="1"/>
  <c r="AE6" i="1"/>
  <c r="AG6" i="1"/>
  <c r="L20" i="6"/>
  <c r="S8" i="1"/>
  <c r="S9" i="1"/>
  <c r="R9" i="1"/>
  <c r="R8" i="1"/>
  <c r="C45" i="9"/>
  <c r="H14" i="66" s="1"/>
  <c r="B7" i="66" s="1"/>
  <c r="N76" i="9"/>
  <c r="C46" i="9"/>
  <c r="K33" i="9" s="1"/>
  <c r="H58" i="46"/>
  <c r="J17" i="46"/>
  <c r="C17" i="46"/>
  <c r="F34" i="46"/>
  <c r="F38" i="46"/>
  <c r="F37" i="46"/>
  <c r="H113" i="46"/>
  <c r="H49" i="46"/>
  <c r="H53" i="46"/>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H22" i="46"/>
  <c r="Y11" i="46"/>
  <c r="Y13" i="46" s="1"/>
  <c r="H101" i="46"/>
  <c r="H105" i="46" s="1"/>
  <c r="G22" i="46"/>
  <c r="J22" i="46"/>
  <c r="F101" i="46"/>
  <c r="F103" i="46" s="1"/>
  <c r="D101" i="46"/>
  <c r="D107" i="46" s="1"/>
  <c r="P11" i="1"/>
  <c r="AP7" i="1"/>
  <c r="H70" i="46"/>
  <c r="H73" i="46"/>
  <c r="H50" i="46"/>
  <c r="H48" i="46"/>
  <c r="F35" i="46"/>
  <c r="I17" i="46"/>
  <c r="H63" i="46"/>
  <c r="I101" i="46"/>
  <c r="M101" i="46"/>
  <c r="M107" i="46" s="1"/>
  <c r="N101" i="46"/>
  <c r="N103" i="46" s="1"/>
  <c r="AC11" i="46"/>
  <c r="AD11" i="46"/>
  <c r="AJ11" i="46"/>
  <c r="H64" i="46"/>
  <c r="H66" i="46"/>
  <c r="D100" i="46"/>
  <c r="H62" i="46"/>
  <c r="AF12" i="46"/>
  <c r="K100" i="46"/>
  <c r="AB12" i="46"/>
  <c r="AJ12" i="46"/>
  <c r="C101" i="46"/>
  <c r="C109" i="46" s="1"/>
  <c r="G101" i="46"/>
  <c r="G106" i="46" s="1"/>
  <c r="J101" i="46"/>
  <c r="J107" i="46" s="1"/>
  <c r="B113" i="46"/>
  <c r="I118" i="46" s="1"/>
  <c r="J118" i="46" s="1"/>
  <c r="K118" i="46" s="1"/>
  <c r="L118" i="46" s="1"/>
  <c r="M118" i="46" s="1"/>
  <c r="N104" i="45"/>
  <c r="L101" i="46"/>
  <c r="F22" i="46"/>
  <c r="E101" i="46"/>
  <c r="E107" i="46" s="1"/>
  <c r="Z7" i="46"/>
  <c r="K101" i="46"/>
  <c r="K106" i="46" s="1"/>
  <c r="E22" i="46"/>
  <c r="AG11" i="46"/>
  <c r="AG13" i="46" s="1"/>
  <c r="Z11" i="46"/>
  <c r="AH11" i="46"/>
  <c r="AA11" i="46"/>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B16" i="59"/>
  <c r="B15" i="59" s="1"/>
  <c r="C23" i="46"/>
  <c r="G20" i="46"/>
  <c r="E41" i="46" s="1"/>
  <c r="C41" i="46" s="1"/>
  <c r="S5" i="46"/>
  <c r="S2" i="46"/>
  <c r="S3" i="46"/>
  <c r="S7" i="46"/>
  <c r="S6" i="46"/>
  <c r="S4" i="46"/>
  <c r="F18" i="44"/>
  <c r="M24" i="44"/>
  <c r="I5" i="65"/>
  <c r="B13" i="67"/>
  <c r="M23" i="15"/>
  <c r="N7" i="65"/>
  <c r="F15" i="44"/>
  <c r="L48" i="15"/>
  <c r="N5" i="65"/>
  <c r="M11" i="44"/>
  <c r="I3" i="65"/>
  <c r="E14" i="67"/>
  <c r="F43" i="44"/>
  <c r="F28" i="44"/>
  <c r="M30" i="44"/>
  <c r="N6" i="65"/>
  <c r="M6" i="15"/>
  <c r="J6" i="65"/>
  <c r="F38" i="15"/>
  <c r="F46" i="44"/>
  <c r="M8" i="44"/>
  <c r="F8" i="67"/>
  <c r="M26" i="15"/>
  <c r="F38" i="44"/>
  <c r="E10" i="67"/>
  <c r="L48" i="44"/>
  <c r="E9" i="67"/>
  <c r="M27" i="15"/>
  <c r="M25" i="44"/>
  <c r="F39" i="44"/>
  <c r="F6" i="15"/>
  <c r="F11" i="44"/>
  <c r="J17" i="44"/>
  <c r="F35" i="15"/>
  <c r="F13" i="15"/>
  <c r="M29" i="44"/>
  <c r="J5" i="65"/>
  <c r="J4" i="65"/>
  <c r="B14" i="67"/>
  <c r="M24" i="15"/>
  <c r="M9" i="15"/>
  <c r="F41" i="15"/>
  <c r="M8" i="15"/>
  <c r="M10" i="44"/>
  <c r="C19" i="44"/>
  <c r="M22" i="15"/>
  <c r="B12" i="67"/>
  <c r="I7" i="65"/>
  <c r="F9" i="44"/>
  <c r="M28" i="15"/>
  <c r="F7" i="15"/>
  <c r="L47" i="15"/>
  <c r="F10" i="67"/>
  <c r="N3" i="65"/>
  <c r="J3" i="65"/>
  <c r="L49" i="44"/>
  <c r="F11" i="67"/>
  <c r="B11" i="67"/>
  <c r="F13" i="67"/>
  <c r="F16" i="15"/>
  <c r="I6" i="65"/>
  <c r="J36" i="15"/>
  <c r="M31" i="44"/>
  <c r="M26" i="44"/>
  <c r="F10" i="44"/>
  <c r="F8" i="44"/>
  <c r="F9" i="15"/>
  <c r="E8" i="67"/>
  <c r="J15" i="15"/>
  <c r="M29" i="15"/>
  <c r="F14" i="67"/>
  <c r="F9" i="67"/>
  <c r="F37" i="15"/>
  <c r="M28" i="44"/>
  <c r="F12" i="67"/>
  <c r="B9" i="67"/>
  <c r="E12" i="67"/>
  <c r="F43" i="15"/>
  <c r="F45" i="44"/>
  <c r="F40" i="15"/>
  <c r="F26" i="15"/>
  <c r="I4" i="65"/>
  <c r="F42" i="15"/>
  <c r="M21" i="15"/>
  <c r="F36" i="15"/>
  <c r="E13" i="67"/>
  <c r="B10" i="67"/>
  <c r="F8" i="15"/>
  <c r="M23" i="44"/>
  <c r="F37" i="44"/>
  <c r="B8" i="67"/>
  <c r="J7" i="65"/>
  <c r="N4" i="65"/>
  <c r="E11" i="67"/>
  <c r="F40" i="44"/>
  <c r="S39" i="37" l="1"/>
  <c r="AA39" i="37"/>
  <c r="BA572" i="3"/>
  <c r="AZ572" i="3" s="1"/>
  <c r="AA10" i="21"/>
  <c r="S10" i="21"/>
  <c r="E109" i="46"/>
  <c r="A3" i="55"/>
  <c r="B56" i="63" s="1"/>
  <c r="AC13" i="40"/>
  <c r="W32" i="40"/>
  <c r="AB34" i="40"/>
  <c r="AB37" i="34"/>
  <c r="AC47" i="39"/>
  <c r="AZ482" i="3"/>
  <c r="AZ489" i="3"/>
  <c r="AZ490" i="3"/>
  <c r="AZ496" i="3"/>
  <c r="AZ523" i="3"/>
  <c r="AZ539" i="3"/>
  <c r="AZ547" i="3"/>
  <c r="AZ549" i="3"/>
  <c r="AZ352" i="3"/>
  <c r="AZ344" i="3"/>
  <c r="AZ300" i="3"/>
  <c r="AZ339" i="3"/>
  <c r="AZ331" i="3"/>
  <c r="AZ323" i="3"/>
  <c r="AZ299" i="3"/>
  <c r="AZ377" i="3"/>
  <c r="AZ343" i="3"/>
  <c r="AZ327" i="3"/>
  <c r="AZ322" i="3"/>
  <c r="AA46" i="33"/>
  <c r="S46" i="33"/>
  <c r="W28" i="33"/>
  <c r="AC28" i="33"/>
  <c r="W34" i="36"/>
  <c r="AC34" i="36"/>
  <c r="W40" i="21"/>
  <c r="AC40" i="21"/>
  <c r="F12" i="21"/>
  <c r="J12" i="21"/>
  <c r="J14" i="21"/>
  <c r="H14" i="21"/>
  <c r="U14" i="21" s="1"/>
  <c r="S28" i="21"/>
  <c r="AA28" i="21"/>
  <c r="H30" i="21"/>
  <c r="J30" i="21"/>
  <c r="H46" i="21"/>
  <c r="AB46" i="21" s="1"/>
  <c r="F46" i="21"/>
  <c r="AA46" i="21" s="1"/>
  <c r="F69" i="21"/>
  <c r="G69" i="21" s="1"/>
  <c r="H69" i="21" s="1"/>
  <c r="I69" i="21" s="1"/>
  <c r="J69" i="21" s="1"/>
  <c r="K69" i="21" s="1"/>
  <c r="L69" i="21" s="1"/>
  <c r="M69" i="21" s="1"/>
  <c r="H11" i="21"/>
  <c r="F9" i="21"/>
  <c r="J9" i="21"/>
  <c r="AC9" i="21" s="1"/>
  <c r="H9" i="21"/>
  <c r="S12" i="33"/>
  <c r="AA12" i="33"/>
  <c r="H36" i="39"/>
  <c r="AB36" i="39" s="1"/>
  <c r="F36" i="39"/>
  <c r="AA36" i="39" s="1"/>
  <c r="F27" i="33"/>
  <c r="S27" i="33" s="1"/>
  <c r="U33" i="33"/>
  <c r="W39" i="34"/>
  <c r="W9" i="34"/>
  <c r="W24" i="35"/>
  <c r="U26" i="36"/>
  <c r="G572" i="3"/>
  <c r="G570" i="3"/>
  <c r="J23" i="36"/>
  <c r="G567" i="3"/>
  <c r="G563" i="3"/>
  <c r="G559" i="3"/>
  <c r="G540" i="3"/>
  <c r="G536" i="3"/>
  <c r="G532" i="3"/>
  <c r="G516" i="3"/>
  <c r="G512" i="3"/>
  <c r="G505" i="3"/>
  <c r="G490" i="3"/>
  <c r="G489" i="3"/>
  <c r="J36" i="39"/>
  <c r="AC36" i="39" s="1"/>
  <c r="BA389" i="3"/>
  <c r="AZ389" i="3" s="1"/>
  <c r="BA390" i="3"/>
  <c r="AZ390" i="3" s="1"/>
  <c r="BA391" i="3"/>
  <c r="AZ391" i="3" s="1"/>
  <c r="BL393" i="3"/>
  <c r="G394" i="3"/>
  <c r="BA395" i="3"/>
  <c r="AZ395" i="3" s="1"/>
  <c r="BL395" i="3"/>
  <c r="BA396" i="3"/>
  <c r="AZ396" i="3" s="1"/>
  <c r="BA398" i="3"/>
  <c r="BL398" i="3"/>
  <c r="BL400" i="3"/>
  <c r="G401" i="3"/>
  <c r="BA402" i="3"/>
  <c r="BL402" i="3"/>
  <c r="BL404" i="3"/>
  <c r="G405" i="3"/>
  <c r="G409" i="3"/>
  <c r="BL410" i="3"/>
  <c r="G411" i="3"/>
  <c r="G414" i="3"/>
  <c r="G416" i="3"/>
  <c r="BA417" i="3"/>
  <c r="AZ417" i="3" s="1"/>
  <c r="BL417" i="3"/>
  <c r="BL419" i="3"/>
  <c r="G420" i="3"/>
  <c r="BA423" i="3"/>
  <c r="AZ423" i="3" s="1"/>
  <c r="BL425" i="3"/>
  <c r="G426" i="3"/>
  <c r="BA427" i="3"/>
  <c r="BL427" i="3"/>
  <c r="BL429" i="3"/>
  <c r="G430" i="3"/>
  <c r="BL431" i="3"/>
  <c r="G432" i="3"/>
  <c r="G434" i="3"/>
  <c r="G438" i="3"/>
  <c r="G440" i="3"/>
  <c r="BL441" i="3"/>
  <c r="G442" i="3"/>
  <c r="BA443" i="3"/>
  <c r="AZ443" i="3" s="1"/>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G212" i="3"/>
  <c r="G214" i="3"/>
  <c r="BL215" i="3"/>
  <c r="G216" i="3"/>
  <c r="G218" i="3"/>
  <c r="BA219" i="3"/>
  <c r="BL219" i="3"/>
  <c r="BA221" i="3"/>
  <c r="BL221" i="3"/>
  <c r="BA222" i="3"/>
  <c r="AZ222" i="3" s="1"/>
  <c r="BA223" i="3"/>
  <c r="AZ223" i="3" s="1"/>
  <c r="BA225" i="3"/>
  <c r="BL225" i="3"/>
  <c r="BA226" i="3"/>
  <c r="AZ226" i="3" s="1"/>
  <c r="BA228" i="3"/>
  <c r="AZ228" i="3" s="1"/>
  <c r="BL228" i="3"/>
  <c r="BL230" i="3"/>
  <c r="G231" i="3"/>
  <c r="BA232" i="3"/>
  <c r="AZ232" i="3" s="1"/>
  <c r="BL232" i="3"/>
  <c r="BL234" i="3"/>
  <c r="G235" i="3"/>
  <c r="G237" i="3"/>
  <c r="G241"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G288" i="3"/>
  <c r="BL289" i="3"/>
  <c r="G290" i="3"/>
  <c r="BA291" i="3"/>
  <c r="BL291" i="3"/>
  <c r="BL293" i="3"/>
  <c r="G294" i="3"/>
  <c r="G296" i="3"/>
  <c r="BA113" i="3"/>
  <c r="AZ113" i="3" s="1"/>
  <c r="BL113" i="3"/>
  <c r="BA115" i="3"/>
  <c r="AZ115" i="3" s="1"/>
  <c r="G125" i="3"/>
  <c r="G127" i="3"/>
  <c r="BL128" i="3"/>
  <c r="G129" i="3"/>
  <c r="BA132" i="3"/>
  <c r="BL132" i="3"/>
  <c r="BL133" i="3"/>
  <c r="G134" i="3"/>
  <c r="BA135" i="3"/>
  <c r="AZ135" i="3" s="1"/>
  <c r="BL137" i="3"/>
  <c r="G138" i="3"/>
  <c r="BA139" i="3"/>
  <c r="AZ139" i="3" s="1"/>
  <c r="BA145" i="3"/>
  <c r="BL145" i="3"/>
  <c r="BA147" i="3"/>
  <c r="AZ147" i="3" s="1"/>
  <c r="G151" i="3"/>
  <c r="BL152" i="3"/>
  <c r="G153" i="3"/>
  <c r="BA154" i="3"/>
  <c r="AZ154" i="3" s="1"/>
  <c r="BA156" i="3"/>
  <c r="AZ156" i="3" s="1"/>
  <c r="BL156" i="3"/>
  <c r="BA158" i="3"/>
  <c r="AZ158" i="3" s="1"/>
  <c r="BL164" i="3"/>
  <c r="G165" i="3"/>
  <c r="BA166" i="3"/>
  <c r="AZ166" i="3" s="1"/>
  <c r="G170" i="3"/>
  <c r="BL171" i="3"/>
  <c r="G172" i="3"/>
  <c r="BA175" i="3"/>
  <c r="BL175" i="3"/>
  <c r="BA176" i="3"/>
  <c r="AZ176" i="3" s="1"/>
  <c r="BA177" i="3"/>
  <c r="AZ177" i="3" s="1"/>
  <c r="BL178" i="3"/>
  <c r="AZ178" i="3" s="1"/>
  <c r="BA181" i="3"/>
  <c r="AZ181" i="3" s="1"/>
  <c r="BL183" i="3"/>
  <c r="G184" i="3"/>
  <c r="BA185" i="3"/>
  <c r="AZ185" i="3" s="1"/>
  <c r="BL195" i="3"/>
  <c r="G196" i="3"/>
  <c r="BA197" i="3"/>
  <c r="AZ197" i="3" s="1"/>
  <c r="BL199" i="3"/>
  <c r="G200" i="3"/>
  <c r="BA201" i="3"/>
  <c r="AZ201" i="3" s="1"/>
  <c r="G202" i="3"/>
  <c r="G204" i="3"/>
  <c r="G22" i="3"/>
  <c r="G26" i="3"/>
  <c r="G29" i="3"/>
  <c r="G31" i="3"/>
  <c r="G33" i="3"/>
  <c r="G35" i="3"/>
  <c r="G38" i="3"/>
  <c r="BL39" i="3"/>
  <c r="G40" i="3"/>
  <c r="BA41" i="3"/>
  <c r="BL41" i="3"/>
  <c r="BA42" i="3"/>
  <c r="AZ42" i="3" s="1"/>
  <c r="BA43" i="3"/>
  <c r="AZ43" i="3" s="1"/>
  <c r="BL45" i="3"/>
  <c r="G46" i="3"/>
  <c r="G48" i="3"/>
  <c r="G51" i="3"/>
  <c r="BA53" i="3"/>
  <c r="BL53" i="3"/>
  <c r="BL54" i="3"/>
  <c r="G55" i="3"/>
  <c r="BL56" i="3"/>
  <c r="G57" i="3"/>
  <c r="BL59" i="3"/>
  <c r="G60" i="3"/>
  <c r="BA62" i="3"/>
  <c r="BL62" i="3"/>
  <c r="BL64" i="3"/>
  <c r="G65" i="3"/>
  <c r="G67" i="3"/>
  <c r="G69" i="3"/>
  <c r="G73" i="3"/>
  <c r="G76" i="3"/>
  <c r="G78" i="3"/>
  <c r="G80" i="3"/>
  <c r="G82" i="3"/>
  <c r="G86" i="3"/>
  <c r="BA88" i="3"/>
  <c r="BL88" i="3"/>
  <c r="BL89" i="3"/>
  <c r="G90" i="3"/>
  <c r="BL91" i="3"/>
  <c r="G92" i="3"/>
  <c r="BL94" i="3"/>
  <c r="G95" i="3"/>
  <c r="BA97" i="3"/>
  <c r="BL97" i="3"/>
  <c r="BA99" i="3"/>
  <c r="BL99" i="3"/>
  <c r="BL100" i="3"/>
  <c r="G101" i="3"/>
  <c r="G103" i="3"/>
  <c r="BA104" i="3"/>
  <c r="AZ104" i="3" s="1"/>
  <c r="BL104" i="3"/>
  <c r="BA105" i="3"/>
  <c r="AZ105" i="3" s="1"/>
  <c r="BA106" i="3"/>
  <c r="AZ106" i="3" s="1"/>
  <c r="BA107" i="3"/>
  <c r="AZ107" i="3" s="1"/>
  <c r="BL109" i="3"/>
  <c r="G110" i="3"/>
  <c r="BA111" i="3"/>
  <c r="BL111" i="3"/>
  <c r="AB23" i="59"/>
  <c r="AA12" i="46"/>
  <c r="AA13" i="46" s="1"/>
  <c r="E26" i="57"/>
  <c r="I15" i="57"/>
  <c r="B74" i="46"/>
  <c r="C31" i="39"/>
  <c r="S27" i="40"/>
  <c r="AB25" i="59"/>
  <c r="AB26" i="59"/>
  <c r="AB27" i="59"/>
  <c r="AA22" i="59"/>
  <c r="X30" i="59"/>
  <c r="AA30" i="59"/>
  <c r="X31" i="59"/>
  <c r="AA31" i="59"/>
  <c r="C34" i="59"/>
  <c r="U36" i="39"/>
  <c r="S36" i="39"/>
  <c r="S17" i="39"/>
  <c r="S15" i="39"/>
  <c r="W32" i="21"/>
  <c r="F81" i="21"/>
  <c r="G81" i="21" s="1"/>
  <c r="H19" i="21"/>
  <c r="AB19" i="21" s="1"/>
  <c r="F19" i="21"/>
  <c r="J19" i="21"/>
  <c r="F79" i="21"/>
  <c r="G79" i="21" s="1"/>
  <c r="F17" i="21"/>
  <c r="S17" i="21" s="1"/>
  <c r="J17" i="21"/>
  <c r="H17" i="21"/>
  <c r="AB17" i="21" s="1"/>
  <c r="AC11" i="21"/>
  <c r="AA11" i="21"/>
  <c r="F15" i="21"/>
  <c r="H15" i="21"/>
  <c r="AB15" i="21" s="1"/>
  <c r="F77" i="21"/>
  <c r="G77" i="21" s="1"/>
  <c r="J15" i="21"/>
  <c r="AC15" i="21" s="1"/>
  <c r="U14" i="39"/>
  <c r="S14" i="39"/>
  <c r="W14" i="39"/>
  <c r="W41" i="39"/>
  <c r="S16" i="39"/>
  <c r="AA16" i="39"/>
  <c r="J16" i="39"/>
  <c r="H16" i="39"/>
  <c r="AB15" i="39"/>
  <c r="W15" i="39"/>
  <c r="AJ13" i="46"/>
  <c r="AC27" i="40"/>
  <c r="AH13" i="46"/>
  <c r="AD13" i="46"/>
  <c r="G17" i="46"/>
  <c r="C16" i="46" s="1"/>
  <c r="AC18" i="36"/>
  <c r="A17" i="51"/>
  <c r="B13" i="63" s="1"/>
  <c r="W34" i="33"/>
  <c r="AC36" i="33"/>
  <c r="S33" i="40"/>
  <c r="AB14" i="40"/>
  <c r="U14" i="37"/>
  <c r="AB14" i="37"/>
  <c r="AC39" i="37"/>
  <c r="W39" i="37"/>
  <c r="C7" i="46"/>
  <c r="H113" i="21"/>
  <c r="F37" i="21"/>
  <c r="H37" i="21"/>
  <c r="U37" i="21" s="1"/>
  <c r="J37" i="21"/>
  <c r="U27" i="33"/>
  <c r="AB27" i="33"/>
  <c r="U45" i="33"/>
  <c r="AB45" i="33"/>
  <c r="AZ494" i="3"/>
  <c r="AZ497" i="3"/>
  <c r="AZ499" i="3"/>
  <c r="AZ507" i="3"/>
  <c r="AZ515" i="3"/>
  <c r="AZ522" i="3"/>
  <c r="AZ526" i="3"/>
  <c r="AZ530" i="3"/>
  <c r="AZ571" i="3"/>
  <c r="AB15" i="37"/>
  <c r="AZ370" i="3"/>
  <c r="AZ356" i="3"/>
  <c r="AZ345" i="3"/>
  <c r="AZ340" i="3"/>
  <c r="AZ329" i="3"/>
  <c r="AZ324" i="3"/>
  <c r="AZ305" i="3"/>
  <c r="AZ381" i="3"/>
  <c r="AZ359" i="3"/>
  <c r="AZ358" i="3"/>
  <c r="AZ355" i="3"/>
  <c r="AZ307" i="3"/>
  <c r="U12" i="37"/>
  <c r="AC23" i="37"/>
  <c r="AZ500" i="3"/>
  <c r="AZ510" i="3"/>
  <c r="AZ552" i="3"/>
  <c r="AZ492" i="3"/>
  <c r="AZ544" i="3"/>
  <c r="H5" i="3"/>
  <c r="BI5" i="3"/>
  <c r="BA570" i="3"/>
  <c r="AZ570" i="3" s="1"/>
  <c r="BT5" i="3"/>
  <c r="G28" i="6" s="1"/>
  <c r="G30" i="6" s="1"/>
  <c r="G31" i="6" s="1"/>
  <c r="BG5" i="3"/>
  <c r="BB13" i="3"/>
  <c r="E19" i="6"/>
  <c r="AZ534" i="3"/>
  <c r="AZ502" i="3"/>
  <c r="AZ550" i="3"/>
  <c r="AZ562" i="3"/>
  <c r="AZ569" i="3"/>
  <c r="AB28" i="36"/>
  <c r="BF5" i="3"/>
  <c r="J9" i="35"/>
  <c r="F12" i="35"/>
  <c r="G568" i="3"/>
  <c r="G553" i="3"/>
  <c r="G548" i="3"/>
  <c r="G541" i="3"/>
  <c r="G533" i="3"/>
  <c r="G527" i="3"/>
  <c r="G519" i="3"/>
  <c r="G509" i="3"/>
  <c r="G503" i="3"/>
  <c r="G495" i="3"/>
  <c r="G486" i="3"/>
  <c r="G14" i="3"/>
  <c r="C18" i="9"/>
  <c r="D18" i="9" s="1"/>
  <c r="M44" i="9" s="1"/>
  <c r="K145" i="21"/>
  <c r="AZ451"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BA133" i="3"/>
  <c r="AZ133" i="3" s="1"/>
  <c r="BL134" i="3"/>
  <c r="AZ134" i="3" s="1"/>
  <c r="BA136" i="3"/>
  <c r="AZ136" i="3" s="1"/>
  <c r="BA137" i="3"/>
  <c r="AZ137" i="3" s="1"/>
  <c r="BL138" i="3"/>
  <c r="AZ138" i="3" s="1"/>
  <c r="G142" i="3"/>
  <c r="BA144" i="3"/>
  <c r="AZ144" i="3" s="1"/>
  <c r="G147" i="3"/>
  <c r="BA149" i="3"/>
  <c r="AZ149" i="3" s="1"/>
  <c r="BL150" i="3"/>
  <c r="AZ150" i="3" s="1"/>
  <c r="BA152" i="3"/>
  <c r="AZ152" i="3" s="1"/>
  <c r="BL153" i="3"/>
  <c r="AZ153" i="3" s="1"/>
  <c r="BA155" i="3"/>
  <c r="AZ155" i="3" s="1"/>
  <c r="G158" i="3"/>
  <c r="G161" i="3"/>
  <c r="BA163" i="3"/>
  <c r="AZ163" i="3" s="1"/>
  <c r="BA164" i="3"/>
  <c r="AZ164" i="3" s="1"/>
  <c r="BL165" i="3"/>
  <c r="AZ165" i="3" s="1"/>
  <c r="BA168" i="3"/>
  <c r="AZ168" i="3" s="1"/>
  <c r="BL169" i="3"/>
  <c r="AZ169" i="3" s="1"/>
  <c r="BA171" i="3"/>
  <c r="AZ171" i="3" s="1"/>
  <c r="G174" i="3"/>
  <c r="G177" i="3"/>
  <c r="G178" i="3"/>
  <c r="BL180" i="3"/>
  <c r="AZ180" i="3" s="1"/>
  <c r="BA182" i="3"/>
  <c r="AZ182" i="3" s="1"/>
  <c r="BA183" i="3"/>
  <c r="AZ183" i="3" s="1"/>
  <c r="BL184" i="3"/>
  <c r="AZ184" i="3" s="1"/>
  <c r="G187" i="3"/>
  <c r="G188" i="3"/>
  <c r="G191" i="3"/>
  <c r="G192" i="3"/>
  <c r="BA194" i="3"/>
  <c r="AZ194" i="3" s="1"/>
  <c r="BA195" i="3"/>
  <c r="AZ195" i="3" s="1"/>
  <c r="BL196" i="3"/>
  <c r="AZ196" i="3" s="1"/>
  <c r="BA198" i="3"/>
  <c r="AZ198" i="3" s="1"/>
  <c r="BA199" i="3"/>
  <c r="AZ199" i="3" s="1"/>
  <c r="BL200" i="3"/>
  <c r="AZ200" i="3" s="1"/>
  <c r="BL203" i="3"/>
  <c r="AZ203" i="3" s="1"/>
  <c r="G21" i="3"/>
  <c r="BL21" i="3"/>
  <c r="G23" i="3"/>
  <c r="G24" i="3"/>
  <c r="G25" i="3"/>
  <c r="BL25" i="3"/>
  <c r="G27" i="3"/>
  <c r="G28" i="3"/>
  <c r="BL28" i="3"/>
  <c r="G30" i="3"/>
  <c r="BL30" i="3"/>
  <c r="AZ30" i="3" s="1"/>
  <c r="BL32" i="3"/>
  <c r="AZ32" i="3" s="1"/>
  <c r="G34" i="3"/>
  <c r="BL34" i="3"/>
  <c r="G37" i="3"/>
  <c r="BL37" i="3"/>
  <c r="AZ37" i="3" s="1"/>
  <c r="BA38" i="3"/>
  <c r="AZ38" i="3" s="1"/>
  <c r="BA39" i="3"/>
  <c r="AZ39" i="3" s="1"/>
  <c r="BA40" i="3"/>
  <c r="AZ40" i="3" s="1"/>
  <c r="G43" i="3"/>
  <c r="G44" i="3"/>
  <c r="BL44" i="3"/>
  <c r="AZ44" i="3" s="1"/>
  <c r="BA45" i="3"/>
  <c r="AZ45" i="3" s="1"/>
  <c r="BL47" i="3"/>
  <c r="AZ47" i="3" s="1"/>
  <c r="C46" i="59"/>
  <c r="D45" i="59"/>
  <c r="D53" i="59"/>
  <c r="C54" i="59"/>
  <c r="D54" i="59"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G68" i="3"/>
  <c r="BL68" i="3"/>
  <c r="G70" i="3"/>
  <c r="G71" i="3"/>
  <c r="G72" i="3"/>
  <c r="BL72" i="3"/>
  <c r="G74" i="3"/>
  <c r="G75" i="3"/>
  <c r="BL75" i="3"/>
  <c r="AZ75" i="3" s="1"/>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C35" i="59"/>
  <c r="D35" i="59" s="1"/>
  <c r="D34" i="59"/>
  <c r="P62" i="59"/>
  <c r="E61" i="59"/>
  <c r="D51" i="59"/>
  <c r="D50" i="59"/>
  <c r="L16" i="4"/>
  <c r="N16" i="4"/>
  <c r="D71" i="59"/>
  <c r="C70" i="59"/>
  <c r="U63" i="59"/>
  <c r="AB22" i="59"/>
  <c r="X3" i="59"/>
  <c r="B33" i="59"/>
  <c r="B34" i="59" s="1"/>
  <c r="B35" i="59" s="1"/>
  <c r="S35" i="59" s="1"/>
  <c r="F62" i="59"/>
  <c r="B21" i="63"/>
  <c r="AC12" i="46"/>
  <c r="AC13" i="46" s="1"/>
  <c r="Z12" i="46"/>
  <c r="Z13" i="46" s="1"/>
  <c r="U19" i="59"/>
  <c r="L76" i="9"/>
  <c r="AB18" i="59"/>
  <c r="X13" i="59"/>
  <c r="X8" i="59"/>
  <c r="AA8" i="59"/>
  <c r="AB13" i="59"/>
  <c r="X9" i="59"/>
  <c r="BL102" i="3"/>
  <c r="AZ102" i="3" s="1"/>
  <c r="BA103" i="3"/>
  <c r="AZ103" i="3" s="1"/>
  <c r="G106" i="3"/>
  <c r="G107" i="3"/>
  <c r="G108" i="3"/>
  <c r="BL108" i="3"/>
  <c r="AZ108" i="3" s="1"/>
  <c r="BA109" i="3"/>
  <c r="AZ109" i="3" s="1"/>
  <c r="BA110" i="3"/>
  <c r="AZ110" i="3" s="1"/>
  <c r="BL112" i="3"/>
  <c r="AZ112" i="3" s="1"/>
  <c r="I10" i="57"/>
  <c r="B50" i="59"/>
  <c r="B51" i="59" s="1"/>
  <c r="S51" i="59" s="1"/>
  <c r="B58" i="59"/>
  <c r="B59" i="59" s="1"/>
  <c r="S59" i="59" s="1"/>
  <c r="S46" i="21"/>
  <c r="AB37" i="21"/>
  <c r="AC23" i="21"/>
  <c r="U23" i="21"/>
  <c r="U19" i="21"/>
  <c r="AA17" i="21"/>
  <c r="G13" i="3"/>
  <c r="W9" i="21"/>
  <c r="W8" i="21"/>
  <c r="S8" i="21"/>
  <c r="U13" i="39"/>
  <c r="F13" i="39"/>
  <c r="F28" i="15"/>
  <c r="C28" i="15" s="1"/>
  <c r="F31" i="43"/>
  <c r="F29" i="12"/>
  <c r="F71" i="9"/>
  <c r="G23" i="43"/>
  <c r="G26" i="12"/>
  <c r="G28" i="12"/>
  <c r="BL13" i="3"/>
  <c r="BL5" i="3" s="1"/>
  <c r="F28" i="6"/>
  <c r="F30" i="6" s="1"/>
  <c r="J105" i="46"/>
  <c r="H104" i="46"/>
  <c r="C103" i="46"/>
  <c r="J106" i="46"/>
  <c r="J109" i="46"/>
  <c r="C106" i="46"/>
  <c r="C104" i="46"/>
  <c r="J104" i="46"/>
  <c r="D109" i="46"/>
  <c r="D103" i="46"/>
  <c r="D22" i="46"/>
  <c r="C21" i="46" s="1"/>
  <c r="K107" i="46"/>
  <c r="K103" i="46"/>
  <c r="K105" i="46"/>
  <c r="K109" i="46"/>
  <c r="E104" i="46"/>
  <c r="E103" i="46"/>
  <c r="L102" i="46"/>
  <c r="L105" i="46"/>
  <c r="I116" i="46"/>
  <c r="J116" i="46" s="1"/>
  <c r="K116" i="46" s="1"/>
  <c r="L116" i="46" s="1"/>
  <c r="M116" i="46" s="1"/>
  <c r="I115" i="46"/>
  <c r="J115" i="46" s="1"/>
  <c r="K115" i="46" s="1"/>
  <c r="L115" i="46" s="1"/>
  <c r="M115" i="46" s="1"/>
  <c r="D116" i="46"/>
  <c r="E116" i="46" s="1"/>
  <c r="F116" i="46" s="1"/>
  <c r="G116" i="46" s="1"/>
  <c r="H116" i="46" s="1"/>
  <c r="I117" i="46"/>
  <c r="J117" i="46" s="1"/>
  <c r="K117" i="46" s="1"/>
  <c r="L117" i="46" s="1"/>
  <c r="M117" i="46" s="1"/>
  <c r="G103" i="46"/>
  <c r="G104" i="46"/>
  <c r="N105" i="46"/>
  <c r="N104" i="46"/>
  <c r="N109" i="46"/>
  <c r="I102" i="46"/>
  <c r="I105" i="46"/>
  <c r="F106" i="46"/>
  <c r="F107" i="46"/>
  <c r="F104" i="46"/>
  <c r="F105" i="46"/>
  <c r="G107" i="46"/>
  <c r="D115" i="46"/>
  <c r="E115" i="46" s="1"/>
  <c r="F115" i="46" s="1"/>
  <c r="G115" i="46" s="1"/>
  <c r="H115" i="46" s="1"/>
  <c r="L103" i="46"/>
  <c r="L106" i="46"/>
  <c r="E106" i="46"/>
  <c r="I109" i="46"/>
  <c r="F102" i="46"/>
  <c r="F109" i="46"/>
  <c r="D106" i="46"/>
  <c r="D102" i="46"/>
  <c r="D105" i="46"/>
  <c r="D104" i="46"/>
  <c r="H102" i="46"/>
  <c r="H103" i="46"/>
  <c r="H107" i="46"/>
  <c r="H109" i="46"/>
  <c r="H106" i="46"/>
  <c r="O8" i="1"/>
  <c r="P8" i="1" s="1"/>
  <c r="G5" i="3"/>
  <c r="B3" i="3" s="1"/>
  <c r="E356" i="3" s="1"/>
  <c r="AB44" i="39"/>
  <c r="AA44" i="39"/>
  <c r="AC44" i="39"/>
  <c r="U42" i="39"/>
  <c r="S41" i="39"/>
  <c r="U41" i="39"/>
  <c r="W43" i="39"/>
  <c r="AB43" i="39"/>
  <c r="AA43" i="39"/>
  <c r="S31" i="39"/>
  <c r="W34" i="39"/>
  <c r="U34" i="39"/>
  <c r="AC33" i="39"/>
  <c r="W31" i="39"/>
  <c r="W29" i="39"/>
  <c r="S29" i="39"/>
  <c r="AB29" i="39"/>
  <c r="W25" i="39"/>
  <c r="AB25" i="39"/>
  <c r="S25" i="39"/>
  <c r="U23" i="39"/>
  <c r="W23" i="39"/>
  <c r="S23" i="39"/>
  <c r="AC17" i="39"/>
  <c r="C105" i="46"/>
  <c r="C102" i="46"/>
  <c r="C107"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M104" i="46"/>
  <c r="W40" i="39"/>
  <c r="S11" i="39"/>
  <c r="G6" i="1"/>
  <c r="B14" i="59"/>
  <c r="B13" i="59" s="1"/>
  <c r="B12" i="59" s="1"/>
  <c r="S15" i="59"/>
  <c r="D5" i="46"/>
  <c r="C5" i="46"/>
  <c r="F14" i="59"/>
  <c r="F13" i="59" s="1"/>
  <c r="F12" i="59" s="1"/>
  <c r="F11" i="59" s="1"/>
  <c r="V15" i="59"/>
  <c r="AB25" i="33"/>
  <c r="U25" i="33"/>
  <c r="S9" i="21"/>
  <c r="AA9" i="21"/>
  <c r="O41" i="9"/>
  <c r="R8" i="54" s="1"/>
  <c r="B54" i="63" s="1"/>
  <c r="C20" i="46"/>
  <c r="J103" i="46"/>
  <c r="J102" i="46"/>
  <c r="I107" i="46"/>
  <c r="N102" i="46"/>
  <c r="N106" i="46"/>
  <c r="I103" i="46"/>
  <c r="N107" i="46"/>
  <c r="I104" i="46"/>
  <c r="M105" i="46"/>
  <c r="M102" i="46"/>
  <c r="M106" i="46"/>
  <c r="I106" i="46"/>
  <c r="M109" i="46"/>
  <c r="M103" i="46"/>
  <c r="I14" i="66"/>
  <c r="B8" i="66" s="1"/>
  <c r="O40" i="9"/>
  <c r="E29" i="6"/>
  <c r="E481" i="3"/>
  <c r="E572" i="3"/>
  <c r="E153" i="3"/>
  <c r="E173" i="3"/>
  <c r="E555" i="3"/>
  <c r="E235" i="3"/>
  <c r="E517" i="3"/>
  <c r="E393" i="3"/>
  <c r="E275" i="3"/>
  <c r="N6" i="3"/>
  <c r="E545" i="3"/>
  <c r="E536" i="3"/>
  <c r="E537" i="3"/>
  <c r="E238" i="3"/>
  <c r="U18" i="36"/>
  <c r="O10" i="1"/>
  <c r="P10" i="1" s="1"/>
  <c r="E69" i="46"/>
  <c r="B67" i="46" s="1"/>
  <c r="W25" i="33"/>
  <c r="AC25" i="33"/>
  <c r="AA14" i="36"/>
  <c r="S14" i="36"/>
  <c r="S20" i="36"/>
  <c r="AA20" i="36"/>
  <c r="AZ538" i="3"/>
  <c r="AZ508" i="3"/>
  <c r="AZ558" i="3"/>
  <c r="U33" i="37"/>
  <c r="U35" i="40"/>
  <c r="S35" i="40"/>
  <c r="W33" i="40"/>
  <c r="AC11" i="33"/>
  <c r="AB34" i="33"/>
  <c r="U36" i="33"/>
  <c r="AB11" i="33"/>
  <c r="AC11" i="34"/>
  <c r="S23" i="35"/>
  <c r="AA20" i="35"/>
  <c r="F30" i="44"/>
  <c r="M20" i="44"/>
  <c r="F70" i="9"/>
  <c r="U11" i="36"/>
  <c r="U30" i="40"/>
  <c r="U27" i="39"/>
  <c r="AC16" i="40"/>
  <c r="AA11" i="36"/>
  <c r="AB17" i="39"/>
  <c r="AB38" i="34"/>
  <c r="W27" i="39"/>
  <c r="AB32" i="40"/>
  <c r="W35" i="40"/>
  <c r="F72" i="9"/>
  <c r="F66" i="9"/>
  <c r="P72" i="9" s="1"/>
  <c r="S25" i="35"/>
  <c r="AC14" i="37"/>
  <c r="S42" i="33"/>
  <c r="S10" i="35"/>
  <c r="AC37" i="33"/>
  <c r="S27" i="37"/>
  <c r="AC41" i="34"/>
  <c r="U28" i="21"/>
  <c r="S45" i="21"/>
  <c r="AA27" i="33"/>
  <c r="W31" i="34"/>
  <c r="AB14" i="21"/>
  <c r="U46" i="21"/>
  <c r="AB13" i="21"/>
  <c r="AB40" i="37"/>
  <c r="W46" i="33"/>
  <c r="W35" i="35"/>
  <c r="S22" i="35"/>
  <c r="F34" i="35"/>
  <c r="H34" i="35"/>
  <c r="AZ402" i="3"/>
  <c r="AZ405" i="3"/>
  <c r="AZ420" i="3"/>
  <c r="AZ447" i="3"/>
  <c r="AZ465" i="3"/>
  <c r="AZ219" i="3"/>
  <c r="AZ235" i="3"/>
  <c r="AZ251" i="3"/>
  <c r="AZ271" i="3"/>
  <c r="AZ283" i="3"/>
  <c r="AZ287" i="3"/>
  <c r="A11" i="55"/>
  <c r="B62" i="63" s="1"/>
  <c r="A2" i="55"/>
  <c r="B55" i="63" s="1"/>
  <c r="AZ392" i="3"/>
  <c r="AZ397" i="3"/>
  <c r="AZ408" i="3"/>
  <c r="AZ413" i="3"/>
  <c r="AZ424" i="3"/>
  <c r="AZ437" i="3"/>
  <c r="AZ457" i="3"/>
  <c r="AZ470" i="3"/>
  <c r="AZ473" i="3"/>
  <c r="AZ334" i="3"/>
  <c r="AZ211" i="3"/>
  <c r="AZ227" i="3"/>
  <c r="AZ243" i="3"/>
  <c r="AZ259" i="3"/>
  <c r="A30" i="64"/>
  <c r="A30" i="51"/>
  <c r="B22" i="63" s="1"/>
  <c r="B13" i="1"/>
  <c r="E13" i="1" s="1"/>
  <c r="K13" i="1"/>
  <c r="M13" i="1" s="1"/>
  <c r="I21" i="57"/>
  <c r="D1" i="57" s="1"/>
  <c r="E10" i="57" s="1"/>
  <c r="Y28" i="59"/>
  <c r="Z28" i="59" s="1"/>
  <c r="C29" i="59"/>
  <c r="Y20" i="59"/>
  <c r="Z20" i="59" s="1"/>
  <c r="Y22" i="59"/>
  <c r="Z22" i="59" s="1"/>
  <c r="T35" i="59"/>
  <c r="C38" i="59"/>
  <c r="D37" i="59"/>
  <c r="C42" i="59"/>
  <c r="D42" i="59" s="1"/>
  <c r="D41" i="59"/>
  <c r="Y18" i="59"/>
  <c r="Z18" i="59" s="1"/>
  <c r="Y13" i="59"/>
  <c r="Z13" i="59" s="1"/>
  <c r="AZ129" i="3"/>
  <c r="AZ132" i="3"/>
  <c r="AZ145" i="3"/>
  <c r="AZ148" i="3"/>
  <c r="AZ21" i="3"/>
  <c r="AZ25" i="3"/>
  <c r="AZ28" i="3"/>
  <c r="AZ34" i="3"/>
  <c r="AZ53" i="3"/>
  <c r="AZ57" i="3"/>
  <c r="AZ60" i="3"/>
  <c r="AZ62" i="3"/>
  <c r="AZ68" i="3"/>
  <c r="AZ72" i="3"/>
  <c r="AZ77" i="3"/>
  <c r="AZ81" i="3"/>
  <c r="AZ88" i="3"/>
  <c r="AZ92" i="3"/>
  <c r="AZ95" i="3"/>
  <c r="AZ97" i="3"/>
  <c r="AZ101" i="3"/>
  <c r="R12" i="1"/>
  <c r="K12" i="1"/>
  <c r="AA21" i="21"/>
  <c r="S21" i="21"/>
  <c r="AA21" i="37"/>
  <c r="S21" i="37"/>
  <c r="C55" i="59"/>
  <c r="D33" i="59"/>
  <c r="Y23" i="59"/>
  <c r="Z23" i="59" s="1"/>
  <c r="C26" i="59"/>
  <c r="D25" i="59"/>
  <c r="AA24" i="59"/>
  <c r="AA3" i="59"/>
  <c r="AA21" i="59"/>
  <c r="AA23" i="59"/>
  <c r="AA20" i="59"/>
  <c r="E25" i="59"/>
  <c r="E26" i="59" s="1"/>
  <c r="E27" i="59" s="1"/>
  <c r="U27" i="59" s="1"/>
  <c r="X29" i="59"/>
  <c r="X21" i="59"/>
  <c r="AA29" i="59"/>
  <c r="AA28" i="59"/>
  <c r="O63" i="59"/>
  <c r="C62" i="59"/>
  <c r="T63" i="59"/>
  <c r="U67" i="59"/>
  <c r="E66" i="59"/>
  <c r="E65" i="59" s="1"/>
  <c r="U75" i="59"/>
  <c r="E74" i="59"/>
  <c r="E73" i="59" s="1"/>
  <c r="D79" i="59"/>
  <c r="C78" i="59"/>
  <c r="D83" i="59"/>
  <c r="C82" i="59"/>
  <c r="X27" i="59"/>
  <c r="AB24" i="59"/>
  <c r="F25" i="59"/>
  <c r="F26" i="59" s="1"/>
  <c r="F27" i="59" s="1"/>
  <c r="V27" i="59" s="1"/>
  <c r="AB3" i="59"/>
  <c r="AB21" i="59"/>
  <c r="Y25" i="59"/>
  <c r="Z25" i="59" s="1"/>
  <c r="Y26" i="59"/>
  <c r="Z26" i="59" s="1"/>
  <c r="Y27" i="59"/>
  <c r="Z27" i="59" s="1"/>
  <c r="X28" i="59"/>
  <c r="B29" i="59"/>
  <c r="B30" i="59" s="1"/>
  <c r="B31" i="59" s="1"/>
  <c r="S31" i="59" s="1"/>
  <c r="X20" i="59"/>
  <c r="X22" i="59"/>
  <c r="AB32" i="59"/>
  <c r="F33" i="59"/>
  <c r="F34" i="59" s="1"/>
  <c r="F35" i="59" s="1"/>
  <c r="V35" i="59" s="1"/>
  <c r="AA5" i="59"/>
  <c r="AB31" i="59"/>
  <c r="X24" i="59"/>
  <c r="Y24" i="59"/>
  <c r="Z24" i="59" s="1"/>
  <c r="X25" i="59"/>
  <c r="AA25" i="59"/>
  <c r="X26" i="59"/>
  <c r="AA26" i="59"/>
  <c r="AA27" i="59"/>
  <c r="AB28" i="59"/>
  <c r="Y29" i="59"/>
  <c r="Z29" i="59" s="1"/>
  <c r="AB29" i="59"/>
  <c r="AB30" i="59"/>
  <c r="Y31" i="59"/>
  <c r="Z31" i="59" s="1"/>
  <c r="Y32" i="59"/>
  <c r="Z32" i="59" s="1"/>
  <c r="X5" i="59"/>
  <c r="X34" i="59"/>
  <c r="U23" i="59"/>
  <c r="E22" i="59"/>
  <c r="E21" i="59" s="1"/>
  <c r="AA32" i="59"/>
  <c r="B22" i="59"/>
  <c r="B21" i="59" s="1"/>
  <c r="X33" i="59"/>
  <c r="AA33" i="59"/>
  <c r="Y5" i="59"/>
  <c r="Z5" i="59" s="1"/>
  <c r="Y19" i="59"/>
  <c r="Z19" i="59" s="1"/>
  <c r="C23" i="59"/>
  <c r="F23" i="59"/>
  <c r="AB19" i="59"/>
  <c r="A28" i="64"/>
  <c r="C18" i="59"/>
  <c r="D19" i="59"/>
  <c r="X19" i="59"/>
  <c r="X16" i="59"/>
  <c r="AA18" i="59"/>
  <c r="AA16" i="59"/>
  <c r="Y8" i="59"/>
  <c r="Z8" i="59" s="1"/>
  <c r="K76" i="9"/>
  <c r="X18" i="59"/>
  <c r="AA13" i="59"/>
  <c r="AB10" i="59"/>
  <c r="X12" i="59"/>
  <c r="Y12" i="59"/>
  <c r="Z12" i="59" s="1"/>
  <c r="AA12" i="59"/>
  <c r="AB12" i="59"/>
  <c r="AB6" i="59"/>
  <c r="AB7" i="59"/>
  <c r="AB9" i="59"/>
  <c r="Y6" i="59"/>
  <c r="Z6" i="59" s="1"/>
  <c r="Y9" i="59"/>
  <c r="Z9" i="59" s="1"/>
  <c r="X7" i="59"/>
  <c r="AA10" i="59"/>
  <c r="X11" i="59"/>
  <c r="AB5" i="59"/>
  <c r="AB8" i="59"/>
  <c r="Y7" i="59"/>
  <c r="Z7" i="59" s="1"/>
  <c r="AA6" i="59"/>
  <c r="AA7" i="59"/>
  <c r="AA9" i="59"/>
  <c r="X6" i="59"/>
  <c r="A25" i="51"/>
  <c r="B18" i="63" s="1"/>
  <c r="G10" i="1"/>
  <c r="G13" i="1"/>
  <c r="C95" i="9"/>
  <c r="C92" i="9" s="1"/>
  <c r="C25" i="12"/>
  <c r="C31" i="43"/>
  <c r="C30" i="44"/>
  <c r="C27"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E11" i="59"/>
  <c r="B11" i="59"/>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E2" i="65"/>
  <c r="C17" i="15"/>
  <c r="C16" i="15"/>
  <c r="C18" i="44"/>
  <c r="E3" i="65"/>
  <c r="F7" i="34" l="1"/>
  <c r="J7" i="34"/>
  <c r="E471" i="3"/>
  <c r="E472" i="3"/>
  <c r="E452" i="3"/>
  <c r="E462" i="3"/>
  <c r="E482" i="3"/>
  <c r="E189" i="3"/>
  <c r="E107" i="3"/>
  <c r="E480" i="3"/>
  <c r="AQ6" i="3"/>
  <c r="E120" i="3"/>
  <c r="E499" i="3"/>
  <c r="E260" i="3"/>
  <c r="E378" i="3"/>
  <c r="E71" i="3"/>
  <c r="M43" i="9"/>
  <c r="W36" i="39"/>
  <c r="AZ111" i="3"/>
  <c r="AZ99" i="3"/>
  <c r="AZ41" i="3"/>
  <c r="AZ175" i="3"/>
  <c r="AZ291" i="3"/>
  <c r="AZ257" i="3"/>
  <c r="AZ253" i="3"/>
  <c r="AZ225" i="3"/>
  <c r="AZ221" i="3"/>
  <c r="AZ462" i="3"/>
  <c r="AZ458" i="3"/>
  <c r="AZ452" i="3"/>
  <c r="AZ427" i="3"/>
  <c r="AZ398" i="3"/>
  <c r="AB9" i="21"/>
  <c r="U9" i="21"/>
  <c r="U30" i="21"/>
  <c r="AB30" i="21"/>
  <c r="AC14" i="21"/>
  <c r="W14" i="21"/>
  <c r="S12" i="21"/>
  <c r="AA12" i="21"/>
  <c r="AC23" i="36"/>
  <c r="W23" i="36"/>
  <c r="U11" i="21"/>
  <c r="AB11" i="21"/>
  <c r="W30" i="21"/>
  <c r="AC30" i="21"/>
  <c r="AC12" i="21"/>
  <c r="W12" i="21"/>
  <c r="E250" i="3"/>
  <c r="E408" i="3"/>
  <c r="E44" i="3"/>
  <c r="E253" i="3"/>
  <c r="E54" i="3"/>
  <c r="E213" i="3"/>
  <c r="E397" i="3"/>
  <c r="E47" i="3"/>
  <c r="E184" i="3"/>
  <c r="E473" i="3"/>
  <c r="E232" i="3"/>
  <c r="E507" i="3"/>
  <c r="E39" i="3"/>
  <c r="E288" i="3"/>
  <c r="E88" i="3"/>
  <c r="E220" i="3"/>
  <c r="E453" i="3"/>
  <c r="E162" i="3"/>
  <c r="E229" i="3"/>
  <c r="E191" i="3"/>
  <c r="E355" i="3"/>
  <c r="E558" i="3"/>
  <c r="E436" i="3"/>
  <c r="E432" i="3"/>
  <c r="E14" i="3"/>
  <c r="E342" i="3"/>
  <c r="E227" i="3"/>
  <c r="E382" i="3"/>
  <c r="W19" i="21"/>
  <c r="AC19" i="21"/>
  <c r="AA19" i="21"/>
  <c r="S19" i="21"/>
  <c r="U17" i="21"/>
  <c r="AC17" i="21"/>
  <c r="W17" i="21"/>
  <c r="W15" i="21"/>
  <c r="U15" i="21"/>
  <c r="S15" i="21"/>
  <c r="AA15" i="21"/>
  <c r="U16" i="39"/>
  <c r="AB16" i="39"/>
  <c r="AC16" i="39"/>
  <c r="W16" i="39"/>
  <c r="K15" i="1"/>
  <c r="D70" i="59"/>
  <c r="C69" i="59"/>
  <c r="D69" i="59" s="1"/>
  <c r="C47" i="59"/>
  <c r="D46" i="59"/>
  <c r="W9" i="35"/>
  <c r="AC9" i="35"/>
  <c r="BB5" i="3"/>
  <c r="BA13" i="3"/>
  <c r="BA5" i="3" s="1"/>
  <c r="E27" i="6" s="1"/>
  <c r="C33" i="21" s="1"/>
  <c r="W37" i="21"/>
  <c r="AC37" i="21"/>
  <c r="S37" i="21"/>
  <c r="AA37" i="21"/>
  <c r="E28" i="6"/>
  <c r="F61" i="59"/>
  <c r="Q62" i="59"/>
  <c r="K17" i="4"/>
  <c r="A22" i="51" s="1"/>
  <c r="B16" i="63" s="1"/>
  <c r="P60" i="59"/>
  <c r="P61" i="59"/>
  <c r="AA12" i="35"/>
  <c r="S12" i="35"/>
  <c r="E32" i="6"/>
  <c r="L19" i="6" s="1"/>
  <c r="L27" i="6" s="1"/>
  <c r="C9" i="12"/>
  <c r="D3" i="21"/>
  <c r="K6" i="1"/>
  <c r="S13" i="39"/>
  <c r="AA13" i="39"/>
  <c r="E339" i="3"/>
  <c r="E118" i="3"/>
  <c r="E364" i="3"/>
  <c r="E522" i="3"/>
  <c r="E516" i="3"/>
  <c r="E488" i="3"/>
  <c r="E240" i="3"/>
  <c r="E326" i="3"/>
  <c r="E30" i="6"/>
  <c r="E31" i="6" s="1"/>
  <c r="K19" i="6"/>
  <c r="S6" i="1" s="1"/>
  <c r="K14" i="1"/>
  <c r="M14" i="1" s="1"/>
  <c r="E411" i="3"/>
  <c r="E41" i="3"/>
  <c r="E418" i="3"/>
  <c r="E92" i="3"/>
  <c r="E414" i="3"/>
  <c r="E202" i="3"/>
  <c r="E187" i="3"/>
  <c r="E225" i="3"/>
  <c r="E199" i="3"/>
  <c r="E423" i="3"/>
  <c r="E435" i="3"/>
  <c r="E490" i="3"/>
  <c r="E218" i="3"/>
  <c r="E442" i="3"/>
  <c r="E110" i="3"/>
  <c r="E63" i="3"/>
  <c r="E174" i="3"/>
  <c r="E129"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D113" i="46"/>
  <c r="E297"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61" i="3"/>
  <c r="E283" i="3"/>
  <c r="E156" i="3"/>
  <c r="E49" i="3"/>
  <c r="E193" i="3"/>
  <c r="E104" i="3"/>
  <c r="E149" i="3"/>
  <c r="E249" i="3"/>
  <c r="E549" i="3"/>
  <c r="E460" i="3"/>
  <c r="I3" i="6"/>
  <c r="E463" i="3"/>
  <c r="E292" i="3"/>
  <c r="E426" i="3"/>
  <c r="E60" i="3"/>
  <c r="E75" i="3"/>
  <c r="E178" i="3"/>
  <c r="J6" i="3"/>
  <c r="E48" i="3"/>
  <c r="E438" i="3"/>
  <c r="E455" i="3"/>
  <c r="E363" i="3"/>
  <c r="E79" i="3"/>
  <c r="E401" i="3"/>
  <c r="E272" i="3"/>
  <c r="E139" i="3"/>
  <c r="E445" i="3"/>
  <c r="E556" i="3"/>
  <c r="E291" i="3"/>
  <c r="E527" i="3"/>
  <c r="E365" i="3"/>
  <c r="E248" i="3"/>
  <c r="E336" i="3"/>
  <c r="AR6" i="3"/>
  <c r="E65" i="3"/>
  <c r="E513" i="3"/>
  <c r="E345" i="3"/>
  <c r="E72" i="3"/>
  <c r="E440" i="3"/>
  <c r="E331" i="3"/>
  <c r="E362" i="3"/>
  <c r="E150"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35" i="3"/>
  <c r="E381" i="3"/>
  <c r="E427" i="3"/>
  <c r="E278" i="3"/>
  <c r="E295" i="3"/>
  <c r="E201" i="3"/>
  <c r="E274" i="3"/>
  <c r="E547" i="3"/>
  <c r="E33" i="3"/>
  <c r="E119" i="3"/>
  <c r="E97" i="3"/>
  <c r="E289" i="3"/>
  <c r="E425" i="3"/>
  <c r="E451" i="3"/>
  <c r="E305" i="3"/>
  <c r="E126" i="3"/>
  <c r="Y6" i="3"/>
  <c r="E51" i="3"/>
  <c r="E281" i="3"/>
  <c r="AF6" i="3"/>
  <c r="E559" i="3"/>
  <c r="E314" i="3"/>
  <c r="E502" i="3"/>
  <c r="E489" i="3"/>
  <c r="E286" i="3"/>
  <c r="E183" i="3"/>
  <c r="E320" i="3"/>
  <c r="E45" i="3"/>
  <c r="E284" i="3"/>
  <c r="E42" i="3"/>
  <c r="E181" i="3"/>
  <c r="E269" i="3"/>
  <c r="E338" i="3"/>
  <c r="E562" i="3"/>
  <c r="E518" i="3"/>
  <c r="E167" i="3"/>
  <c r="E515" i="3"/>
  <c r="E494" i="3"/>
  <c r="E542" i="3"/>
  <c r="E254" i="3"/>
  <c r="E341" i="3"/>
  <c r="E316" i="3"/>
  <c r="E318" i="3"/>
  <c r="E380" i="3"/>
  <c r="AO6" i="3"/>
  <c r="E475" i="3"/>
  <c r="E421" i="3"/>
  <c r="E206" i="3"/>
  <c r="E132" i="3"/>
  <c r="E333" i="3"/>
  <c r="E91" i="3"/>
  <c r="E115" i="3"/>
  <c r="E359" i="3"/>
  <c r="E195" i="3"/>
  <c r="E391" i="3"/>
  <c r="E321" i="3"/>
  <c r="E127" i="3"/>
  <c r="E266" i="3"/>
  <c r="E215" i="3"/>
  <c r="I6" i="3"/>
  <c r="E548" i="3"/>
  <c r="Z6" i="3"/>
  <c r="E454" i="3"/>
  <c r="E520" i="3"/>
  <c r="AK6" i="3"/>
  <c r="E94" i="3"/>
  <c r="E492" i="3"/>
  <c r="E89" i="3"/>
  <c r="E170" i="3"/>
  <c r="E32" i="3"/>
  <c r="E447" i="3"/>
  <c r="Q6" i="3"/>
  <c r="E500" i="3"/>
  <c r="AE6" i="3"/>
  <c r="E113" i="3"/>
  <c r="E257" i="3"/>
  <c r="E52" i="3"/>
  <c r="U6" i="3"/>
  <c r="E73" i="3"/>
  <c r="E211" i="3"/>
  <c r="E466" i="3"/>
  <c r="E198" i="3"/>
  <c r="E290" i="3"/>
  <c r="E40" i="3"/>
  <c r="E228" i="3"/>
  <c r="E324" i="3"/>
  <c r="E334" i="3"/>
  <c r="E325" i="3"/>
  <c r="E396" i="3"/>
  <c r="E216" i="3"/>
  <c r="E392" i="3"/>
  <c r="E373" i="3"/>
  <c r="E360" i="3"/>
  <c r="T6" i="3"/>
  <c r="E144" i="3"/>
  <c r="E219" i="3"/>
  <c r="E506" i="3"/>
  <c r="E571" i="3"/>
  <c r="E497" i="3"/>
  <c r="E566" i="3"/>
  <c r="E553" i="3"/>
  <c r="E273" i="3"/>
  <c r="E563" i="3"/>
  <c r="E112" i="3"/>
  <c r="E268" i="3"/>
  <c r="E175" i="3"/>
  <c r="E565" i="3"/>
  <c r="E503" i="3"/>
  <c r="E413" i="3"/>
  <c r="M6" i="3"/>
  <c r="E241" i="3"/>
  <c r="E69" i="3"/>
  <c r="E446" i="3"/>
  <c r="E152" i="3"/>
  <c r="E437" i="3"/>
  <c r="E46" i="3"/>
  <c r="E221" i="3"/>
  <c r="E457" i="3"/>
  <c r="E31" i="3"/>
  <c r="X6" i="3"/>
  <c r="AA6" i="3"/>
  <c r="AD6" i="3"/>
  <c r="E299" i="3"/>
  <c r="E327" i="3"/>
  <c r="E103" i="3"/>
  <c r="E200" i="3"/>
  <c r="E62" i="3"/>
  <c r="E389" i="3"/>
  <c r="E230" i="3"/>
  <c r="E143"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B10" i="59"/>
  <c r="B9" i="59" s="1"/>
  <c r="B8" i="59" s="1"/>
  <c r="B7" i="59" s="1"/>
  <c r="S11" i="59"/>
  <c r="G16" i="1"/>
  <c r="J12" i="40" s="1"/>
  <c r="C17" i="59"/>
  <c r="D18" i="59"/>
  <c r="D23" i="59"/>
  <c r="T23" i="59"/>
  <c r="C22" i="59"/>
  <c r="D82" i="59"/>
  <c r="C81" i="59"/>
  <c r="D81" i="59" s="1"/>
  <c r="D78" i="59"/>
  <c r="C77" i="59"/>
  <c r="D77" i="59" s="1"/>
  <c r="C27" i="59"/>
  <c r="D26" i="59"/>
  <c r="M12" i="1"/>
  <c r="K16" i="1"/>
  <c r="Q16" i="1"/>
  <c r="H16" i="1"/>
  <c r="C39" i="59"/>
  <c r="D38" i="59"/>
  <c r="AB34" i="35"/>
  <c r="U34" i="35"/>
  <c r="E10" i="59"/>
  <c r="E9" i="59" s="1"/>
  <c r="E8" i="59" s="1"/>
  <c r="E7" i="59" s="1"/>
  <c r="U11" i="59"/>
  <c r="F22" i="59"/>
  <c r="F21" i="59" s="1"/>
  <c r="V23" i="59"/>
  <c r="O62" i="59"/>
  <c r="C61" i="59"/>
  <c r="D62" i="59"/>
  <c r="T55" i="59"/>
  <c r="D55" i="59"/>
  <c r="D29" i="59"/>
  <c r="C30" i="59"/>
  <c r="O13" i="1"/>
  <c r="P13" i="1" s="1"/>
  <c r="AA34" i="35"/>
  <c r="S34" i="35"/>
  <c r="K31" i="9"/>
  <c r="K32" i="9" s="1"/>
  <c r="R7" i="54"/>
  <c r="B52" i="63" s="1"/>
  <c r="F10" i="59"/>
  <c r="F9" i="59" s="1"/>
  <c r="F8" i="59" s="1"/>
  <c r="F7" i="59" s="1"/>
  <c r="V11" i="59"/>
  <c r="K34" i="9"/>
  <c r="F7" i="21"/>
  <c r="AA7" i="21" s="1"/>
  <c r="H7" i="21"/>
  <c r="AB7" i="21" s="1"/>
  <c r="B6" i="59"/>
  <c r="S7" i="59"/>
  <c r="E6" i="59"/>
  <c r="U7"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M19" i="44"/>
  <c r="C19" i="46"/>
  <c r="C34" i="46"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K25" i="6" l="1"/>
  <c r="M25" i="6" s="1"/>
  <c r="I25" i="6" s="1"/>
  <c r="S25" i="6" s="1"/>
  <c r="K22" i="6"/>
  <c r="M22" i="6" s="1"/>
  <c r="I22" i="6" s="1"/>
  <c r="S22" i="6" s="1"/>
  <c r="K26" i="6"/>
  <c r="M26" i="6" s="1"/>
  <c r="I26" i="6" s="1"/>
  <c r="S26" i="6" s="1"/>
  <c r="K20" i="6"/>
  <c r="K21" i="6"/>
  <c r="M21" i="6" s="1"/>
  <c r="I21" i="6" s="1"/>
  <c r="S21" i="6" s="1"/>
  <c r="K23" i="6"/>
  <c r="M23" i="6" s="1"/>
  <c r="I23" i="6" s="1"/>
  <c r="S23" i="6" s="1"/>
  <c r="K24" i="6"/>
  <c r="M24" i="6" s="1"/>
  <c r="I24" i="6" s="1"/>
  <c r="S24" i="6" s="1"/>
  <c r="J33" i="21"/>
  <c r="H33" i="21"/>
  <c r="F33" i="21"/>
  <c r="AZ13" i="3"/>
  <c r="AZ5" i="3" s="1"/>
  <c r="K21" i="1"/>
  <c r="M6" i="1"/>
  <c r="Q60" i="59"/>
  <c r="Q61" i="59"/>
  <c r="E12" i="6"/>
  <c r="E8" i="6"/>
  <c r="E5" i="6"/>
  <c r="E14" i="6"/>
  <c r="E13" i="6"/>
  <c r="E10" i="6"/>
  <c r="E15" i="6"/>
  <c r="E11" i="6"/>
  <c r="T47" i="59"/>
  <c r="D47" i="59"/>
  <c r="AP16" i="1"/>
  <c r="F22" i="11" s="1"/>
  <c r="U7" i="21"/>
  <c r="S7" i="21"/>
  <c r="O14" i="1"/>
  <c r="P14" i="1" s="1"/>
  <c r="K27" i="6"/>
  <c r="M19" i="6"/>
  <c r="AC6" i="3"/>
  <c r="H6" i="3"/>
  <c r="F12" i="40"/>
  <c r="AA12" i="40" s="1"/>
  <c r="J12" i="39"/>
  <c r="W12" i="39" s="1"/>
  <c r="F12" i="39"/>
  <c r="H12" i="40"/>
  <c r="H12" i="39"/>
  <c r="W12" i="40"/>
  <c r="AC12" i="40"/>
  <c r="C31" i="59"/>
  <c r="D30" i="59"/>
  <c r="T39" i="59"/>
  <c r="D39" i="59"/>
  <c r="D22" i="59"/>
  <c r="C21" i="59"/>
  <c r="D21" i="59" s="1"/>
  <c r="C16" i="59"/>
  <c r="D17" i="59"/>
  <c r="V7" i="59"/>
  <c r="F6" i="59"/>
  <c r="F5" i="59" s="1"/>
  <c r="V5" i="59" s="1"/>
  <c r="O61" i="59"/>
  <c r="O60" i="59"/>
  <c r="D61" i="59"/>
  <c r="E3" i="6"/>
  <c r="AY6" i="3"/>
  <c r="F24" i="43"/>
  <c r="C26" i="43" s="1"/>
  <c r="D24" i="43" s="1"/>
  <c r="F33" i="12"/>
  <c r="C34" i="12" s="1"/>
  <c r="D33" i="12" s="1"/>
  <c r="O12" i="1"/>
  <c r="M16" i="1"/>
  <c r="P12" i="1"/>
  <c r="T27" i="59"/>
  <c r="D27" i="59"/>
  <c r="E5" i="59"/>
  <c r="U5" i="59" s="1"/>
  <c r="B5" i="59"/>
  <c r="S5" i="59" s="1"/>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E58" i="40" l="1"/>
  <c r="E63" i="39"/>
  <c r="E66" i="39"/>
  <c r="E61" i="40"/>
  <c r="E53" i="40"/>
  <c r="E58" i="39"/>
  <c r="F27" i="6"/>
  <c r="F31" i="6" s="1"/>
  <c r="E16" i="6"/>
  <c r="C15" i="43"/>
  <c r="O6" i="1"/>
  <c r="P6" i="1" s="1"/>
  <c r="C15" i="12" s="1"/>
  <c r="S33" i="21"/>
  <c r="AA33" i="21"/>
  <c r="R48" i="21" s="1"/>
  <c r="AC33" i="21"/>
  <c r="V48" i="21" s="1"/>
  <c r="I48" i="21" s="1"/>
  <c r="I52" i="21" s="1"/>
  <c r="J52" i="21" s="1"/>
  <c r="W33" i="21"/>
  <c r="S7" i="1"/>
  <c r="M20" i="6"/>
  <c r="I20" i="6" s="1"/>
  <c r="S20" i="6" s="1"/>
  <c r="O16" i="1"/>
  <c r="E67" i="39"/>
  <c r="E62" i="40"/>
  <c r="E65" i="39"/>
  <c r="E60" i="40"/>
  <c r="D12" i="11"/>
  <c r="C12" i="11" s="1"/>
  <c r="D21" i="12"/>
  <c r="C21" i="12" s="1"/>
  <c r="E64" i="39"/>
  <c r="E59" i="40"/>
  <c r="K22" i="1"/>
  <c r="M22" i="1" s="1"/>
  <c r="M21" i="1"/>
  <c r="AB33" i="21"/>
  <c r="T48" i="21" s="1"/>
  <c r="G48" i="21" s="1"/>
  <c r="U33" i="21"/>
  <c r="AC12" i="39"/>
  <c r="I19" i="6"/>
  <c r="E6" i="3"/>
  <c r="S12" i="40"/>
  <c r="AA12" i="39"/>
  <c r="S12" i="39"/>
  <c r="AB12" i="39"/>
  <c r="U12" i="39"/>
  <c r="U12" i="40"/>
  <c r="AB12" i="40"/>
  <c r="L16" i="1"/>
  <c r="N16" i="1"/>
  <c r="C29" i="43" s="1"/>
  <c r="C13" i="4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32" i="3"/>
  <c r="AY383" i="3"/>
  <c r="AY349" i="3"/>
  <c r="AY361" i="3"/>
  <c r="AY448" i="3"/>
  <c r="AY427" i="3"/>
  <c r="AY397" i="3"/>
  <c r="AY422" i="3"/>
  <c r="AY49" i="3"/>
  <c r="AY170" i="3"/>
  <c r="AY146" i="3"/>
  <c r="AY381" i="3"/>
  <c r="AY214" i="3"/>
  <c r="AY379" i="3"/>
  <c r="AY324" i="3"/>
  <c r="AY326" i="3"/>
  <c r="AY463" i="3"/>
  <c r="AY39" i="3"/>
  <c r="AY178" i="3"/>
  <c r="AY135" i="3"/>
  <c r="AY258" i="3"/>
  <c r="AY366" i="3"/>
  <c r="AY372" i="3"/>
  <c r="AY315" i="3"/>
  <c r="AY548" i="3"/>
  <c r="AY168" i="3"/>
  <c r="AY256" i="3"/>
  <c r="AY376" i="3"/>
  <c r="AY389" i="3"/>
  <c r="AY155" i="3"/>
  <c r="AY302" i="3"/>
  <c r="AY450" i="3"/>
  <c r="AY194" i="3"/>
  <c r="AY279" i="3"/>
  <c r="AY307" i="3"/>
  <c r="AY457" i="3"/>
  <c r="AY438" i="3"/>
  <c r="AY278" i="3"/>
  <c r="BC6" i="3"/>
  <c r="AY201" i="3"/>
  <c r="AY543" i="3"/>
  <c r="AY330" i="3"/>
  <c r="AY35" i="3"/>
  <c r="AY124" i="3"/>
  <c r="AY525" i="3"/>
  <c r="AY21" i="3"/>
  <c r="AY191" i="3"/>
  <c r="AY274" i="3"/>
  <c r="AY275" i="3"/>
  <c r="AY556" i="3"/>
  <c r="AY411" i="3"/>
  <c r="AY187" i="3"/>
  <c r="AY114" i="3"/>
  <c r="AY304" i="3"/>
  <c r="AY445" i="3"/>
  <c r="AY38" i="3"/>
  <c r="AY200" i="3"/>
  <c r="AY558" i="3"/>
  <c r="AY120" i="3"/>
  <c r="AY424" i="3"/>
  <c r="AY85" i="3"/>
  <c r="AY369" i="3"/>
  <c r="AY156" i="3"/>
  <c r="AY14" i="3"/>
  <c r="AY378" i="3"/>
  <c r="AY314" i="3"/>
  <c r="AY320" i="3"/>
  <c r="AY268" i="3"/>
  <c r="AY207" i="3"/>
  <c r="AY510" i="3"/>
  <c r="BL6" i="3"/>
  <c r="AY160" i="3"/>
  <c r="AY145" i="3"/>
  <c r="AY248" i="3"/>
  <c r="AY472" i="3"/>
  <c r="AY409" i="3"/>
  <c r="AY171" i="3"/>
  <c r="AY365" i="3"/>
  <c r="AY471" i="3"/>
  <c r="AY138" i="3"/>
  <c r="AY206" i="3"/>
  <c r="AY520" i="3"/>
  <c r="AY249" i="3"/>
  <c r="AY367" i="3"/>
  <c r="AY166" i="3"/>
  <c r="AY413" i="3"/>
  <c r="AY184" i="3"/>
  <c r="BQ6" i="3"/>
  <c r="AY151" i="3"/>
  <c r="AY323" i="3"/>
  <c r="AY370" i="3"/>
  <c r="AY388" i="3"/>
  <c r="AY137" i="3"/>
  <c r="AY485" i="3"/>
  <c r="AY518" i="3"/>
  <c r="AY112" i="3"/>
  <c r="AY415" i="3"/>
  <c r="BP6" i="3"/>
  <c r="AY399" i="3"/>
  <c r="AY553" i="3"/>
  <c r="AY199" i="3"/>
  <c r="AY480" i="3"/>
  <c r="AY174" i="3"/>
  <c r="AY90" i="3"/>
  <c r="AY153" i="3"/>
  <c r="AY447" i="3"/>
  <c r="AY375" i="3"/>
  <c r="AY185" i="3"/>
  <c r="AY344" i="3"/>
  <c r="AY63" i="3"/>
  <c r="AY223" i="3"/>
  <c r="AY71" i="3"/>
  <c r="AY108" i="3"/>
  <c r="AY240" i="3"/>
  <c r="AY440" i="3"/>
  <c r="AY235" i="3"/>
  <c r="AY195" i="3"/>
  <c r="AY401" i="3"/>
  <c r="AY281" i="3"/>
  <c r="AY322" i="3"/>
  <c r="AY395" i="3"/>
  <c r="AY363" i="3"/>
  <c r="AY545" i="3"/>
  <c r="AY339" i="3"/>
  <c r="AY433" i="3"/>
  <c r="AY547" i="3"/>
  <c r="AY455" i="3"/>
  <c r="AY213" i="3"/>
  <c r="AY502" i="3"/>
  <c r="AY110" i="3"/>
  <c r="AY298" i="3"/>
  <c r="AY403" i="3"/>
  <c r="AY514" i="3"/>
  <c r="AY454" i="3"/>
  <c r="AY263" i="3"/>
  <c r="AY524" i="3"/>
  <c r="AY231" i="3"/>
  <c r="AY300" i="3"/>
  <c r="AY48" i="3"/>
  <c r="AY215" i="3"/>
  <c r="AY61" i="3"/>
  <c r="AY347" i="3"/>
  <c r="AY345" i="3"/>
  <c r="AY470" i="3"/>
  <c r="AY173" i="3"/>
  <c r="AY59" i="3"/>
  <c r="AY522" i="3"/>
  <c r="AY306" i="3"/>
  <c r="AY33" i="3"/>
  <c r="AY332" i="3"/>
  <c r="AY462" i="3"/>
  <c r="AY51" i="3"/>
  <c r="AY94" i="3"/>
  <c r="AY511" i="3"/>
  <c r="AY439" i="3"/>
  <c r="AY180" i="3"/>
  <c r="AY477" i="3"/>
  <c r="AY292" i="3"/>
  <c r="AY452" i="3"/>
  <c r="AY291" i="3"/>
  <c r="AY149" i="3"/>
  <c r="AY476" i="3"/>
  <c r="AY116" i="3"/>
  <c r="AY294" i="3"/>
  <c r="AY550" i="3"/>
  <c r="AY62" i="3"/>
  <c r="AY269" i="3"/>
  <c r="AY464" i="3"/>
  <c r="AY81" i="3"/>
  <c r="AY295" i="3"/>
  <c r="AY342" i="3"/>
  <c r="AY122" i="3"/>
  <c r="AY16" i="3"/>
  <c r="AY412" i="3"/>
  <c r="AY336" i="3"/>
  <c r="AY253" i="3"/>
  <c r="AY352" i="3"/>
  <c r="AY91" i="3"/>
  <c r="AY449" i="3"/>
  <c r="AY13" i="3"/>
  <c r="AY92" i="3"/>
  <c r="AY293" i="3"/>
  <c r="AY386" i="3"/>
  <c r="AY414" i="3"/>
  <c r="AY271" i="3"/>
  <c r="AY227" i="3"/>
  <c r="AY335" i="3"/>
  <c r="AY111" i="3"/>
  <c r="AY224" i="3"/>
  <c r="AY266" i="3"/>
  <c r="AY229" i="3"/>
  <c r="AY430" i="3"/>
  <c r="AY193" i="3"/>
  <c r="AY27" i="3"/>
  <c r="BN6" i="3"/>
  <c r="BD6" i="3"/>
  <c r="AY154" i="3"/>
  <c r="AY75" i="3"/>
  <c r="AY259" i="3"/>
  <c r="AY368" i="3"/>
  <c r="AY96" i="3"/>
  <c r="AY233" i="3"/>
  <c r="AY329" i="3"/>
  <c r="AY131" i="3"/>
  <c r="AY316" i="3"/>
  <c r="AY29" i="3"/>
  <c r="AY453" i="3"/>
  <c r="AY225" i="3"/>
  <c r="AY319" i="3"/>
  <c r="BT6" i="3"/>
  <c r="AY360" i="3"/>
  <c r="AY531" i="3"/>
  <c r="AY456" i="3"/>
  <c r="AY565" i="3"/>
  <c r="AY244" i="3"/>
  <c r="AY247" i="3"/>
  <c r="AY503" i="3"/>
  <c r="AY20" i="3"/>
  <c r="AY208" i="3"/>
  <c r="AY78" i="3"/>
  <c r="AY299" i="3"/>
  <c r="AY351" i="3"/>
  <c r="AY358" i="3"/>
  <c r="AY328" i="3"/>
  <c r="AY559" i="3"/>
  <c r="AY483" i="3"/>
  <c r="AY506" i="3"/>
  <c r="AY190" i="3"/>
  <c r="AY60" i="3"/>
  <c r="AY475" i="3"/>
  <c r="AY40" i="3"/>
  <c r="AY495" i="3"/>
  <c r="AY267" i="3"/>
  <c r="AY189" i="3"/>
  <c r="AY393" i="3"/>
  <c r="BO6" i="3"/>
  <c r="AY490" i="3"/>
  <c r="AY210" i="3"/>
  <c r="AY297" i="3"/>
  <c r="AY468" i="3"/>
  <c r="AY377" i="3"/>
  <c r="BI6" i="3"/>
  <c r="AY164" i="3"/>
  <c r="AY469" i="3"/>
  <c r="AY177" i="3"/>
  <c r="AY499" i="3"/>
  <c r="AY391" i="3"/>
  <c r="AY507" i="3"/>
  <c r="AY19" i="3"/>
  <c r="AY513" i="3"/>
  <c r="AY23" i="3"/>
  <c r="AY237" i="3"/>
  <c r="AY119" i="3"/>
  <c r="AY533" i="3"/>
  <c r="AY89" i="3"/>
  <c r="AY102" i="3"/>
  <c r="AY473" i="3"/>
  <c r="AY551" i="3"/>
  <c r="AY541" i="3"/>
  <c r="AY167" i="3"/>
  <c r="AY536" i="3"/>
  <c r="BJ6" i="3"/>
  <c r="AY517" i="3"/>
  <c r="AY535" i="3"/>
  <c r="AY523" i="3"/>
  <c r="D16" i="12"/>
  <c r="D16" i="43"/>
  <c r="C16" i="43" s="1"/>
  <c r="E6" i="6"/>
  <c r="L38" i="9"/>
  <c r="D45" i="9"/>
  <c r="C21" i="4"/>
  <c r="O5" i="54" s="1"/>
  <c r="B45" i="63" s="1"/>
  <c r="D46" i="9"/>
  <c r="D16" i="59"/>
  <c r="C15" i="59"/>
  <c r="T31" i="59"/>
  <c r="D31"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F7" i="67"/>
  <c r="M23" i="1" l="1"/>
  <c r="L23" i="1" s="1"/>
  <c r="M27" i="6"/>
  <c r="P16" i="1"/>
  <c r="C13" i="12" s="1"/>
  <c r="C17" i="12" s="1"/>
  <c r="R49" i="21"/>
  <c r="E48" i="21"/>
  <c r="G52" i="21"/>
  <c r="H52" i="21" s="1"/>
  <c r="G53" i="21"/>
  <c r="H53" i="21" s="1"/>
  <c r="S16" i="1"/>
  <c r="T7" i="1" s="1"/>
  <c r="B14" i="66"/>
  <c r="D68" i="68"/>
  <c r="I27" i="6"/>
  <c r="S19" i="6"/>
  <c r="S27" i="6" s="1"/>
  <c r="C14" i="59"/>
  <c r="T15" i="59"/>
  <c r="D15" i="59"/>
  <c r="D13" i="11"/>
  <c r="C13" i="11" s="1"/>
  <c r="D22" i="12"/>
  <c r="C22" i="12" s="1"/>
  <c r="C20" i="12" s="1"/>
  <c r="D19" i="12"/>
  <c r="C19" i="12" s="1"/>
  <c r="C16" i="12"/>
  <c r="C14" i="43"/>
  <c r="C17" i="43"/>
  <c r="E63" i="40"/>
  <c r="D19" i="6"/>
  <c r="D25" i="6"/>
  <c r="D13" i="6"/>
  <c r="H24" i="6"/>
  <c r="D23" i="6"/>
  <c r="D28" i="6"/>
  <c r="D8" i="6"/>
  <c r="K38" i="9"/>
  <c r="C14" i="66" s="1"/>
  <c r="D26" i="6"/>
  <c r="D22" i="6"/>
  <c r="D12" i="6"/>
  <c r="H25" i="6"/>
  <c r="D5" i="6"/>
  <c r="H22" i="6"/>
  <c r="H26" i="6"/>
  <c r="C22" i="4"/>
  <c r="D21" i="6"/>
  <c r="D10" i="6"/>
  <c r="H21" i="6"/>
  <c r="D14" i="6"/>
  <c r="D20" i="6"/>
  <c r="H23" i="6"/>
  <c r="F45" i="9"/>
  <c r="D24" i="6"/>
  <c r="D11" i="6"/>
  <c r="H20" i="6"/>
  <c r="D9" i="6"/>
  <c r="D29" i="6"/>
  <c r="D15" i="6"/>
  <c r="H19" i="6"/>
  <c r="D6" i="6"/>
  <c r="E68" i="39"/>
  <c r="E46" i="9"/>
  <c r="E45" i="9"/>
  <c r="F46" i="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14" i="12" l="1"/>
  <c r="C18" i="12" s="1"/>
  <c r="C23" i="12" s="1"/>
  <c r="C49" i="21"/>
  <c r="B3" i="21" s="1"/>
  <c r="C48" i="21"/>
  <c r="T12" i="1"/>
  <c r="T6" i="1"/>
  <c r="T13" i="1"/>
  <c r="T10" i="1"/>
  <c r="T9" i="1"/>
  <c r="T8" i="1"/>
  <c r="T11" i="1"/>
  <c r="E52" i="21"/>
  <c r="F52" i="21" s="1"/>
  <c r="E53" i="21"/>
  <c r="F53" i="21" s="1"/>
  <c r="I53" i="21"/>
  <c r="J53" i="21" s="1"/>
  <c r="H27" i="6"/>
  <c r="D16" i="6"/>
  <c r="D30" i="6"/>
  <c r="R20" i="6"/>
  <c r="R7" i="1" s="1"/>
  <c r="R24" i="6"/>
  <c r="C18" i="43"/>
  <c r="C19" i="43" s="1"/>
  <c r="C25" i="43" s="1"/>
  <c r="C24" i="43" s="1"/>
  <c r="R21" i="6"/>
  <c r="R26" i="6"/>
  <c r="R25" i="6"/>
  <c r="A20" i="64"/>
  <c r="A6" i="51"/>
  <c r="B7" i="63" s="1"/>
  <c r="A6" i="64"/>
  <c r="A20" i="51"/>
  <c r="B15" i="63" s="1"/>
  <c r="N5" i="54"/>
  <c r="B43" i="63" s="1"/>
  <c r="R22" i="6"/>
  <c r="R23" i="6"/>
  <c r="R19" i="6"/>
  <c r="D27" i="6"/>
  <c r="D31" i="6" s="1"/>
  <c r="C13" i="59"/>
  <c r="D14" i="59"/>
  <c r="I65" i="40"/>
  <c r="H67" i="40"/>
  <c r="H72" i="39"/>
  <c r="I70" i="39"/>
  <c r="N46" i="36"/>
  <c r="E3" i="67"/>
  <c r="B2" i="67"/>
  <c r="D4" i="46"/>
  <c r="B3" i="46"/>
  <c r="B4" i="46"/>
  <c r="C16" i="44"/>
  <c r="C14" i="15"/>
  <c r="B2" i="21" l="1"/>
  <c r="C10" i="12" s="1"/>
  <c r="C6" i="12" s="1"/>
  <c r="C8" i="12"/>
  <c r="C17" i="44"/>
  <c r="C20" i="44"/>
  <c r="C15" i="15"/>
  <c r="C18" i="15"/>
  <c r="T16" i="1"/>
  <c r="R27" i="6"/>
  <c r="R6" i="1"/>
  <c r="R16" i="1" s="1"/>
  <c r="C12" i="59"/>
  <c r="D13" i="59"/>
  <c r="I6" i="6"/>
  <c r="I5" i="6"/>
  <c r="O46" i="36"/>
  <c r="J7" i="36" s="1"/>
  <c r="F7" i="36"/>
  <c r="H7" i="36"/>
  <c r="J65" i="40"/>
  <c r="I67" i="40"/>
  <c r="J70" i="39"/>
  <c r="I72" i="39"/>
  <c r="B3" i="67"/>
  <c r="B4" i="67"/>
  <c r="C24" i="12" l="1"/>
  <c r="C35" i="12" s="1"/>
  <c r="C33" i="12" s="1"/>
  <c r="C29" i="12"/>
  <c r="C21" i="44"/>
  <c r="C22" i="44" s="1"/>
  <c r="C28" i="44" s="1"/>
  <c r="C19" i="15"/>
  <c r="C20" i="15" s="1"/>
  <c r="C26" i="15" s="1"/>
  <c r="D12" i="59"/>
  <c r="C11" i="59"/>
  <c r="K70" i="39"/>
  <c r="J72" i="39"/>
  <c r="U7" i="36"/>
  <c r="AB7" i="36"/>
  <c r="T36" i="36" s="1"/>
  <c r="G36" i="36" s="1"/>
  <c r="AC7" i="36"/>
  <c r="V36" i="36" s="1"/>
  <c r="I36" i="36" s="1"/>
  <c r="W7" i="36"/>
  <c r="J67" i="40"/>
  <c r="K65" i="40"/>
  <c r="S7" i="36"/>
  <c r="AA7" i="36"/>
  <c r="R36" i="36" s="1"/>
  <c r="C10" i="59" l="1"/>
  <c r="T11" i="59"/>
  <c r="D11" i="59"/>
  <c r="R37" i="36"/>
  <c r="E36" i="36"/>
  <c r="K67" i="40"/>
  <c r="L65" i="40"/>
  <c r="G41" i="36"/>
  <c r="H41" i="36" s="1"/>
  <c r="G40" i="36"/>
  <c r="H40" i="36" s="1"/>
  <c r="I40" i="36"/>
  <c r="J40" i="36" s="1"/>
  <c r="I41" i="36"/>
  <c r="J41"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D8" i="59" l="1"/>
  <c r="C7" i="59"/>
  <c r="J9" i="40"/>
  <c r="H9" i="40"/>
  <c r="F9" i="40"/>
  <c r="J9" i="39"/>
  <c r="H9" i="39"/>
  <c r="F9" i="39"/>
  <c r="C6" i="59" l="1"/>
  <c r="T7" i="59"/>
  <c r="D7"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5" i="59" l="1"/>
  <c r="D6" i="59"/>
  <c r="R45" i="40"/>
  <c r="E44" i="40"/>
  <c r="G53" i="39"/>
  <c r="H53" i="39" s="1"/>
  <c r="G54" i="39"/>
  <c r="H54" i="39" s="1"/>
  <c r="G48" i="40"/>
  <c r="H48" i="40" s="1"/>
  <c r="G49" i="40"/>
  <c r="H49" i="40" s="1"/>
  <c r="I53" i="39"/>
  <c r="J53" i="39" s="1"/>
  <c r="R50" i="39"/>
  <c r="E49" i="39"/>
  <c r="I54" i="39" s="1"/>
  <c r="J54" i="39" s="1"/>
  <c r="M20" i="46" l="1"/>
  <c r="D5" i="59"/>
  <c r="T5" i="59"/>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L43" i="9"/>
  <c r="B3" i="3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D19" i="9"/>
  <c r="L44" i="9" l="1"/>
  <c r="D22" i="9"/>
  <c r="G19" i="9"/>
  <c r="B3" i="12"/>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D20" i="9"/>
  <c r="D21" i="9"/>
  <c r="G21" i="9" l="1"/>
  <c r="G20" i="9"/>
  <c r="E68" i="68" s="1"/>
  <c r="N43" i="9"/>
  <c r="C32" i="9"/>
  <c r="G22" i="9"/>
  <c r="C30" i="15"/>
  <c r="C39" i="15" s="1"/>
  <c r="Q70" i="15" s="1"/>
  <c r="Q69" i="15" s="1"/>
  <c r="C63" i="15"/>
  <c r="C57" i="15" s="1"/>
  <c r="C66" i="15" s="1"/>
  <c r="C67" i="15" s="1"/>
  <c r="C70" i="15" s="1"/>
  <c r="C39" i="44"/>
  <c r="C32" i="44" s="1"/>
  <c r="C42" i="44" s="1"/>
  <c r="C43" i="44"/>
  <c r="J15" i="44"/>
  <c r="J25" i="44" s="1"/>
  <c r="J18" i="44" s="1"/>
  <c r="J27" i="44" s="1"/>
  <c r="J16" i="15"/>
  <c r="J25" i="15" s="1"/>
  <c r="L51" i="15"/>
  <c r="F68" i="68" l="1"/>
  <c r="E69" i="68"/>
  <c r="F69" i="68" s="1"/>
  <c r="C42" i="9"/>
  <c r="C33" i="9"/>
  <c r="O43" i="9"/>
  <c r="O38" i="9"/>
  <c r="C35" i="9"/>
  <c r="F42" i="9" s="1"/>
  <c r="C34" i="9"/>
  <c r="C40" i="15"/>
  <c r="Q57" i="15" s="1"/>
  <c r="J39" i="15"/>
  <c r="J40" i="15" s="1"/>
  <c r="L57" i="15"/>
  <c r="L60" i="15" s="1"/>
  <c r="Q68" i="15"/>
  <c r="C44" i="44"/>
  <c r="C45" i="44" s="1"/>
  <c r="B2" i="44" s="1"/>
  <c r="Q71" i="44"/>
  <c r="Q70" i="44" s="1"/>
  <c r="C46" i="15"/>
  <c r="F70" i="68" l="1"/>
  <c r="M38" i="9"/>
  <c r="K27" i="9" s="1"/>
  <c r="E42" i="9"/>
  <c r="P5" i="54" s="1"/>
  <c r="B46" i="63" s="1"/>
  <c r="K26" i="9"/>
  <c r="K25" i="9"/>
  <c r="D42" i="9"/>
  <c r="Q5" i="54" s="1"/>
  <c r="B47" i="63" s="1"/>
  <c r="N38" i="9"/>
  <c r="K28" i="9" s="1"/>
  <c r="C44" i="9"/>
  <c r="D14" i="66"/>
  <c r="N68" i="9"/>
  <c r="R5" i="54"/>
  <c r="B48" i="63" s="1"/>
  <c r="D63" i="9"/>
  <c r="C43" i="15"/>
  <c r="Q48" i="15"/>
  <c r="Q54" i="15" s="1"/>
  <c r="J42" i="15"/>
  <c r="J43" i="15" s="1"/>
  <c r="Q66" i="15"/>
  <c r="Q67" i="15"/>
  <c r="L46" i="15"/>
  <c r="B2" i="15" s="1"/>
  <c r="B3" i="15" s="1"/>
  <c r="Q58" i="15"/>
  <c r="Q63" i="15" s="1"/>
  <c r="L52" i="44"/>
  <c r="L58" i="44" s="1"/>
  <c r="L61" i="44" s="1"/>
  <c r="L47" i="44" s="1"/>
  <c r="B3" i="44"/>
  <c r="B5" i="44"/>
  <c r="B4" i="44"/>
  <c r="E14" i="66" l="1"/>
  <c r="F14" i="66"/>
  <c r="D73" i="9"/>
  <c r="N73" i="9" s="1"/>
  <c r="C96" i="9"/>
  <c r="C91" i="9" s="1"/>
  <c r="C103" i="9"/>
  <c r="C90" i="9"/>
  <c r="C111" i="9"/>
  <c r="C104" i="9" s="1"/>
  <c r="C82" i="9"/>
  <c r="C81" i="9" s="1"/>
  <c r="C85" i="9" s="1"/>
  <c r="C86" i="9" s="1"/>
  <c r="D72" i="9" s="1"/>
  <c r="D70" i="9"/>
  <c r="D71" i="9"/>
  <c r="D66" i="9" s="1"/>
  <c r="N72" i="9" s="1"/>
  <c r="N69" i="9"/>
  <c r="O39" i="9"/>
  <c r="D44" i="9"/>
  <c r="G14" i="66"/>
  <c r="F44" i="9"/>
  <c r="E44" i="9"/>
  <c r="Q76" i="15"/>
  <c r="Q69" i="44"/>
  <c r="Q59" i="44"/>
  <c r="Q64" i="44" s="1"/>
  <c r="Q68" i="44"/>
  <c r="Q77" i="44" s="1"/>
  <c r="C97" i="9" l="1"/>
  <c r="M84" i="9"/>
  <c r="N84" i="9" s="1"/>
  <c r="M83" i="9"/>
  <c r="N83" i="9" s="1"/>
  <c r="M88" i="9"/>
  <c r="N88" i="9" s="1"/>
  <c r="M87" i="9"/>
  <c r="N87" i="9" s="1"/>
  <c r="M86" i="9"/>
  <c r="N86" i="9" s="1"/>
  <c r="M85" i="9"/>
  <c r="N85" i="9" s="1"/>
  <c r="C113" i="9"/>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E36" i="6" l="1"/>
  <c r="E37" i="6" s="1"/>
  <c r="B2" i="66" l="1"/>
  <c r="B1" i="66"/>
  <c r="E28" i="66" s="1"/>
  <c r="D8" i="66" l="1"/>
  <c r="D7" i="66"/>
  <c r="C8" i="66"/>
  <c r="B30" i="66"/>
  <c r="C7" i="66"/>
  <c r="B25" i="66"/>
  <c r="D15" i="66" l="1"/>
  <c r="G15" i="66" l="1"/>
  <c r="B6" i="66" s="1"/>
  <c r="F15" i="66"/>
  <c r="E15" i="66"/>
  <c r="B5" i="66"/>
  <c r="B29" i="66" l="1"/>
  <c r="C5" i="66"/>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<sst xmlns="http://schemas.openxmlformats.org/spreadsheetml/2006/main" count="7289" uniqueCount="3213">
  <si>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</si>
  <si>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</si>
  <si>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</si>
  <si>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</si>
  <si>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</si>
  <si>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</si>
  <si>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</si>
  <si>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</si>
  <si>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</si>
  <si>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</si>
  <si>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</si>
  <si>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</si>
  <si>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</si>
  <si>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</si>
  <si>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</si>
  <si>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</si>
  <si>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</si>
  <si>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</si>
  <si>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</si>
  <si>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</si>
  <si>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</si>
  <si>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</si>
  <si>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</si>
  <si>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</si>
  <si>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</si>
  <si>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</si>
  <si>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</si>
  <si>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</si>
  <si>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</si>
  <si>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</si>
  <si>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</si>
  <si>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</si>
  <si>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</si>
  <si>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</si>
  <si>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</si>
  <si>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</si>
  <si>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</si>
  <si>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</si>
  <si>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</si>
  <si>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</si>
  <si>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</si>
  <si>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</si>
  <si>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</si>
  <si>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</si>
  <si>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</si>
  <si>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</si>
  <si>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</si>
  <si>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</si>
  <si>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</si>
  <si>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</si>
  <si>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</si>
  <si>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</si>
  <si>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</si>
  <si>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</si>
  <si>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</si>
  <si>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</si>
  <si>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</si>
  <si>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</si>
  <si>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</si>
  <si>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</si>
  <si>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</si>
  <si>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</si>
  <si>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</si>
  <si>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</si>
  <si>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</si>
  <si>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</si>
  <si>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</si>
  <si>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</si>
  <si>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</si>
  <si>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</si>
  <si>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</si>
  <si>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</si>
  <si>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</si>
  <si>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</si>
  <si>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</si>
  <si>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</si>
  <si>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</si>
  <si>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</si>
  <si>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</si>
  <si>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</si>
  <si>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</si>
  <si>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</si>
  <si>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</si>
  <si>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</si>
  <si>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</si>
  <si>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</si>
  <si>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</si>
  <si>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</si>
  <si>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</si>
  <si>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</si>
  <si>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</si>
  <si>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</si>
  <si>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</si>
  <si>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</si>
  <si>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</si>
  <si>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</si>
  <si>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</si>
  <si>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</si>
  <si>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</si>
  <si>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</si>
  <si>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</si>
  <si>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</si>
  <si>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</si>
  <si>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</si>
  <si>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</si>
  <si>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</si>
  <si>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</si>
  <si>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</si>
  <si>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</si>
  <si>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</si>
  <si>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</si>
  <si>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</si>
  <si>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</si>
  <si>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</si>
  <si>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</si>
  <si>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</si>
  <si>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</si>
  <si>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</si>
  <si>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</si>
  <si>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</si>
  <si>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</si>
  <si>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</si>
  <si>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</si>
  <si>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</si>
  <si>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</si>
  <si>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</si>
  <si>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</si>
  <si>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</si>
  <si>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</si>
  <si>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</si>
  <si>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</si>
  <si>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</si>
  <si>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</si>
  <si>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</si>
  <si>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</si>
  <si>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</si>
  <si>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</si>
  <si>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</si>
  <si>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</si>
  <si>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</si>
  <si>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</si>
  <si>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</si>
  <si>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</si>
  <si>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</si>
  <si>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</si>
  <si>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</si>
  <si>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</si>
  <si>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</si>
  <si>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</si>
  <si>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</si>
  <si>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</si>
  <si>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</si>
  <si>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</si>
  <si>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</si>
  <si>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</si>
  <si>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</si>
  <si>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</si>
  <si>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</si>
  <si>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</si>
  <si>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</si>
  <si>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</si>
  <si>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</si>
  <si>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</si>
  <si>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</si>
  <si>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</si>
  <si>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</si>
  <si>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</si>
  <si>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</si>
  <si>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</si>
  <si>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</si>
  <si>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</si>
  <si>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</si>
  <si>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</si>
  <si>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</si>
  <si>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</si>
  <si>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</si>
  <si>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</si>
  <si>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</si>
  <si>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</si>
  <si>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</si>
  <si>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</si>
  <si>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</si>
  <si>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</si>
  <si>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</si>
  <si>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</si>
  <si>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</si>
  <si>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</si>
  <si>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</si>
  <si>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</si>
  <si>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</si>
  <si>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</si>
  <si>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</si>
  <si>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</si>
  <si>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</si>
  <si>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</si>
  <si>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</si>
  <si>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</si>
  <si>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</si>
  <si>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</si>
  <si>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</si>
  <si>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</si>
  <si>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</si>
  <si>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</si>
  <si>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</si>
  <si>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</si>
  <si>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</si>
  <si>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</si>
  <si>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</si>
  <si>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</si>
  <si>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</si>
  <si>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</si>
  <si>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</si>
  <si>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</si>
  <si>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</si>
  <si>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</si>
  <si>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</si>
  <si>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</si>
  <si>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</si>
  <si>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</si>
  <si>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</si>
  <si>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</si>
  <si>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</si>
  <si>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</si>
  <si>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</si>
  <si>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</si>
  <si>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</si>
  <si>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</si>
  <si>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</si>
  <si>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</si>
  <si>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</si>
  <si>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</si>
  <si>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</si>
  <si>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</si>
  <si>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</si>
  <si>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</si>
  <si>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</si>
  <si>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</si>
  <si>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</si>
  <si>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</si>
  <si>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</si>
  <si>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</si>
  <si>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</si>
  <si>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</si>
  <si>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</si>
  <si>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</si>
  <si>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</si>
  <si>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</si>
  <si>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</si>
  <si>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</si>
  <si>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</si>
  <si>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</si>
  <si>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</si>
  <si>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</si>
  <si>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</si>
  <si>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</si>
  <si>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</si>
  <si>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</si>
  <si>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</si>
  <si>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</si>
  <si>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</si>
  <si>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</si>
  <si>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</si>
  <si>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</si>
  <si>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</si>
  <si>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</si>
  <si>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</si>
  <si>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</si>
  <si>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</si>
  <si>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</si>
  <si>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</si>
  <si>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</si>
  <si>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</si>
  <si>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</si>
  <si>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</si>
  <si>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</si>
  <si>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</si>
  <si>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</si>
  <si>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</si>
  <si>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</si>
  <si>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</si>
  <si>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</si>
  <si>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</si>
  <si>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</si>
  <si>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</si>
  <si>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</si>
  <si>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</si>
  <si>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</si>
  <si>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</si>
  <si>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</si>
  <si>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</si>
  <si>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</si>
  <si>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</si>
  <si>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</si>
  <si>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</si>
  <si>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</si>
  <si>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</si>
  <si>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</si>
  <si>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</si>
  <si>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</si>
  <si>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</si>
  <si>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</si>
  <si>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</si>
  <si>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</si>
  <si>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</si>
  <si>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</si>
  <si>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</si>
  <si>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</si>
  <si>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</si>
  <si>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</si>
  <si>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</si>
  <si>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</si>
  <si>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</si>
  <si>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</si>
  <si>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</si>
  <si>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</si>
  <si>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</si>
  <si>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</si>
  <si>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</si>
  <si>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</si>
  <si>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</si>
  <si>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</si>
  <si>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</si>
  <si>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</si>
  <si>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</si>
  <si>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</si>
  <si>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</si>
  <si>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</si>
  <si>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</si>
  <si>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</si>
  <si>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</si>
  <si>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</si>
  <si>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</si>
  <si>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</si>
  <si>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</si>
  <si>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</si>
  <si>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</si>
  <si>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</si>
  <si>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</si>
  <si>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</si>
  <si>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</si>
  <si>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</si>
  <si>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</si>
  <si>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</si>
  <si>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</si>
  <si>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</si>
  <si>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</si>
  <si>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</si>
  <si>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</si>
  <si>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</si>
  <si>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</si>
  <si>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</si>
  <si>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</si>
  <si>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</si>
  <si>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</si>
  <si>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</si>
  <si>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</si>
  <si>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</si>
  <si>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</si>
  <si>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</si>
  <si>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</si>
  <si>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</si>
  <si>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</si>
  <si>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</si>
  <si>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</si>
  <si>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</si>
  <si>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</si>
  <si>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</si>
  <si>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</si>
  <si>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</si>
  <si>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</si>
  <si>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</si>
  <si>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</si>
  <si>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</si>
  <si>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</si>
  <si>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</si>
  <si>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</si>
  <si>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</si>
  <si>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</si>
  <si>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</si>
  <si>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</si>
  <si>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</si>
  <si>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</si>
  <si>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</si>
  <si>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</si>
  <si>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</si>
  <si>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</si>
  <si>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</si>
  <si>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</si>
  <si>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</si>
  <si>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</si>
  <si>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</si>
  <si>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</si>
  <si>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</si>
  <si>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</si>
  <si>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</si>
  <si>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</si>
  <si>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</si>
  <si>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</si>
  <si>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</si>
  <si>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</si>
  <si>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</si>
  <si>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</si>
  <si>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</si>
  <si>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</si>
  <si>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</si>
  <si>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</si>
  <si>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</si>
  <si>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</si>
  <si>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</si>
  <si>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</si>
  <si>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</si>
  <si>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</si>
  <si>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</si>
  <si>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</si>
  <si>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</si>
  <si>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</si>
  <si>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</si>
  <si>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</si>
  <si>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</si>
  <si>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</si>
  <si>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</si>
  <si>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</si>
  <si>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</si>
  <si>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</si>
  <si>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</si>
  <si>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</si>
  <si>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</si>
  <si>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</si>
  <si>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</si>
  <si>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</si>
  <si>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</si>
  <si>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</si>
  <si>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</si>
  <si>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</si>
  <si>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</si>
  <si>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</si>
  <si>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</si>
  <si>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</si>
  <si>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</si>
  <si>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</si>
  <si>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</si>
  <si>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</si>
  <si>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</si>
  <si>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</si>
  <si>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</si>
  <si>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</si>
  <si>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</si>
  <si>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</si>
  <si>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</si>
  <si>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</si>
  <si>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</si>
  <si>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</si>
  <si>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</si>
  <si>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</si>
  <si>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</si>
  <si>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</si>
  <si>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</si>
  <si>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</si>
  <si>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</si>
  <si>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</si>
  <si>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</si>
  <si>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</si>
  <si>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</si>
  <si>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</si>
  <si>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</si>
  <si>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</si>
  <si>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</si>
  <si>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</si>
  <si>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</si>
  <si>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</si>
  <si>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</si>
  <si>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</si>
  <si>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</si>
  <si>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</si>
  <si>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</si>
  <si>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</si>
  <si>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</si>
  <si>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</si>
  <si>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</si>
  <si>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</si>
  <si>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</si>
  <si>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</si>
  <si>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</si>
  <si>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</si>
  <si>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</si>
  <si>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</si>
  <si>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</si>
  <si>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</si>
  <si>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</si>
  <si>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</si>
  <si>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</si>
  <si>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</si>
  <si>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</si>
  <si>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</si>
  <si>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</si>
  <si>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</si>
  <si>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</si>
  <si>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</si>
  <si>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</si>
  <si>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</si>
  <si>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</si>
  <si>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</si>
  <si>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</si>
  <si>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</si>
  <si>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</si>
  <si>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</si>
  <si>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</si>
  <si>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</si>
  <si>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</si>
  <si>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</si>
  <si>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</si>
  <si>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</si>
  <si>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</si>
  <si>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</si>
  <si>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</si>
  <si>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</si>
  <si>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</si>
  <si>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</si>
  <si>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</si>
  <si>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</si>
  <si>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</si>
  <si>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</si>
  <si>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</si>
  <si>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</si>
  <si>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</si>
  <si>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</si>
  <si>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</si>
  <si>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</si>
  <si>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</si>
  <si>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</si>
  <si>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</si>
  <si>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</si>
  <si>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</si>
  <si>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</si>
  <si>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</si>
  <si>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</si>
  <si>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</si>
  <si>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</si>
  <si>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</si>
  <si>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</si>
  <si>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</si>
  <si>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</si>
  <si>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</si>
  <si>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</si>
  <si>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</si>
  <si>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</si>
  <si>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</si>
  <si>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</si>
  <si>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</si>
  <si>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</si>
  <si>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</si>
  <si>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</si>
  <si>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</si>
  <si>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</si>
  <si>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</si>
  <si>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</si>
  <si>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</si>
  <si>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</si>
  <si>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</si>
  <si>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</si>
  <si>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</si>
  <si>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</si>
  <si>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</si>
  <si>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</si>
  <si>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</si>
  <si>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</si>
  <si>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</si>
  <si>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</si>
  <si>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</si>
  <si>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</si>
  <si>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</si>
  <si>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</si>
  <si>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</si>
  <si>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</si>
  <si>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</si>
  <si>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</si>
  <si>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</si>
  <si>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</si>
  <si>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</si>
  <si>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</si>
  <si>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</si>
  <si>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</si>
  <si>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</si>
  <si>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</si>
  <si>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</si>
  <si>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</si>
  <si>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</si>
  <si>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</si>
  <si>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</si>
  <si>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</si>
  <si>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</si>
  <si>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</si>
  <si>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</si>
  <si>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</si>
  <si>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</si>
  <si>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</si>
  <si>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</si>
  <si>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</si>
  <si>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</si>
  <si>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</si>
  <si>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</si>
  <si>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</si>
  <si>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</si>
  <si>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</si>
  <si>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</si>
  <si>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</si>
  <si>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</si>
  <si>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</si>
  <si>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</si>
  <si>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</si>
  <si>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</si>
  <si>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</si>
  <si>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</si>
  <si>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</si>
  <si>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</si>
  <si>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</si>
  <si>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</si>
  <si>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</si>
  <si>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</si>
  <si>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</si>
  <si>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</si>
  <si>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</si>
  <si>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</si>
  <si>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</si>
  <si>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</si>
  <si>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</si>
  <si>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</si>
  <si>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</si>
  <si>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</si>
  <si>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</si>
  <si>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</si>
  <si>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</si>
  <si>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</si>
  <si>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</si>
  <si>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</si>
  <si>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</si>
  <si>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</si>
  <si>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</si>
  <si>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</si>
  <si>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</si>
  <si>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</si>
  <si>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</si>
  <si>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</si>
  <si>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</si>
  <si>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</si>
  <si>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</si>
  <si>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</si>
  <si>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</si>
  <si>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</si>
  <si>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</si>
  <si>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</si>
  <si>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</si>
  <si>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</si>
  <si>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</si>
  <si>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</si>
  <si>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</si>
  <si>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</si>
  <si>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</si>
  <si>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</si>
  <si>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</si>
  <si>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</si>
  <si>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</si>
  <si>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</si>
  <si>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</si>
  <si>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</si>
  <si>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</si>
  <si>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</si>
  <si>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</si>
  <si>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</si>
  <si>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</si>
  <si>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</si>
  <si>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</si>
  <si>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</si>
  <si>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</si>
  <si>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</si>
  <si>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</si>
  <si>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</si>
  <si>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</si>
  <si>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</si>
  <si>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</si>
  <si>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</si>
  <si>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</si>
  <si>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</si>
  <si>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</si>
  <si>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</si>
  <si>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</si>
  <si>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</si>
  <si>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</si>
  <si>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</si>
  <si>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</si>
  <si>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</si>
  <si>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</si>
  <si>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</si>
  <si>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</si>
  <si>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</si>
  <si>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</si>
  <si>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</si>
  <si>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</si>
  <si>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</si>
  <si>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</si>
  <si>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</si>
  <si>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</si>
  <si>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</si>
  <si>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</si>
  <si>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</si>
  <si>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</si>
  <si>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</si>
  <si>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</si>
  <si>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</si>
  <si>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</si>
  <si>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</si>
  <si>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</si>
  <si>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</si>
  <si>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</si>
  <si>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</si>
  <si>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</si>
  <si>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</si>
  <si>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</si>
  <si>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</si>
  <si>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</si>
  <si>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</si>
  <si>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</si>
  <si>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</si>
  <si>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</si>
  <si>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</si>
  <si>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</si>
  <si>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</si>
  <si>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</si>
  <si>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</si>
  <si>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</si>
  <si>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</si>
  <si>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</si>
  <si>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</si>
  <si>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</si>
  <si>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</si>
  <si>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</si>
  <si>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</si>
  <si>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</si>
  <si>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</si>
  <si>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</si>
  <si>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</si>
  <si>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</si>
  <si>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</si>
  <si>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</si>
  <si>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</si>
  <si>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</si>
  <si>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</si>
  <si>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</si>
  <si>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</si>
  <si>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</si>
  <si>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</si>
  <si>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</si>
  <si>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</si>
  <si>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</si>
  <si>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</si>
  <si>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</si>
  <si>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</si>
  <si>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</si>
  <si>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</si>
  <si>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</si>
  <si>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</si>
  <si>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</si>
  <si>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</si>
  <si>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</si>
  <si>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</si>
  <si>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</si>
  <si>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</si>
  <si>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</si>
  <si>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</si>
  <si>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</si>
  <si>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</si>
  <si>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</si>
  <si>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</si>
  <si>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</si>
  <si>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</si>
  <si>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</si>
  <si>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</si>
  <si>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</si>
  <si>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</si>
  <si>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</si>
  <si>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</si>
  <si>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</si>
  <si>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</si>
  <si>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</si>
  <si>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</si>
  <si>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</si>
  <si>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</si>
  <si>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</si>
  <si>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</si>
  <si>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</si>
  <si>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</si>
  <si>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</si>
  <si>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</si>
  <si>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</si>
  <si>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</si>
  <si>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</si>
  <si>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</si>
  <si>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</si>
  <si>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</si>
  <si>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</si>
  <si>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</si>
  <si>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</si>
  <si>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</si>
  <si>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</si>
  <si>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</si>
  <si>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</si>
  <si>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</si>
  <si>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</si>
  <si>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</si>
  <si>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</si>
  <si>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</si>
  <si>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</si>
  <si>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</si>
  <si>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</si>
  <si>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</si>
  <si>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</si>
  <si>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</si>
  <si>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</si>
  <si>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</si>
  <si>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</si>
  <si>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</si>
  <si>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</si>
  <si>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</si>
  <si>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</si>
  <si>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</si>
  <si>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</si>
  <si>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</si>
  <si>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</si>
  <si>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</si>
  <si>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</si>
  <si>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</si>
  <si>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</si>
  <si>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</si>
  <si>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</si>
  <si>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</si>
  <si>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</si>
  <si>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</si>
  <si>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</si>
  <si>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</si>
  <si>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</si>
  <si>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</si>
  <si>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</si>
  <si>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</si>
  <si>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</si>
  <si>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</si>
  <si>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</si>
  <si>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</si>
  <si>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</si>
  <si>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</si>
  <si>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</si>
  <si>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</si>
  <si>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</si>
  <si>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</si>
  <si>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</si>
  <si>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</si>
  <si>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</si>
  <si>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</si>
  <si>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</si>
  <si>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</si>
  <si>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</si>
  <si>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</si>
  <si>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</si>
  <si>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</si>
  <si>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</si>
  <si>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</si>
  <si>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</si>
  <si>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</si>
  <si>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</si>
  <si>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</si>
  <si>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</si>
  <si>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</si>
  <si>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</si>
  <si>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</si>
  <si>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</si>
  <si>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</si>
  <si>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</si>
  <si>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</si>
  <si>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</si>
  <si>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</si>
  <si>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</si>
  <si>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</si>
  <si>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</si>
  <si>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</si>
  <si>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</si>
  <si>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</si>
  <si>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</si>
  <si>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</si>
  <si>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</si>
  <si>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</si>
  <si>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</si>
  <si>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</si>
  <si>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</si>
  <si>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</si>
  <si>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</si>
  <si>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</si>
  <si>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</si>
  <si>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</si>
  <si>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</si>
  <si>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</si>
  <si>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</si>
  <si>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</si>
  <si>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</si>
  <si>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</si>
  <si>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</si>
  <si>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</si>
  <si>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</si>
  <si>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</si>
  <si>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</si>
  <si>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</si>
  <si>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</si>
  <si>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</si>
  <si>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</si>
  <si>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</si>
  <si>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</si>
  <si>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</si>
  <si>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</si>
  <si>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</si>
  <si>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</si>
  <si>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</si>
  <si>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</si>
  <si>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</si>
  <si>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</si>
  <si>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</si>
  <si>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</si>
  <si>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</si>
  <si>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</si>
  <si>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</si>
  <si>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</si>
  <si>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</si>
  <si>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</si>
  <si>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</si>
  <si>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</si>
  <si>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</si>
  <si>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</si>
  <si>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</si>
  <si>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</si>
  <si>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</si>
  <si>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</si>
  <si>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</si>
  <si>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</si>
  <si>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</si>
  <si>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</si>
  <si>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</si>
  <si>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</si>
  <si>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</si>
  <si>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</si>
  <si>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</si>
  <si>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</si>
  <si>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</si>
  <si>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</si>
  <si>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</si>
  <si>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</si>
  <si>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</si>
  <si>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</si>
  <si>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</si>
  <si>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</si>
  <si>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</si>
  <si>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</si>
  <si>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</si>
  <si>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</si>
  <si>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</si>
  <si>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</si>
  <si>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</si>
  <si>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</si>
  <si>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</si>
  <si>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</si>
  <si>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</si>
  <si>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</si>
  <si>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</si>
  <si>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</si>
  <si>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</si>
  <si>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</si>
  <si>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</si>
  <si>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</si>
  <si>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</si>
  <si>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</si>
  <si>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</si>
  <si>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</si>
  <si>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</si>
  <si>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</si>
  <si>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</si>
  <si>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</si>
  <si>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</si>
  <si>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</si>
  <si>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</si>
  <si>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</si>
  <si>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</si>
  <si>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</si>
  <si>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</si>
  <si>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</si>
  <si>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</si>
  <si>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</si>
  <si>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</si>
  <si>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</si>
  <si>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</si>
  <si>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</si>
  <si>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</si>
  <si>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</si>
  <si>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</si>
  <si>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</si>
  <si>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</si>
  <si>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</si>
  <si>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</si>
  <si>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</si>
  <si>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</si>
  <si>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</si>
  <si>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</si>
  <si>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</si>
  <si>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</si>
  <si>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</si>
  <si>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</si>
  <si>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</si>
  <si>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</si>
  <si>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</si>
  <si>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</si>
  <si>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</si>
  <si>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</si>
  <si>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</si>
  <si>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</si>
  <si>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</si>
  <si>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</si>
  <si>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</si>
  <si>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</si>
  <si>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</si>
  <si>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</si>
  <si>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</si>
  <si>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</si>
  <si>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</si>
  <si>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</si>
  <si>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</si>
  <si>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</si>
  <si>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</si>
  <si>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</si>
  <si>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</si>
  <si>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</si>
  <si>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</si>
  <si>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</si>
  <si>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</si>
  <si>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</si>
  <si>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</si>
  <si>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</si>
  <si>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</si>
  <si>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</si>
  <si>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</si>
  <si>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</si>
  <si>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</si>
  <si>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</si>
  <si>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</si>
  <si>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</si>
  <si>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</si>
  <si>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</si>
  <si>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</si>
  <si>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</si>
  <si>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</si>
  <si>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</si>
  <si>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</si>
  <si>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</si>
  <si>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</si>
  <si>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</si>
  <si>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</si>
  <si>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</si>
  <si>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</si>
  <si>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</si>
  <si>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</si>
  <si>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</si>
  <si>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</si>
  <si>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</si>
  <si>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</si>
  <si>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</si>
  <si>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</si>
  <si>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</si>
  <si>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</si>
  <si>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</si>
  <si>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</si>
  <si>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</si>
  <si>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</si>
  <si>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</si>
  <si>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</si>
  <si>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</si>
  <si>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</si>
  <si>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</si>
  <si>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</si>
  <si>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</si>
  <si>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</si>
  <si>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</si>
  <si>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</si>
  <si>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</si>
  <si>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</si>
  <si>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</si>
  <si>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</si>
  <si>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</si>
  <si>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</si>
  <si>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</si>
  <si>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</si>
  <si>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</si>
  <si>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</si>
  <si>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</si>
  <si>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</si>
  <si>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</si>
  <si>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</si>
  <si>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</si>
  <si>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</si>
  <si>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</si>
  <si>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</si>
  <si>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</si>
  <si>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</si>
  <si>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</si>
  <si>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</si>
  <si>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</si>
  <si>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</si>
  <si>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</si>
  <si>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</si>
  <si>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</si>
  <si>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</si>
  <si>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</si>
  <si>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</si>
  <si>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</si>
  <si>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</si>
  <si>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</si>
  <si>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</si>
  <si>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</si>
  <si>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</si>
  <si>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</si>
  <si>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</si>
  <si>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</si>
  <si>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</si>
  <si>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</si>
  <si>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</si>
  <si>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</si>
  <si>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</si>
  <si>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</si>
  <si>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</si>
  <si>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</si>
  <si>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</si>
  <si>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</si>
  <si>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</si>
  <si>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</si>
  <si>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</si>
  <si>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</si>
  <si>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</si>
  <si>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</si>
  <si>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</si>
  <si>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</si>
  <si>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</si>
  <si>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</si>
  <si>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</si>
  <si>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</si>
  <si>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</si>
  <si>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</si>
  <si>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</si>
  <si>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</si>
  <si>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</si>
  <si>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</si>
  <si>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</si>
  <si>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</si>
  <si>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</si>
  <si>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</si>
  <si>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</si>
  <si>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</si>
  <si>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</si>
  <si>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</si>
  <si>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</si>
  <si>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</si>
  <si>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</si>
  <si>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</si>
  <si>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</si>
  <si>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</si>
  <si>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</si>
  <si>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</si>
  <si>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</si>
  <si>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</si>
  <si>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</si>
  <si>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</si>
  <si>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</si>
  <si>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</si>
  <si>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</si>
  <si>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</si>
  <si>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</si>
  <si>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</si>
  <si>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</si>
  <si>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</si>
  <si>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</si>
  <si>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</si>
  <si>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</si>
  <si>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</si>
  <si>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</si>
  <si>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</si>
  <si>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</si>
  <si>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</si>
  <si>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</si>
  <si>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</si>
  <si>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</si>
  <si>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</si>
  <si>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</si>
  <si>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</si>
  <si>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</si>
  <si>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</si>
  <si>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</si>
  <si>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</si>
  <si>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</si>
  <si>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</si>
  <si>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</si>
  <si>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</si>
  <si>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</si>
  <si>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</si>
  <si>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</si>
  <si>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</si>
  <si>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</si>
  <si>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</si>
  <si>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</si>
  <si>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</si>
  <si>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</si>
  <si>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</si>
  <si>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</si>
  <si>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</si>
  <si>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</si>
  <si>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</si>
  <si>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</si>
  <si>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</si>
  <si>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</si>
  <si>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</si>
  <si>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</si>
  <si>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</si>
  <si>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</si>
  <si>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</si>
  <si>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</si>
  <si>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</si>
  <si>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</si>
  <si>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</si>
  <si>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</si>
  <si>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</si>
  <si>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</si>
  <si>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</si>
  <si>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</si>
  <si>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</si>
  <si>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</si>
  <si>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</si>
  <si>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</si>
  <si>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</si>
  <si>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</si>
  <si>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</si>
  <si>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</si>
  <si>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</si>
  <si>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</si>
  <si>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</si>
  <si>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</si>
  <si>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</si>
  <si>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</si>
  <si>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</si>
  <si>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</si>
  <si>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</si>
  <si>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</si>
  <si>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</si>
  <si>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</si>
  <si>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</si>
  <si>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</si>
  <si>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</si>
  <si>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</si>
  <si>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</si>
  <si>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</si>
  <si>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</si>
  <si>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</si>
  <si>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</si>
  <si>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</si>
  <si>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</si>
  <si>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</si>
  <si>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</si>
  <si>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</si>
  <si>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</si>
  <si>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</si>
  <si>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</si>
  <si>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</si>
  <si>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</si>
  <si>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</si>
  <si>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</si>
  <si>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</si>
  <si>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</si>
  <si>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</si>
  <si>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</si>
  <si>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</si>
  <si>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</si>
  <si>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</si>
  <si>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</si>
  <si>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</si>
  <si>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</si>
  <si>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</si>
  <si>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</si>
  <si>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</si>
  <si>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</si>
  <si>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</si>
  <si>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</si>
  <si>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</si>
  <si>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</si>
  <si>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</si>
  <si>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</si>
  <si>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</si>
  <si>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</si>
  <si>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</si>
  <si>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</si>
  <si>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</si>
  <si>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</si>
  <si>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</si>
  <si>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</si>
  <si>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</si>
  <si>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</si>
  <si>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</si>
  <si>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</si>
  <si>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</si>
  <si>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</si>
  <si>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</si>
  <si>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</si>
  <si>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</si>
  <si>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</si>
  <si>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</si>
  <si>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</si>
  <si>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</si>
  <si>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</si>
  <si>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</si>
  <si>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</si>
  <si>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</si>
  <si>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</si>
  <si>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</si>
  <si>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</si>
  <si>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</si>
  <si>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</si>
  <si>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</si>
  <si>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</si>
  <si>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</si>
  <si>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</si>
  <si>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</si>
  <si>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</si>
  <si>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</si>
  <si>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</si>
  <si>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</si>
  <si>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</si>
  <si>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</si>
  <si>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</si>
  <si>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</si>
  <si>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</si>
  <si>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</si>
  <si>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</si>
  <si>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</si>
  <si>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</si>
  <si>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</si>
  <si>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</si>
  <si>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</si>
  <si>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</si>
  <si>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</si>
  <si>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</si>
  <si>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</si>
  <si>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</si>
  <si>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</si>
  <si>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</si>
  <si>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</si>
  <si>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</si>
  <si>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</si>
  <si>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</si>
  <si>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</si>
  <si>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</si>
  <si>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</si>
  <si>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</si>
  <si>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</si>
  <si>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</si>
  <si>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</si>
  <si>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</si>
  <si>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</si>
  <si>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</si>
  <si>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</si>
  <si>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</si>
  <si>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</si>
  <si>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</si>
  <si>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</si>
  <si>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</si>
  <si>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</si>
  <si>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</si>
  <si>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</si>
  <si>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</si>
  <si>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</si>
  <si>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</si>
  <si>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</si>
  <si>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</si>
  <si>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</si>
  <si>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</si>
  <si>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</si>
  <si>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</si>
  <si>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</si>
  <si>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</si>
  <si>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</si>
  <si>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</si>
  <si>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</si>
  <si>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</si>
  <si>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</si>
  <si>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</si>
  <si>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</si>
  <si>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</si>
  <si>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</si>
  <si>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</si>
  <si>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</si>
  <si>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</si>
  <si>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</si>
  <si>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</si>
  <si>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</si>
  <si>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</si>
  <si>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</si>
  <si>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</si>
  <si>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</si>
  <si>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</si>
  <si>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</si>
  <si>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</si>
  <si>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</si>
  <si>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</si>
  <si>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</si>
  <si>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</si>
  <si>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</si>
  <si>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</si>
  <si>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</si>
  <si>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</si>
  <si>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</si>
  <si>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</si>
  <si>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</si>
  <si>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</si>
  <si>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</si>
  <si>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</si>
  <si>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</si>
  <si>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</si>
  <si>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</si>
  <si>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</si>
  <si>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</si>
  <si>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</si>
  <si>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</si>
  <si>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</si>
  <si>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</si>
  <si>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</si>
  <si>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</si>
  <si>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</si>
  <si>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</si>
  <si>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</si>
  <si>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</si>
  <si>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</si>
  <si>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</si>
  <si>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</si>
  <si>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</si>
  <si>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</si>
  <si>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</si>
  <si>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</si>
  <si>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</si>
  <si>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</si>
  <si>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</si>
  <si>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</si>
  <si>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</si>
  <si>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</si>
  <si>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</si>
  <si>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</si>
  <si>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</si>
  <si>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</si>
  <si>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</si>
  <si>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</si>
  <si>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</si>
  <si>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</si>
  <si>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</si>
  <si>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</si>
  <si>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</si>
  <si>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</si>
  <si>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</si>
  <si>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</si>
  <si>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</si>
  <si>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</si>
  <si>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</si>
  <si>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</si>
  <si>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</si>
  <si>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</si>
  <si>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</si>
  <si>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</si>
  <si>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</si>
  <si>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</si>
  <si>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</si>
  <si>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</si>
  <si>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</si>
  <si>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</si>
  <si>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</si>
  <si>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</si>
  <si>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</si>
  <si>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</si>
  <si>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</si>
  <si>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</si>
  <si>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</si>
  <si>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</si>
  <si>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</si>
  <si>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</si>
  <si>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</si>
  <si>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</si>
  <si>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</si>
  <si>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</si>
  <si>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</si>
  <si>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</si>
  <si>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</si>
  <si>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</si>
  <si>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</si>
  <si>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</si>
  <si>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</si>
  <si>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</si>
  <si>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</si>
  <si>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</si>
  <si>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</si>
  <si>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</si>
  <si>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</si>
  <si>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</si>
  <si>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</si>
  <si>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</si>
  <si>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</si>
  <si>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</si>
  <si>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</si>
  <si>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</si>
  <si>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</si>
  <si>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</si>
  <si>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</si>
  <si>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</si>
  <si>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</si>
  <si>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</si>
  <si>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</si>
  <si>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</si>
  <si>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</si>
  <si>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</si>
  <si>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</si>
  <si>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</si>
  <si>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</si>
  <si>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</si>
  <si>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</si>
  <si>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</si>
  <si>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</si>
  <si>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</si>
  <si>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</si>
  <si>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</si>
  <si>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</si>
  <si>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</si>
  <si>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</si>
  <si>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</si>
  <si>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</si>
  <si>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</si>
  <si>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</si>
  <si>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</si>
  <si>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</si>
  <si>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</si>
  <si>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</si>
  <si>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</si>
  <si>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</si>
  <si>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</si>
  <si>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</si>
  <si>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</si>
  <si>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</si>
  <si>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</si>
  <si>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</si>
  <si>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</si>
  <si>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</si>
  <si>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</si>
  <si>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</si>
  <si>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</si>
  <si>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</si>
  <si>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</si>
  <si>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</si>
  <si>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</si>
  <si>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</si>
  <si>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</si>
  <si>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</si>
  <si>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</si>
  <si>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</si>
  <si>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</si>
  <si>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</si>
  <si>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</si>
  <si>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</si>
  <si>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</si>
  <si>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</si>
  <si>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</si>
  <si>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</si>
  <si>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</si>
  <si>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</si>
  <si>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</si>
  <si>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</si>
  <si>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</si>
  <si>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</si>
  <si>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</si>
  <si>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</si>
  <si>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</si>
  <si>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</si>
  <si>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</si>
  <si>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</si>
  <si>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</si>
  <si>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</si>
  <si>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</si>
  <si>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</si>
  <si>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</si>
  <si>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</si>
  <si>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</si>
  <si>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</si>
  <si>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</si>
  <si>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</si>
  <si>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</si>
  <si>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</si>
  <si>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</si>
  <si>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</si>
  <si>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</si>
  <si>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</si>
  <si>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</si>
  <si>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</si>
  <si>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</si>
  <si>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</si>
  <si>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</si>
  <si>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</si>
  <si>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</si>
  <si>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</si>
  <si>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</si>
  <si>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</si>
  <si>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</si>
  <si>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</si>
  <si>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</si>
  <si>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</si>
  <si>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</si>
  <si>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</si>
  <si>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</si>
  <si>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</si>
  <si>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</si>
  <si>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</si>
  <si>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</si>
  <si>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</si>
  <si>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</si>
  <si>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</si>
  <si>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</si>
  <si>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</si>
  <si>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</si>
  <si>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</si>
  <si>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</si>
  <si>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</si>
  <si>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</si>
  <si>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</si>
  <si>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</si>
  <si>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</si>
  <si>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</si>
  <si>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</si>
  <si>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</si>
  <si>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</si>
  <si>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</si>
  <si>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</si>
  <si>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</si>
  <si>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</si>
  <si>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</si>
  <si>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</si>
  <si>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</si>
  <si>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</si>
  <si>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</si>
  <si>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</si>
  <si>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</si>
  <si>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</si>
  <si>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</si>
  <si>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</si>
  <si>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</si>
  <si>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</si>
  <si>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</si>
  <si>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</si>
  <si>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</si>
  <si>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</si>
  <si>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</si>
  <si>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</si>
  <si>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</si>
  <si>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</si>
  <si>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</si>
  <si>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</si>
  <si>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</si>
  <si>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</si>
  <si>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</si>
  <si>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</si>
  <si>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</si>
  <si>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</si>
  <si>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</si>
  <si>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</si>
  <si>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</si>
  <si>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</si>
  <si>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</si>
  <si>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</si>
  <si>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</si>
  <si>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</si>
  <si>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</si>
  <si>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</si>
  <si>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</si>
  <si>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</si>
  <si>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</si>
  <si>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</si>
  <si>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</si>
  <si>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</si>
  <si>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</si>
  <si>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</si>
  <si>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</si>
  <si>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</si>
  <si>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</si>
  <si>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</si>
  <si>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</si>
  <si>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</si>
  <si>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</si>
  <si>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</si>
  <si>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</si>
  <si>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</si>
  <si>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</si>
  <si>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</si>
  <si>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</si>
  <si>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</si>
  <si>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</si>
  <si>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</si>
  <si>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</si>
  <si>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</si>
  <si>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</si>
  <si>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</si>
  <si>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</si>
  <si>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</si>
  <si>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</si>
  <si>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</si>
  <si>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</si>
  <si>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</si>
  <si>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</si>
  <si>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</si>
  <si>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</si>
  <si>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</si>
  <si>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</si>
  <si>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</si>
  <si>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</si>
  <si>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</si>
  <si>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</si>
  <si>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</si>
  <si>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</si>
  <si>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</si>
  <si>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</si>
  <si>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</si>
  <si>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</si>
  <si>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</si>
  <si>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</si>
  <si>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</si>
  <si>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</si>
  <si>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</si>
  <si>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</si>
  <si>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</si>
  <si>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</si>
  <si>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</si>
  <si>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</si>
  <si>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</si>
  <si>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</si>
  <si>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</si>
  <si>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</si>
  <si>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</si>
  <si>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</si>
  <si>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</si>
  <si>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</si>
  <si>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</si>
  <si>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</si>
  <si>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</si>
  <si>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</si>
  <si>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</si>
  <si>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</si>
  <si>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</si>
  <si>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</si>
  <si>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</si>
  <si>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</si>
  <si>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</si>
  <si>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</si>
  <si>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</si>
  <si>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</si>
  <si>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</si>
  <si>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</si>
  <si>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</si>
  <si>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</si>
  <si>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</si>
  <si>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</si>
  <si>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</si>
  <si>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</si>
  <si>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</si>
  <si>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</si>
  <si>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</si>
  <si>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</si>
  <si>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</si>
  <si>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</si>
  <si>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</si>
  <si>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</si>
  <si>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</si>
  <si>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</si>
  <si>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</si>
  <si>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</si>
  <si>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</si>
  <si>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</si>
  <si>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</si>
  <si>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</si>
  <si>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</si>
  <si>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</si>
  <si>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</si>
  <si>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</si>
  <si>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</si>
  <si>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</si>
  <si>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</si>
  <si>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</si>
  <si>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</si>
  <si>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</si>
  <si>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</si>
  <si>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</si>
  <si>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</si>
  <si>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</si>
  <si>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</si>
  <si>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</si>
  <si>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</si>
  <si>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</si>
  <si>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</si>
  <si>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</si>
  <si>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</si>
  <si>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</si>
  <si>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</si>
  <si>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</si>
  <si>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</si>
  <si>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</si>
  <si>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</si>
  <si>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</si>
  <si>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</si>
  <si>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</si>
  <si>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</si>
  <si>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</si>
  <si>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</si>
  <si>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</si>
  <si>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</si>
  <si>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</si>
  <si>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</si>
  <si>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</si>
  <si>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</si>
  <si>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</si>
  <si>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</si>
  <si>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</si>
  <si>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</si>
  <si>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</si>
  <si>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</si>
  <si>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</si>
  <si>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</si>
  <si>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</si>
  <si>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</si>
  <si>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</si>
  <si>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</si>
  <si>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</si>
  <si>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</si>
  <si>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</si>
  <si>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</si>
  <si>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</si>
  <si>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</si>
  <si>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</si>
  <si>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</si>
  <si>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</si>
  <si>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</si>
  <si>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</si>
  <si>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</si>
  <si>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</si>
  <si>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</si>
  <si>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</si>
  <si>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</si>
  <si>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</si>
  <si>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</si>
  <si>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</si>
  <si>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</si>
  <si>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</si>
  <si>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</si>
  <si>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</si>
  <si>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</si>
  <si>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</si>
  <si>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</si>
  <si>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</si>
  <si>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</si>
  <si>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</si>
  <si>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</si>
  <si>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</si>
  <si>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</si>
  <si>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</si>
  <si>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</si>
  <si>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</si>
  <si>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</si>
  <si>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</si>
  <si>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</si>
  <si>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</si>
  <si>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</si>
  <si>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</si>
  <si>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</si>
  <si>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</si>
  <si>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</si>
  <si>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</si>
  <si>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</si>
  <si>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</si>
  <si>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</si>
  <si>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</si>
  <si>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</si>
  <si>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</si>
  <si>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</si>
  <si>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</si>
  <si>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</si>
  <si>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</si>
  <si>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</si>
  <si>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</si>
  <si>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</si>
  <si>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</si>
  <si>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</si>
  <si>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</si>
  <si>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</si>
  <si>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</si>
  <si>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</si>
  <si>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</si>
  <si>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</si>
  <si>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</si>
  <si>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</si>
  <si>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</si>
  <si>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</si>
  <si>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</si>
  <si>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</si>
  <si>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</si>
  <si>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</si>
  <si>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</si>
  <si>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</si>
  <si>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</si>
  <si>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</si>
  <si>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</si>
  <si>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</si>
  <si>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</si>
  <si>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</si>
  <si>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</si>
  <si>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</si>
  <si>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</si>
  <si>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</si>
  <si>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</si>
  <si>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</si>
  <si>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</si>
  <si>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</si>
  <si>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</si>
  <si>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</si>
  <si>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</si>
  <si>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</si>
  <si>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</si>
  <si>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</si>
  <si>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</si>
  <si>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</si>
  <si>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</si>
  <si>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</si>
  <si>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</si>
  <si>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</si>
  <si>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</si>
  <si>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</si>
  <si>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</si>
  <si>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</si>
  <si>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</si>
  <si>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</si>
  <si>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</si>
  <si>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</si>
  <si>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</si>
  <si>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</si>
  <si>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</si>
  <si>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</si>
  <si>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</si>
  <si>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</si>
  <si>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</si>
  <si>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</si>
  <si>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</si>
  <si>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</si>
  <si>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</si>
  <si>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</si>
  <si>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</si>
  <si>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</si>
  <si>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</si>
  <si>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</si>
  <si>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</si>
  <si>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</si>
  <si>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</si>
  <si>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</si>
  <si>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</si>
  <si>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</si>
  <si>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</si>
  <si>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</si>
  <si>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</si>
  <si>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</si>
  <si>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</si>
  <si>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</si>
  <si>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</si>
  <si>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</si>
  <si>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</si>
  <si>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</si>
  <si>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</si>
  <si>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</si>
  <si>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</si>
  <si>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</si>
  <si>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</si>
  <si>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</si>
  <si>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</si>
  <si>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</si>
  <si>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</si>
  <si>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</si>
  <si>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</si>
  <si>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</si>
  <si>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</si>
  <si>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</si>
  <si>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</si>
  <si>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</si>
  <si>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</si>
  <si>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</si>
  <si>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</si>
  <si>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</si>
  <si>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</si>
  <si>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</si>
  <si>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</si>
  <si>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</si>
  <si>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</si>
  <si>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</si>
  <si>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</si>
  <si>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</si>
  <si>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</si>
  <si>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</si>
  <si>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</si>
  <si>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</si>
  <si>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</si>
  <si>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</si>
  <si>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</si>
  <si>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</si>
  <si>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</si>
  <si>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</si>
  <si>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</si>
  <si>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</si>
  <si>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</si>
  <si>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</si>
  <si>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</si>
  <si>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</si>
  <si>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</si>
  <si>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</si>
  <si>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</si>
  <si>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</si>
  <si>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</si>
  <si>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</si>
  <si>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</si>
  <si>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</si>
  <si>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</si>
  <si>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</si>
  <si>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</si>
  <si>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</si>
  <si>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</si>
  <si>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</si>
  <si>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</si>
  <si>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</si>
  <si>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</si>
  <si>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</si>
  <si>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</si>
  <si>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</si>
  <si>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</si>
  <si>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</si>
  <si>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</si>
  <si>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</si>
  <si>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</si>
  <si>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</si>
  <si>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</si>
  <si>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</si>
  <si>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</si>
  <si>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</si>
  <si>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</si>
  <si>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</si>
  <si>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</si>
  <si>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</si>
  <si>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</si>
  <si>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</si>
  <si>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</si>
  <si>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</si>
  <si>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</si>
  <si>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</si>
  <si>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</si>
  <si>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</si>
  <si>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</si>
  <si>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</si>
  <si>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</si>
  <si>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</si>
  <si>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</si>
  <si>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</si>
  <si>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</si>
  <si>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</si>
  <si>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</si>
  <si>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</si>
  <si>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</si>
  <si>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</si>
  <si>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</si>
  <si>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</si>
  <si>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</si>
  <si>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</si>
  <si>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</si>
  <si>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</si>
  <si>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</si>
  <si>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</si>
  <si>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</si>
  <si>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</si>
  <si>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</si>
  <si>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</si>
  <si>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</si>
  <si>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</si>
  <si>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</si>
  <si>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</si>
  <si>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</si>
  <si>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</si>
  <si>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</si>
  <si>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</si>
  <si>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</si>
  <si>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</si>
  <si>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</si>
  <si>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</si>
  <si>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</si>
  <si>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</si>
  <si>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</si>
  <si>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</si>
  <si>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</si>
  <si>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</si>
  <si>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</si>
  <si>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</si>
  <si>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</si>
  <si>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</si>
  <si>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</si>
  <si>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</si>
  <si>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</si>
  <si>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</si>
  <si>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</si>
  <si>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</si>
  <si>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</si>
  <si>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</si>
  <si>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</si>
  <si>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</si>
  <si>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</si>
  <si>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</si>
  <si>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</si>
  <si>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</si>
  <si>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</si>
  <si>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</si>
  <si>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</si>
  <si>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</si>
  <si>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</si>
  <si>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</si>
  <si>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</si>
  <si>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</si>
  <si>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</si>
  <si>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</si>
  <si>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</si>
  <si>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</si>
  <si>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</si>
  <si>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</si>
  <si>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</si>
  <si>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</si>
  <si>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</si>
  <si>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</si>
  <si>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</si>
  <si>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</si>
  <si>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</si>
  <si>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</si>
  <si>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</si>
  <si>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</si>
  <si>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</si>
  <si>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</si>
  <si>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</si>
  <si>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</si>
  <si>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</si>
  <si>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</si>
  <si>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</si>
  <si>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</si>
  <si>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</si>
  <si>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</si>
  <si>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</si>
  <si>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</si>
  <si>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</si>
  <si>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</si>
  <si>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</si>
  <si>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</si>
  <si>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</si>
  <si>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</si>
  <si>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</si>
  <si>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</si>
  <si>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</si>
  <si>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</si>
  <si>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</si>
  <si>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</si>
  <si>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</si>
  <si>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</si>
  <si>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</si>
  <si>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</si>
  <si>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</si>
  <si>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</si>
  <si>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</si>
  <si>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</si>
  <si>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</si>
  <si>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</si>
  <si>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</si>
  <si>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</si>
  <si>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</si>
  <si>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</si>
  <si>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</si>
  <si>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</si>
  <si>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</si>
  <si>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</si>
  <si>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</si>
  <si>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</si>
  <si>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</si>
  <si>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</si>
  <si>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</si>
  <si>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</si>
  <si>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</si>
  <si>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</si>
  <si>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</si>
  <si>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</si>
  <si>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</si>
  <si>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</si>
  <si>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</si>
  <si>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</si>
  <si>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</si>
  <si>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</si>
  <si>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</si>
  <si>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</si>
  <si>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</si>
  <si>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</si>
  <si>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</si>
  <si>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</si>
  <si>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</si>
  <si>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</si>
  <si>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</si>
  <si>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</si>
  <si>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</si>
  <si>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</si>
  <si>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</si>
  <si>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</si>
  <si>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</si>
  <si>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</si>
  <si>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</si>
  <si>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</si>
  <si>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</si>
  <si>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</si>
  <si>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</si>
  <si>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</si>
  <si>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</si>
  <si>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</si>
  <si>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</si>
  <si>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</si>
  <si>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</si>
  <si>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</si>
  <si>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</si>
  <si>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</si>
  <si>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</si>
  <si>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</si>
  <si>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</si>
  <si>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</si>
  <si>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</si>
  <si>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</si>
  <si>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</si>
  <si>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</si>
  <si>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</si>
  <si>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</si>
  <si>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</si>
  <si>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</si>
  <si>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</si>
  <si>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</si>
  <si>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</si>
  <si>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</si>
  <si>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</si>
  <si>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</si>
  <si>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</si>
  <si>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</si>
  <si>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</si>
  <si>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</si>
  <si>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</si>
  <si>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</si>
  <si>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</si>
  <si>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</si>
  <si>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</si>
  <si>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</si>
  <si>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</si>
  <si>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</si>
  <si>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</si>
  <si>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</si>
  <si>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</si>
  <si>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</si>
  <si>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</si>
  <si>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</si>
  <si>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</si>
  <si>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</si>
  <si>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</si>
  <si>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</si>
  <si>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</si>
  <si>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</si>
  <si>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</si>
  <si>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</si>
  <si>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</si>
  <si>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</si>
  <si>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</si>
  <si>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</si>
  <si>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</si>
  <si>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</si>
  <si>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</si>
  <si>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</si>
  <si>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</si>
  <si>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</si>
  <si>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</si>
  <si>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</si>
  <si>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</si>
  <si>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</si>
  <si>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</si>
  <si>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</si>
  <si>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</si>
  <si>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</si>
  <si>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</si>
  <si>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</si>
  <si>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</si>
  <si>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</si>
  <si>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</si>
  <si>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</si>
  <si>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</si>
  <si>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</si>
  <si>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</si>
  <si>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</si>
  <si>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</si>
  <si>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</si>
  <si>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</si>
  <si>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</si>
  <si>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</si>
  <si>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</si>
  <si>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</si>
  <si>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</si>
  <si>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</si>
  <si>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</si>
  <si>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</si>
  <si>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</si>
  <si>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</si>
  <si>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</si>
  <si>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</si>
  <si>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</si>
  <si>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</si>
  <si>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</si>
  <si>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</si>
  <si>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</si>
  <si>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</si>
  <si>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</si>
  <si>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</si>
  <si>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</si>
  <si>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</si>
  <si>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</si>
  <si>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</si>
  <si>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</si>
  <si>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</si>
  <si>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</si>
  <si>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</si>
  <si>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</si>
  <si>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</si>
  <si>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</si>
  <si>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</si>
  <si>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</si>
  <si>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</si>
  <si>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</si>
  <si>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</si>
  <si>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</si>
  <si>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</si>
  <si>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</si>
  <si>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</si>
  <si>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</si>
  <si>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</si>
  <si>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</si>
  <si>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</si>
  <si>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</si>
  <si>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</si>
  <si>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</si>
  <si>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</si>
  <si>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</si>
  <si>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</si>
  <si>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</si>
  <si>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</si>
  <si>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</si>
  <si>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</si>
  <si>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</si>
  <si>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</si>
  <si>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</si>
  <si>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</si>
  <si>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</si>
  <si>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</si>
  <si>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</si>
  <si>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</si>
  <si>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</si>
  <si>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</si>
  <si>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</si>
  <si>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</si>
  <si>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</si>
  <si>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</si>
  <si>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</si>
  <si>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</si>
  <si>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</si>
  <si>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</si>
  <si>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</si>
  <si>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</si>
  <si>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</si>
  <si>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</si>
  <si>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</si>
  <si>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</si>
  <si>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</si>
  <si>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</si>
  <si>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</si>
  <si>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</si>
  <si>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</si>
  <si>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</si>
  <si>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</si>
  <si>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</si>
  <si>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</si>
  <si>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</si>
  <si>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</si>
  <si>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</si>
  <si>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</si>
  <si>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</si>
  <si>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</si>
  <si>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</si>
  <si>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</si>
  <si>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</si>
  <si>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</si>
  <si>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</si>
  <si>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</si>
  <si>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</si>
  <si>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</si>
  <si>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</si>
  <si>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</si>
  <si>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</si>
  <si>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</si>
  <si>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</si>
  <si>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</si>
  <si>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</si>
  <si>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</si>
  <si>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</si>
  <si>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</si>
  <si>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</si>
  <si>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</si>
  <si>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</si>
  <si>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</si>
  <si>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</si>
  <si>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</si>
  <si>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</si>
  <si>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</si>
  <si>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</si>
  <si>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</si>
  <si>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</si>
  <si>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</si>
  <si>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</si>
  <si>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</si>
  <si>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</si>
  <si>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</si>
  <si>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</si>
  <si>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</si>
  <si>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</si>
  <si>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</si>
  <si>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</si>
  <si>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</si>
  <si>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</si>
  <si>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</si>
  <si>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</si>
  <si>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</si>
  <si>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</si>
  <si>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</si>
  <si>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</si>
  <si>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</si>
  <si>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</si>
  <si>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</si>
  <si>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</si>
  <si>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</si>
  <si>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</si>
  <si>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</si>
  <si>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</si>
  <si>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</si>
  <si>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</si>
  <si>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</si>
  <si>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</si>
  <si>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</si>
  <si>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</si>
  <si>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</si>
  <si>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</si>
  <si>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</si>
  <si>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</si>
  <si>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</si>
  <si>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</si>
  <si>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</si>
  <si>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</si>
  <si>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</si>
  <si>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</si>
  <si>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</si>
  <si>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</si>
  <si>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</si>
  <si>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</si>
  <si>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</si>
  <si>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</si>
  <si>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</si>
  <si>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</si>
  <si>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</si>
  <si>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</si>
  <si>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</si>
  <si>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</si>
  <si>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</si>
  <si>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</si>
  <si>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</si>
  <si>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</si>
  <si>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</si>
  <si>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</si>
  <si>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</si>
  <si>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</si>
  <si>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</si>
  <si>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</si>
  <si>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</si>
  <si>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</si>
  <si>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</si>
  <si>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</si>
  <si>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</si>
  <si>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</si>
  <si>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</si>
  <si>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</si>
  <si>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</si>
  <si>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</si>
  <si>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</si>
  <si>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</si>
  <si>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</si>
  <si>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</si>
  <si>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</si>
  <si>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</si>
  <si>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</si>
  <si>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</si>
  <si>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</si>
  <si>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</si>
  <si>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</si>
  <si>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</si>
  <si>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</si>
  <si>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</si>
  <si>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</si>
  <si>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</si>
  <si>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</si>
  <si>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</si>
  <si>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</si>
  <si>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</si>
  <si>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</si>
  <si>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</si>
  <si>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</si>
  <si>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</si>
  <si>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</si>
  <si>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</si>
  <si>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</si>
  <si>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</si>
  <si>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</si>
  <si>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</si>
  <si>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</si>
  <si>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</si>
  <si>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</si>
  <si>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</si>
  <si>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</si>
  <si>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</si>
  <si>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</si>
  <si>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</si>
  <si>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</si>
  <si>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</si>
  <si>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</si>
  <si>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</si>
  <si>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</si>
  <si>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</si>
  <si>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</si>
  <si>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</si>
  <si>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</si>
  <si>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</si>
  <si>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</si>
  <si>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</si>
  <si>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</si>
  <si>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</si>
  <si>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</si>
  <si>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</si>
  <si>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</si>
  <si>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</si>
  <si>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</si>
  <si>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</si>
  <si>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</si>
  <si>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</si>
  <si>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</si>
  <si>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</si>
  <si>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</si>
  <si>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</si>
  <si>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</si>
  <si>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</si>
  <si>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</si>
  <si>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</si>
  <si>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</si>
  <si>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</si>
  <si>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</si>
  <si>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</si>
  <si>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</si>
  <si>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</si>
  <si>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</si>
  <si>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</si>
  <si>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</si>
  <si>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</si>
  <si>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</si>
  <si>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</si>
  <si>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</si>
  <si>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</si>
  <si>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</si>
  <si>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</si>
  <si>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</si>
  <si>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</si>
  <si>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</si>
  <si>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</si>
  <si>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</si>
  <si>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</si>
  <si>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</si>
  <si>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</si>
  <si>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</si>
  <si>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</si>
  <si>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</si>
  <si>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</si>
  <si>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</si>
  <si>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</si>
  <si>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</si>
  <si>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</si>
  <si>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</si>
  <si>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</si>
  <si>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</si>
  <si>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</si>
  <si>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</si>
  <si>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</si>
  <si>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</si>
  <si>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</si>
  <si>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</si>
  <si>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</si>
  <si>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</si>
  <si>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</si>
  <si>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</si>
  <si>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</si>
  <si>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</si>
  <si>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</si>
  <si>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</si>
  <si>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</si>
  <si>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</si>
  <si>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</si>
  <si>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</si>
  <si>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</si>
  <si>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</si>
  <si>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</si>
  <si>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</si>
  <si>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</si>
  <si>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</si>
  <si>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</si>
  <si>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</si>
  <si>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</si>
  <si>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</si>
  <si>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</si>
  <si>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</si>
  <si>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</si>
  <si>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</si>
  <si>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</si>
  <si>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</si>
  <si>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</si>
  <si>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</si>
  <si>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</si>
  <si>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</si>
  <si>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</si>
  <si>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</si>
  <si>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</si>
  <si>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</si>
  <si>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</si>
  <si>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</si>
  <si>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</si>
  <si>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</si>
  <si>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</si>
  <si>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</si>
  <si>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</si>
  <si>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</si>
  <si>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</si>
  <si>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</si>
  <si>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</si>
  <si>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</si>
  <si>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</si>
  <si>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</si>
  <si>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</si>
  <si>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</si>
  <si>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</si>
  <si>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</si>
  <si>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</si>
  <si>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</si>
  <si>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</si>
  <si>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</si>
  <si>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</si>
  <si>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</si>
  <si>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</si>
  <si>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</si>
  <si>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</si>
  <si>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</si>
  <si>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</si>
  <si>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</si>
  <si>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</si>
  <si>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</si>
  <si>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</si>
  <si>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</si>
  <si>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</si>
  <si>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</si>
  <si>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</si>
  <si>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</si>
  <si>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</si>
  <si>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</si>
  <si>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</si>
  <si>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</si>
  <si>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</si>
  <si>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</si>
  <si>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</si>
  <si>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</si>
  <si>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</si>
  <si>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</si>
  <si>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</si>
  <si>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</si>
  <si>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</si>
  <si>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</si>
  <si>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</si>
  <si>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</si>
  <si>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</si>
  <si>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</si>
  <si>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</si>
  <si>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</si>
  <si>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</si>
  <si>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</si>
  <si>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</si>
  <si>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</si>
  <si>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</si>
  <si>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</si>
  <si>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</si>
  <si>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</si>
  <si>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</si>
  <si>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</si>
  <si>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</si>
  <si>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</si>
  <si>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</si>
  <si>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</si>
  <si>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</si>
  <si>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</si>
  <si>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</si>
  <si>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</si>
  <si>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</si>
  <si>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</si>
  <si>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</si>
  <si>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</si>
  <si>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</si>
  <si>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</si>
  <si>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</si>
  <si>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</si>
  <si>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</si>
  <si>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</si>
  <si>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</si>
  <si>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</si>
  <si>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</si>
  <si>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</si>
  <si>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</si>
  <si>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</si>
  <si>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</si>
  <si>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</si>
  <si>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</si>
  <si>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</si>
  <si>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</si>
  <si>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</si>
  <si>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</si>
  <si>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</si>
  <si>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</si>
  <si>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</si>
  <si>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</si>
  <si>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</si>
  <si>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</si>
  <si>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</si>
  <si>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</si>
  <si>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</si>
  <si>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</si>
  <si>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</si>
  <si>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</si>
  <si>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</si>
  <si>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</si>
  <si>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</si>
  <si>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</si>
  <si>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</si>
  <si>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</si>
  <si>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</si>
  <si>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</si>
  <si>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</si>
  <si>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</si>
  <si>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</si>
  <si>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</si>
  <si>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</si>
  <si>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</si>
  <si>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</si>
  <si>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</si>
  <si>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</si>
  <si>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</si>
  <si>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</si>
  <si>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</si>
  <si>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</si>
  <si>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</si>
  <si>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</si>
  <si>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</si>
  <si>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</si>
  <si>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</si>
  <si>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</si>
  <si>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</si>
  <si>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</si>
  <si>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</si>
  <si>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</si>
  <si>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</si>
  <si>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</si>
  <si>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</si>
  <si>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</si>
  <si>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</si>
  <si>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</si>
  <si>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</si>
  <si>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</si>
  <si>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</si>
  <si>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</si>
  <si>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</si>
  <si>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</si>
  <si>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</si>
  <si>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</si>
  <si>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</si>
  <si>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</si>
  <si>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</si>
  <si>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</si>
  <si>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</si>
  <si>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</si>
  <si>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</si>
  <si>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</si>
  <si>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</si>
  <si>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</si>
  <si>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</si>
  <si>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</si>
  <si>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</si>
  <si>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</si>
  <si>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</si>
  <si>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</si>
  <si>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</si>
  <si>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</si>
  <si>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</si>
  <si>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</si>
  <si>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</si>
  <si>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</si>
  <si>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</si>
  <si>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</si>
  <si>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</si>
  <si>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</si>
  <si>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</si>
  <si>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</si>
  <si>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</si>
  <si>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</si>
  <si>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</si>
  <si>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</si>
  <si>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</si>
  <si>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</si>
  <si>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</si>
  <si>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</si>
  <si>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</si>
  <si>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</si>
  <si>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</si>
  <si>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</si>
  <si>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</si>
  <si>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</si>
  <si>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</si>
  <si>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</si>
  <si>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</si>
  <si>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</si>
  <si>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</si>
  <si>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</si>
  <si>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</si>
  <si>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</si>
  <si>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</si>
  <si>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</si>
  <si>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</si>
  <si>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</si>
  <si>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</si>
  <si>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</si>
  <si>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</si>
  <si>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</si>
  <si>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</si>
  <si>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</si>
  <si>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</si>
  <si>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</si>
  <si>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</si>
  <si>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</si>
  <si>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</si>
  <si>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</si>
  <si>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</si>
  <si>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</si>
  <si>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</si>
  <si>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</si>
  <si>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</si>
  <si>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</si>
  <si>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</si>
  <si>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</si>
  <si>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</si>
  <si>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</si>
  <si>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</si>
  <si>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</si>
  <si>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</si>
  <si>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</si>
  <si>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</si>
  <si>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</si>
  <si>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</si>
  <si>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</si>
  <si>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</si>
  <si>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</si>
  <si>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</si>
  <si>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</si>
  <si>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</si>
  <si>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</si>
  <si>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</si>
  <si>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</si>
  <si>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</si>
  <si>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</si>
  <si>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</si>
  <si>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</si>
  <si>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</si>
  <si>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</si>
  <si>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</si>
  <si>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</si>
  <si>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</si>
  <si>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</si>
  <si>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</si>
  <si>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</si>
  <si>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</si>
  <si>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</si>
  <si>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</si>
  <si>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</si>
  <si>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</si>
  <si>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</si>
  <si>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</si>
  <si>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</si>
  <si>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</si>
  <si>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</si>
  <si>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</si>
  <si>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</si>
  <si>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</si>
  <si>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</si>
  <si>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</si>
  <si>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</si>
  <si>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</si>
  <si>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</si>
  <si>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</si>
  <si>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</si>
  <si>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</si>
  <si>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</si>
  <si>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</si>
  <si>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</si>
  <si>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</si>
  <si>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</si>
  <si>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</si>
  <si>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</si>
  <si>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</si>
  <si>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</si>
  <si>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</si>
  <si>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</si>
  <si>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</si>
  <si>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</si>
  <si>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</si>
  <si>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</si>
  <si>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</si>
  <si>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</si>
  <si>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</si>
  <si>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</si>
  <si>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</si>
  <si>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</si>
  <si>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</si>
  <si>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</si>
  <si>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</si>
  <si>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</si>
  <si>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</si>
  <si>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</si>
  <si>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</si>
  <si>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</si>
  <si>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</si>
  <si>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</si>
  <si>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</si>
  <si>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</si>
  <si>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</si>
  <si>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</si>
  <si>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</si>
  <si>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</si>
  <si>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</si>
  <si>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</si>
  <si>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</si>
  <si>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</si>
  <si>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</si>
  <si>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</si>
  <si>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</si>
  <si>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</si>
  <si>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</si>
  <si>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</si>
  <si>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</si>
  <si>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</si>
  <si>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</si>
  <si>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</si>
  <si>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</si>
  <si>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</si>
  <si>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</si>
  <si>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</si>
  <si>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</si>
  <si>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</si>
  <si>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</si>
  <si>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</si>
  <si>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</si>
  <si>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</si>
  <si>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</si>
  <si>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</si>
  <si>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</si>
  <si>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</si>
  <si>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</si>
  <si>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</si>
  <si>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</si>
  <si>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</si>
  <si>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</si>
  <si>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企业</t>
  </si>
  <si>
    <t>一致</t>
  </si>
  <si>
    <t>符合</t>
  </si>
  <si>
    <t>地块名称</t>
  </si>
  <si>
    <t>城市</t>
  </si>
  <si>
    <t>出让方式</t>
  </si>
  <si>
    <t>受让单位</t>
  </si>
  <si>
    <t>溢价率</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</si>
  <si>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</si>
  <si>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</si>
  <si>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</si>
  <si>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</si>
  <si>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2021-05-08</t>
  </si>
  <si>
    <t>华通置业有限公司、北京领华房地产开发有限公司、北京嘉晨置业合伙企业(有限合伙)</t>
  </si>
  <si>
    <t>北京市密云区檀营乡6005地块R2二类居住用地</t>
  </si>
  <si>
    <t>住宅用地</t>
  </si>
  <si>
    <t>≤2.0</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</si>
  <si>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</si>
  <si>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</si>
  <si>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</si>
  <si>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</si>
  <si>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</si>
  <si>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</si>
  <si>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</si>
  <si>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</si>
  <si>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</si>
  <si>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</si>
  <si>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北京市昌平区东小口镇马连店1803-610地块R2二类居住用地</t>
  </si>
  <si>
    <t>≤2.8</t>
  </si>
  <si>
    <t>北京市海淀区海淀镇树村棚户区改造B-1北地块R2二类居住用地</t>
  </si>
  <si>
    <t>≤1.6</t>
  </si>
  <si>
    <t>北京陕创企诚置业有限公司</t>
  </si>
  <si>
    <t>北京市朝阳区豆各庄乡孙家坡村1306-638地块F1住宅混合公建用地</t>
  </si>
  <si>
    <t>北京宁诚置业有限公司</t>
  </si>
  <si>
    <t>北京市昌平区北七家镇中心起步区(暨海鶄落新村建设)土地一级开发项目一期HQL-09地块R2二类居住用地</t>
  </si>
  <si>
    <t>北京天时汤山房地产投资发展有限公司</t>
  </si>
  <si>
    <t>北京市朝阳区王四营乡土地一级开发项目一期1304-L01地块R2二类居住用地</t>
  </si>
  <si>
    <t>r2≤2.5</t>
  </si>
  <si>
    <t>保利(北京)房地产开发有限公司、北京润置商业运营管理有限公司、北京金泰慧业科技有限公司联合体</t>
  </si>
  <si>
    <t>北京城市副中心0302街区FZX-0302-6004、6002地块F1住宅混合公建用地、A334托幼用地</t>
  </si>
  <si>
    <t>f1≤2.4,a334≤0.8</t>
  </si>
  <si>
    <t>北京城建投资发展股份有限公司、北京迪多纳企业管理有限公司联合体</t>
  </si>
  <si>
    <t>北京市朝阳区崔各庄乡黑桥村、南皋村棚户区改造项目30-L01-01地块R2二类居住用地(配建“公共租赁住房”)</t>
  </si>
  <si>
    <t>≤2.5</t>
  </si>
  <si>
    <t>北京润置商业运营管理有限公司、保利(北京)房地产开发有限公司、北京金泰辉华科技有限公司</t>
  </si>
  <si>
    <t>北京市丰台区长辛店镇张郭庄村A区FT00-0203-6145、FT00-0203-6159地块R2二类居住用地</t>
  </si>
  <si>
    <t>≤2.3</t>
  </si>
  <si>
    <t>北京首都开发股份有限公司、北京承华房地产开发有限公司</t>
  </si>
  <si>
    <t>北京市朝阳区王四营乡土地一级开发项目一期1304-L03地块R2二类居住用地</t>
  </si>
  <si>
    <t>北京城建投资发展股份有限公司、招商局地产(北京)有限公司、五矿盛世广业(北京)有限公司联合体</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</si>
  <si>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</si>
  <si>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</si>
  <si>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</si>
  <si>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</si>
  <si>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</si>
  <si>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</si>
  <si>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</si>
  <si>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</si>
  <si>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</si>
  <si>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</si>
  <si>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</si>
  <si>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</si>
  <si>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</si>
  <si>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</si>
  <si>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</si>
  <si>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</si>
  <si>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</si>
  <si>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北京雅盛房地产开发有限公司</t>
  </si>
  <si>
    <t>北京市丰台区长辛店镇张家坟村15-1、21-5地块R2二类居住用地</t>
  </si>
  <si>
    <t>≤1.4</t>
  </si>
  <si>
    <t>天津城茂置业有限公司</t>
  </si>
  <si>
    <t>北京市朝阳区崔各庄乡黑桥村、南皋村棚户区改造项目30-L04地块R2二类居住用地(配建“公共租赁住房”)</t>
  </si>
  <si>
    <t>招商局地产(北京)有限公司、北京城建投资发展股份有限公司</t>
  </si>
  <si>
    <t>北京市延庆区南菜园1-5巷棚户区改造项目YQ00-0007-0002地块R2二类居住用地</t>
  </si>
  <si>
    <t>r2≤1.9</t>
  </si>
  <si>
    <t>北京住总房地产开发有限责任公司</t>
  </si>
  <si>
    <t>北京市朝阳区王四营乡土地一级开发项目一期1304-L02、L05地块R2二类居住用地、A334托幼用地</t>
  </si>
  <si>
    <t>r2≤2.5;a334≤0.8</t>
  </si>
  <si>
    <t>北京顺义新城建设开发有限公司</t>
  </si>
  <si>
    <t>北京市大兴区榆垡镇中心区DX09-0102-0027、0044地块R2二类居住用地</t>
  </si>
  <si>
    <t>保利(北京)房地产开发有限公司、北京新航城建设实业发展有限公司、北京首都开发股份有限公司</t>
  </si>
  <si>
    <t>北京市海淀区海淀镇树村棚户区改造B-1南地块R2二类居住用地</t>
  </si>
  <si>
    <t>北京融贸亿盛置业有限公司</t>
  </si>
  <si>
    <t>北京市朝阳区金盏乡小店村3005-02地块R2二类居住用地</t>
  </si>
  <si>
    <t>北京卓华房地产开发有限公司</t>
  </si>
  <si>
    <t>北京市石景山区衙门口棚户区改造土地开发项目1615-708地块二类居住用地、1612-734地块基础教育用地</t>
  </si>
  <si>
    <t>≤2.7</t>
  </si>
  <si>
    <t>北京西斯马管理咨询有限公司、北京石泰鸿业置业有限公司</t>
  </si>
  <si>
    <t>北京市房山区长阳镇04街区FS10-0104-6001、6002地块R2二类居住用地、A334基础教育用地</t>
  </si>
  <si>
    <t>招标</t>
  </si>
  <si>
    <t>2021-04-22</t>
  </si>
  <si>
    <t>北京首都开发股份有限公司</t>
  </si>
  <si>
    <t>用地性质</t>
  </si>
  <si>
    <t>建设用地面积(㎡)</t>
  </si>
  <si>
    <t>规划建筑面积(㎡)</t>
  </si>
  <si>
    <t>详细规划</t>
  </si>
  <si>
    <t>集中供地</t>
  </si>
  <si>
    <t>成交日期</t>
  </si>
  <si>
    <t>起始价(万元)</t>
  </si>
  <si>
    <t>成交价(万元)</t>
  </si>
  <si>
    <t>成交楼面价(元/㎡)</t>
  </si>
  <si>
    <t>土地星级</t>
  </si>
  <si>
    <t>R2二类居住用地、A33基础教育用地</t>
  </si>
  <si>
    <t>第一批</t>
  </si>
  <si>
    <t>2021-05-11</t>
  </si>
  <si>
    <t>4星</t>
  </si>
  <si>
    <t>R2二类居住用地</t>
  </si>
  <si>
    <t>2021-05-25</t>
  </si>
  <si>
    <t>3星</t>
  </si>
  <si>
    <t>R2二类居住用地、B1商业用地、A334幼儿园用地</t>
  </si>
  <si>
    <t>F1住宅混合公建用地</t>
  </si>
  <si>
    <t>2021-05-27</t>
  </si>
  <si>
    <t>R2二类居住用地、F3其他类多功能用地、A51医院用地</t>
  </si>
  <si>
    <t>5星</t>
  </si>
  <si>
    <t>2021-05-26</t>
  </si>
  <si>
    <t>2021-05-24</t>
  </si>
  <si>
    <t>F1住宅混合公建用地、A334托幼用地</t>
  </si>
  <si>
    <t>2021-05-10</t>
  </si>
  <si>
    <t>R2二类居住用地、A334基础教育用地</t>
  </si>
  <si>
    <t>B4综合性商业金融服务业用地、U17邮政设施用地、R2二类居住用地</t>
  </si>
  <si>
    <t>R2二类居住用地、B4综合性商业金融服务业用地、A334托幼用地</t>
  </si>
  <si>
    <t>R2二类居住用地、F3其他类多功能用地、B1商业设施用地、A334基础教育用地</t>
  </si>
  <si>
    <t>R2二类居住用地、S4社会停车场用地</t>
  </si>
  <si>
    <t>2星</t>
  </si>
  <si>
    <t>R2二类居住用地、A334托幼用地</t>
  </si>
  <si>
    <t>二类居住用地、基础教育用地</t>
  </si>
  <si>
    <t>正常</t>
    <phoneticPr fontId="26" type="noConversion"/>
  </si>
  <si>
    <t>正常</t>
    <phoneticPr fontId="26" type="noConversion"/>
  </si>
  <si>
    <t>住宅</t>
    <phoneticPr fontId="26" type="noConversion"/>
  </si>
  <si>
    <t>住宅</t>
    <phoneticPr fontId="26" type="noConversion"/>
  </si>
  <si>
    <t>住宅</t>
    <phoneticPr fontId="26" type="noConversion"/>
  </si>
  <si>
    <t>较好</t>
  </si>
  <si>
    <t>较好</t>
    <phoneticPr fontId="26" type="noConversion"/>
  </si>
  <si>
    <t>较好</t>
    <phoneticPr fontId="26" type="noConversion"/>
  </si>
  <si>
    <t>较好</t>
    <phoneticPr fontId="26" type="noConversion"/>
  </si>
  <si>
    <t>一般</t>
    <phoneticPr fontId="26" type="noConversion"/>
  </si>
  <si>
    <t>七通</t>
    <phoneticPr fontId="26" type="noConversion"/>
  </si>
  <si>
    <t>七通</t>
    <phoneticPr fontId="26" type="noConversion"/>
  </si>
  <si>
    <t>五通</t>
    <phoneticPr fontId="26" type="noConversion"/>
  </si>
  <si>
    <t>五通</t>
    <phoneticPr fontId="26" type="noConversion"/>
  </si>
  <si>
    <t>六通</t>
    <phoneticPr fontId="26" type="noConversion"/>
  </si>
  <si>
    <t>四通</t>
    <phoneticPr fontId="26" type="noConversion"/>
  </si>
  <si>
    <t>地上</t>
  </si>
  <si>
    <t>平层住宅</t>
  </si>
  <si>
    <t>社区文化设施</t>
    <phoneticPr fontId="228" type="noConversion"/>
  </si>
  <si>
    <t>室内体育设施</t>
    <phoneticPr fontId="228" type="noConversion"/>
  </si>
  <si>
    <t>社区卫生服务站</t>
    <phoneticPr fontId="228" type="noConversion"/>
  </si>
  <si>
    <t>再生资源回收点</t>
    <phoneticPr fontId="228" type="noConversion"/>
  </si>
  <si>
    <t>管理用房</t>
    <phoneticPr fontId="228" type="noConversion"/>
  </si>
  <si>
    <t>托老所</t>
    <phoneticPr fontId="228" type="noConversion"/>
  </si>
  <si>
    <t>活动站</t>
    <phoneticPr fontId="228" type="noConversion"/>
  </si>
  <si>
    <t>助残服务中心</t>
    <phoneticPr fontId="228" type="noConversion"/>
  </si>
  <si>
    <t>住宅</t>
    <phoneticPr fontId="7" type="noConversion"/>
  </si>
  <si>
    <t>公租房</t>
  </si>
  <si>
    <t>公租房</t>
    <phoneticPr fontId="7" type="noConversion"/>
  </si>
  <si>
    <t>利息：取LPR加浮动点数</t>
  </si>
  <si>
    <t>楼面地价</t>
  </si>
  <si>
    <t>正常</t>
    <phoneticPr fontId="21" type="noConversion"/>
  </si>
  <si>
    <t>住宅</t>
    <phoneticPr fontId="21" type="noConversion"/>
  </si>
  <si>
    <t>住宅</t>
    <phoneticPr fontId="21" type="noConversion"/>
  </si>
  <si>
    <t>比较法-住宅、综合</t>
  </si>
  <si>
    <t>剩余法-待开发</t>
  </si>
  <si>
    <t>京投发展·臻御府</t>
    <phoneticPr fontId="3" type="noConversion"/>
  </si>
  <si>
    <t>诺德逸府</t>
    <phoneticPr fontId="3" type="noConversion"/>
  </si>
  <si>
    <t>中铁诺德春风和院</t>
    <phoneticPr fontId="3" type="noConversion"/>
  </si>
  <si>
    <t>较好</t>
    <phoneticPr fontId="21" type="noConversion"/>
  </si>
  <si>
    <t>较好</t>
    <phoneticPr fontId="21" type="noConversion"/>
  </si>
  <si>
    <t>一般</t>
    <phoneticPr fontId="21" type="noConversion"/>
  </si>
  <si>
    <t>七通</t>
    <phoneticPr fontId="21" type="noConversion"/>
  </si>
  <si>
    <t>精装</t>
    <phoneticPr fontId="21" type="noConversion"/>
  </si>
  <si>
    <t>精装</t>
    <phoneticPr fontId="21" type="noConversion"/>
  </si>
  <si>
    <t>售价</t>
  </si>
  <si>
    <t>估价对象1（本表）-6145</t>
    <phoneticPr fontId="228" type="noConversion"/>
  </si>
  <si>
    <t>估价对象2-6159</t>
    <phoneticPr fontId="228" type="noConversion"/>
  </si>
  <si>
    <t>配建公租房占比</t>
    <phoneticPr fontId="26" type="noConversion"/>
  </si>
  <si>
    <t>房价限价</t>
    <phoneticPr fontId="26" type="noConversion"/>
  </si>
  <si>
    <t>较规则</t>
    <phoneticPr fontId="26" type="noConversion"/>
  </si>
  <si>
    <t>较规则</t>
    <phoneticPr fontId="26" type="noConversion"/>
  </si>
  <si>
    <t>一般</t>
    <phoneticPr fontId="26" type="noConversion"/>
  </si>
  <si>
    <t>一般</t>
    <phoneticPr fontId="26" type="noConversion"/>
  </si>
  <si>
    <t>无</t>
    <phoneticPr fontId="26" type="noConversion"/>
  </si>
  <si>
    <t>幼儿园</t>
    <phoneticPr fontId="26" type="noConversion"/>
  </si>
  <si>
    <t>无</t>
    <phoneticPr fontId="26" type="noConversion"/>
  </si>
  <si>
    <t>有</t>
    <phoneticPr fontId="26" type="noConversion"/>
  </si>
  <si>
    <t>一般</t>
    <phoneticPr fontId="21" type="noConversion"/>
  </si>
  <si>
    <t>一般</t>
    <phoneticPr fontId="21" type="noConversion"/>
  </si>
  <si>
    <t>小高层</t>
    <phoneticPr fontId="21" type="noConversion"/>
  </si>
  <si>
    <t>高层</t>
    <phoneticPr fontId="21" type="noConversion"/>
  </si>
  <si>
    <t>高层</t>
    <phoneticPr fontId="21" type="noConversion"/>
  </si>
  <si>
    <t>高层</t>
    <phoneticPr fontId="21" type="noConversion"/>
  </si>
  <si>
    <t>保障房</t>
    <phoneticPr fontId="228" type="noConversion"/>
  </si>
  <si>
    <t>面积</t>
    <phoneticPr fontId="228" type="noConversion"/>
  </si>
  <si>
    <t>占比</t>
    <phoneticPr fontId="228" type="noConversion"/>
  </si>
  <si>
    <t>楼面价涨幅</t>
    <phoneticPr fontId="228" type="noConversion"/>
  </si>
  <si>
    <t>0-10%</t>
    <phoneticPr fontId="26" type="noConversion"/>
  </si>
  <si>
    <t>30%-40%</t>
    <phoneticPr fontId="26" type="noConversion"/>
  </si>
  <si>
    <t>10%-20%</t>
    <phoneticPr fontId="26" type="noConversion"/>
  </si>
  <si>
    <t>20%-30%</t>
    <phoneticPr fontId="26" type="noConversion"/>
  </si>
  <si>
    <t>建安</t>
    <phoneticPr fontId="228" type="noConversion"/>
  </si>
  <si>
    <t>成本占比</t>
    <phoneticPr fontId="228" type="noConversion"/>
  </si>
  <si>
    <t>回购价</t>
    <phoneticPr fontId="228" type="noConversion"/>
  </si>
  <si>
    <t>一般</t>
  </si>
  <si>
    <t>较差</t>
  </si>
  <si>
    <t>五级</t>
    <phoneticPr fontId="26" type="noConversion"/>
  </si>
  <si>
    <t>六级</t>
    <phoneticPr fontId="26" type="noConversion"/>
  </si>
  <si>
    <t>七级</t>
    <phoneticPr fontId="26" type="noConversion"/>
  </si>
  <si>
    <t>八级</t>
    <phoneticPr fontId="26" type="noConversion"/>
  </si>
  <si>
    <t>68000/55000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</si>
</sst>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0" fontId="76" fillId="13" borderId="0" xfId="0" applyNumberFormat="1"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71" fillId="20" borderId="29" xfId="0" applyFont="1" applyFill="1" applyBorder="1" applyAlignment="1" applyProtection="1">
      <alignment horizontal="center" vertical="center" wrapText="1"/>
    </xf>
    <xf numFmtId="177" fontId="11" fillId="20" borderId="2" xfId="0" applyNumberFormat="1" applyFont="1" applyFill="1" applyBorder="1" applyAlignment="1" applyProtection="1">
      <alignment vertical="center" wrapText="1"/>
      <protection locked="0"/>
    </xf>
    <xf numFmtId="0" fontId="75" fillId="20" borderId="57" xfId="0" applyFont="1" applyFill="1" applyBorder="1" applyAlignment="1" applyProtection="1">
      <alignment horizontal="left" vertical="center" wrapText="1"/>
    </xf>
    <xf numFmtId="0" fontId="75" fillId="20" borderId="16" xfId="0" applyFont="1" applyFill="1" applyBorder="1" applyAlignment="1" applyProtection="1">
      <alignment horizontal="left" vertical="center" wrapText="1"/>
      <protection locked="0"/>
    </xf>
    <xf numFmtId="0" fontId="133" fillId="20" borderId="63" xfId="0" applyFont="1" applyFill="1" applyBorder="1" applyAlignment="1" applyProtection="1">
      <alignment horizontal="left" vertical="center" wrapText="1"/>
      <protection locked="0"/>
    </xf>
    <xf numFmtId="0" fontId="133" fillId="20" borderId="66" xfId="0" applyFont="1" applyFill="1" applyBorder="1" applyAlignment="1" applyProtection="1">
      <alignment horizontal="left" vertical="center" wrapText="1"/>
      <protection locked="0"/>
    </xf>
    <xf numFmtId="0" fontId="75" fillId="20" borderId="16" xfId="0" applyFont="1" applyFill="1" applyBorder="1" applyAlignment="1" applyProtection="1">
      <alignment horizontal="left" vertical="center" wrapText="1"/>
    </xf>
    <xf numFmtId="0" fontId="247" fillId="20" borderId="24" xfId="0" applyFont="1" applyFill="1" applyBorder="1" applyAlignment="1" applyProtection="1">
      <alignment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08" fillId="0" borderId="30" xfId="0" applyFont="1" applyFill="1" applyBorder="1" applyAlignment="1" applyProtection="1">
      <alignment vertical="center" wrapText="1"/>
      <protection locked="0"/>
    </xf>
    <xf numFmtId="49" fontId="144" fillId="17" borderId="50" xfId="0" applyNumberFormat="1" applyFont="1" applyFill="1" applyBorder="1" applyAlignment="1" applyProtection="1">
      <alignment horizontal="center" vertical="center" wrapText="1"/>
      <protection locked="0"/>
    </xf>
    <xf numFmtId="0" fontId="144" fillId="17" borderId="50" xfId="0" applyNumberFormat="1" applyFont="1" applyFill="1" applyBorder="1" applyAlignment="1" applyProtection="1">
      <alignment horizontal="center" vertical="center" wrapText="1"/>
      <protection locked="0"/>
    </xf>
    <xf numFmtId="0" fontId="144" fillId="17" borderId="2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17" borderId="8" xfId="0" applyNumberFormat="1" applyFont="1" applyFill="1" applyBorder="1" applyAlignment="1" applyProtection="1">
      <alignment horizontal="center" vertical="center" wrapText="1"/>
      <protection locked="0"/>
    </xf>
    <xf numFmtId="0" fontId="144" fillId="17" borderId="2" xfId="0" applyNumberFormat="1" applyFont="1" applyFill="1" applyBorder="1" applyAlignment="1" applyProtection="1">
      <alignment horizontal="center" vertical="center" wrapText="1"/>
      <protection locked="0"/>
    </xf>
    <xf numFmtId="0" fontId="144" fillId="17"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5</xdr:col>
      <xdr:colOff>571012</xdr:colOff>
      <xdr:row>15</xdr:row>
      <xdr:rowOff>66373</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85750" y="219075"/>
          <a:ext cx="3904762" cy="2419048"/>
        </a:xfrm>
        <a:prstGeom prst="rect">
          <a:avLst/>
        </a:prstGeom>
      </xdr:spPr>
    </xdr:pic>
    <xdr:clientData/>
  </xdr:twoCellAnchor>
  <xdr:twoCellAnchor editAs="oneCell">
    <xdr:from>
      <xdr:col>0</xdr:col>
      <xdr:colOff>390525</xdr:colOff>
      <xdr:row>16</xdr:row>
      <xdr:rowOff>9525</xdr:rowOff>
    </xdr:from>
    <xdr:to>
      <xdr:col>7</xdr:col>
      <xdr:colOff>8949</xdr:colOff>
      <xdr:row>42</xdr:row>
      <xdr:rowOff>132778</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90525" y="2752725"/>
          <a:ext cx="4609524" cy="4580953"/>
        </a:xfrm>
        <a:prstGeom prst="rect">
          <a:avLst/>
        </a:prstGeom>
      </xdr:spPr>
    </xdr:pic>
    <xdr:clientData/>
  </xdr:twoCellAnchor>
  <xdr:twoCellAnchor editAs="oneCell">
    <xdr:from>
      <xdr:col>1</xdr:col>
      <xdr:colOff>0</xdr:colOff>
      <xdr:row>44</xdr:row>
      <xdr:rowOff>0</xdr:rowOff>
    </xdr:from>
    <xdr:to>
      <xdr:col>14</xdr:col>
      <xdr:colOff>160714</xdr:colOff>
      <xdr:row>59</xdr:row>
      <xdr:rowOff>85393</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85800" y="7543800"/>
          <a:ext cx="9695239" cy="2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454341</xdr:colOff>
      <xdr:row>45</xdr:row>
      <xdr:rowOff>95250</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4127"/>
        <a:stretch/>
      </xdr:blipFill>
      <xdr:spPr>
        <a:xfrm>
          <a:off x="0" y="0"/>
          <a:ext cx="8388666" cy="7810500"/>
        </a:xfrm>
        <a:prstGeom prst="rect">
          <a:avLst/>
        </a:prstGeom>
      </xdr:spPr>
    </xdr:pic>
    <xdr:clientData/>
  </xdr:twoCellAnchor>
  <xdr:twoCellAnchor editAs="oneCell">
    <xdr:from>
      <xdr:col>0</xdr:col>
      <xdr:colOff>0</xdr:colOff>
      <xdr:row>45</xdr:row>
      <xdr:rowOff>47624</xdr:rowOff>
    </xdr:from>
    <xdr:to>
      <xdr:col>12</xdr:col>
      <xdr:colOff>114299</xdr:colOff>
      <xdr:row>98</xdr:row>
      <xdr:rowOff>6314</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1423"/>
        <a:stretch/>
      </xdr:blipFill>
      <xdr:spPr>
        <a:xfrm>
          <a:off x="0" y="7762874"/>
          <a:ext cx="8734424" cy="9045540"/>
        </a:xfrm>
        <a:prstGeom prst="rect">
          <a:avLst/>
        </a:prstGeom>
      </xdr:spPr>
    </xdr:pic>
    <xdr:clientData/>
  </xdr:twoCellAnchor>
  <xdr:twoCellAnchor editAs="oneCell">
    <xdr:from>
      <xdr:col>0</xdr:col>
      <xdr:colOff>9525</xdr:colOff>
      <xdr:row>95</xdr:row>
      <xdr:rowOff>142875</xdr:rowOff>
    </xdr:from>
    <xdr:to>
      <xdr:col>12</xdr:col>
      <xdr:colOff>185132</xdr:colOff>
      <xdr:row>138</xdr:row>
      <xdr:rowOff>76199</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7159"/>
        <a:stretch/>
      </xdr:blipFill>
      <xdr:spPr>
        <a:xfrm>
          <a:off x="9525" y="16430625"/>
          <a:ext cx="8795732" cy="7305674"/>
        </a:xfrm>
        <a:prstGeom prst="rect">
          <a:avLst/>
        </a:prstGeom>
      </xdr:spPr>
    </xdr:pic>
    <xdr:clientData/>
  </xdr:twoCellAnchor>
  <xdr:twoCellAnchor editAs="oneCell">
    <xdr:from>
      <xdr:col>0</xdr:col>
      <xdr:colOff>0</xdr:colOff>
      <xdr:row>171</xdr:row>
      <xdr:rowOff>0</xdr:rowOff>
    </xdr:from>
    <xdr:to>
      <xdr:col>8</xdr:col>
      <xdr:colOff>27752</xdr:colOff>
      <xdr:row>208</xdr:row>
      <xdr:rowOff>94446</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9317950"/>
          <a:ext cx="6590477" cy="6438096"/>
        </a:xfrm>
        <a:prstGeom prst="rect">
          <a:avLst/>
        </a:prstGeom>
      </xdr:spPr>
    </xdr:pic>
    <xdr:clientData/>
  </xdr:twoCellAnchor>
  <xdr:twoCellAnchor editAs="oneCell">
    <xdr:from>
      <xdr:col>19</xdr:col>
      <xdr:colOff>566057</xdr:colOff>
      <xdr:row>100</xdr:row>
      <xdr:rowOff>147502</xdr:rowOff>
    </xdr:from>
    <xdr:to>
      <xdr:col>36</xdr:col>
      <xdr:colOff>361248</xdr:colOff>
      <xdr:row>125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1908971" y="18653216"/>
          <a:ext cx="10158391" cy="4478927"/>
        </a:xfrm>
        <a:prstGeom prst="rect">
          <a:avLst/>
        </a:prstGeom>
      </xdr:spPr>
    </xdr:pic>
    <xdr:clientData/>
  </xdr:twoCellAnchor>
  <xdr:twoCellAnchor editAs="oneCell">
    <xdr:from>
      <xdr:col>20</xdr:col>
      <xdr:colOff>0</xdr:colOff>
      <xdr:row>49</xdr:row>
      <xdr:rowOff>0</xdr:rowOff>
    </xdr:from>
    <xdr:to>
      <xdr:col>35</xdr:col>
      <xdr:colOff>320861</xdr:colOff>
      <xdr:row>68</xdr:row>
      <xdr:rowOff>35142</xdr:rowOff>
    </xdr:to>
    <xdr:pic>
      <xdr:nvPicPr>
        <xdr:cNvPr id="7" name="图片 6"/>
        <xdr:cNvPicPr>
          <a:picLocks noChangeAspect="1"/>
        </xdr:cNvPicPr>
      </xdr:nvPicPr>
      <xdr:blipFill>
        <a:blip xmlns:r="http://schemas.openxmlformats.org/officeDocument/2006/relationships" r:embed="rId6"/>
        <a:stretch>
          <a:fillRect/>
        </a:stretch>
      </xdr:blipFill>
      <xdr:spPr>
        <a:xfrm>
          <a:off x="11952514" y="9067800"/>
          <a:ext cx="9464861" cy="3551228"/>
        </a:xfrm>
        <a:prstGeom prst="rect">
          <a:avLst/>
        </a:prstGeom>
      </xdr:spPr>
    </xdr:pic>
    <xdr:clientData/>
  </xdr:twoCellAnchor>
  <xdr:twoCellAnchor editAs="oneCell">
    <xdr:from>
      <xdr:col>20</xdr:col>
      <xdr:colOff>0</xdr:colOff>
      <xdr:row>7</xdr:row>
      <xdr:rowOff>0</xdr:rowOff>
    </xdr:from>
    <xdr:to>
      <xdr:col>35</xdr:col>
      <xdr:colOff>473274</xdr:colOff>
      <xdr:row>26</xdr:row>
      <xdr:rowOff>12280</xdr:rowOff>
    </xdr:to>
    <xdr:pic>
      <xdr:nvPicPr>
        <xdr:cNvPr id="8" name="图片 7"/>
        <xdr:cNvPicPr>
          <a:picLocks noChangeAspect="1"/>
        </xdr:cNvPicPr>
      </xdr:nvPicPr>
      <xdr:blipFill>
        <a:blip xmlns:r="http://schemas.openxmlformats.org/officeDocument/2006/relationships" r:embed="rId7"/>
        <a:stretch>
          <a:fillRect/>
        </a:stretch>
      </xdr:blipFill>
      <xdr:spPr>
        <a:xfrm>
          <a:off x="11952514" y="1295400"/>
          <a:ext cx="9617274" cy="3528366"/>
        </a:xfrm>
        <a:prstGeom prst="rect">
          <a:avLst/>
        </a:prstGeom>
      </xdr:spPr>
    </xdr:pic>
    <xdr:clientData/>
  </xdr:twoCellAnchor>
  <xdr:twoCellAnchor editAs="oneCell">
    <xdr:from>
      <xdr:col>21</xdr:col>
      <xdr:colOff>0</xdr:colOff>
      <xdr:row>139</xdr:row>
      <xdr:rowOff>0</xdr:rowOff>
    </xdr:from>
    <xdr:to>
      <xdr:col>35</xdr:col>
      <xdr:colOff>183636</xdr:colOff>
      <xdr:row>165</xdr:row>
      <xdr:rowOff>157185</xdr:rowOff>
    </xdr:to>
    <xdr:pic>
      <xdr:nvPicPr>
        <xdr:cNvPr id="9" name="图片 8"/>
        <xdr:cNvPicPr>
          <a:picLocks noChangeAspect="1"/>
        </xdr:cNvPicPr>
      </xdr:nvPicPr>
      <xdr:blipFill>
        <a:blip xmlns:r="http://schemas.openxmlformats.org/officeDocument/2006/relationships" r:embed="rId8"/>
        <a:stretch>
          <a:fillRect/>
        </a:stretch>
      </xdr:blipFill>
      <xdr:spPr>
        <a:xfrm>
          <a:off x="12562114" y="25722943"/>
          <a:ext cx="8718036" cy="49686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246.2550/HZ$D.246.2552/615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159&#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15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27598.885999999999</v>
          </cell>
        </row>
      </sheetData>
      <sheetData sheetId="14"/>
      <sheetData sheetId="15"/>
      <sheetData sheetId="16">
        <row r="14">
          <cell r="B14">
            <v>64137.385999999999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64137.385999999999</v>
          </cell>
          <cell r="C14">
            <v>27885.82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116875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受贵公司委托，我公司对北京市出让国有建设用地使用权抵押价格进行了预评估。</v>
      </c>
      <c r="AM6" s="2619"/>
    </row>
    <row r="7" spans="1:55" s="2593" customFormat="1">
      <c r="A7" s="2594" t="s">
        <v>2637</v>
      </c>
      <c r="B7" s="2595" t="str">
        <f>'预评函-1'!A6</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2021年7月28日（评估专业人员勘察现场之日）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根据《国有土地使用证》[]，估价对象（分摊）出让国有建设用地使用权面积为46514.49平方米。根据《建设工程规划许可证》[]、《出让合同》[]，估价对象规划建筑面积为106983.327平方米。</v>
      </c>
    </row>
    <row r="16" spans="1:55" s="2593" customFormat="1">
      <c r="A16" s="2594" t="s">
        <v>2649</v>
      </c>
      <c r="B16" s="2595" t="str">
        <f>'预评函-1'!A22</f>
        <v>本次估价对象为出让国有建设用地使用权，《国有土地使用证》[]证载土地终止日期为住宅2091年5月17日。截至估价期日，出让国有建设用地使用权剩余土地使用年限为。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估价期日：2021年7月28日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46514.49</v>
      </c>
    </row>
    <row r="44" spans="1:2">
      <c r="A44" s="2594" t="s">
        <v>2720</v>
      </c>
      <c r="B44" s="2595" t="str">
        <f>'预评函-2'!O3</f>
        <v>规划建筑面积/㎡</v>
      </c>
    </row>
    <row r="45" spans="1:2">
      <c r="A45" s="2594" t="s">
        <v>2702</v>
      </c>
      <c r="B45" s="2595">
        <f>'预评函-2'!O5</f>
        <v>106983.327</v>
      </c>
    </row>
    <row r="46" spans="1:2">
      <c r="A46" s="2594" t="s">
        <v>2703</v>
      </c>
      <c r="B46" s="2595">
        <f ca="1">'预评函-2'!P5</f>
        <v>88875</v>
      </c>
    </row>
    <row r="47" spans="1:2">
      <c r="A47" s="2594" t="s">
        <v>2704</v>
      </c>
      <c r="B47" s="2595">
        <f ca="1">'预评函-2'!Q5</f>
        <v>38641</v>
      </c>
    </row>
    <row r="48" spans="1:2">
      <c r="A48" s="2594" t="s">
        <v>2705</v>
      </c>
      <c r="B48" s="2595">
        <f ca="1">'预评函-2'!R5</f>
        <v>413396</v>
      </c>
    </row>
    <row r="49" spans="1:2">
      <c r="A49" s="2594" t="s">
        <v>2721</v>
      </c>
      <c r="B49" s="2595" t="str">
        <f>'预评函-2'!A6</f>
        <v>抵押价格</v>
      </c>
    </row>
    <row r="50" spans="1:2">
      <c r="A50" s="2594" t="s">
        <v>2706</v>
      </c>
      <c r="B50" s="2595">
        <f ca="1">'预评函-2'!R6</f>
        <v>413396</v>
      </c>
    </row>
    <row r="51" spans="1:2">
      <c r="A51" s="2594" t="s">
        <v>2722</v>
      </c>
      <c r="B51" s="2595" t="str">
        <f>'预评函-2'!A7</f>
        <v>——</v>
      </c>
    </row>
    <row r="52" spans="1:2">
      <c r="A52" s="2594" t="s">
        <v>2707</v>
      </c>
      <c r="B52" s="2595" t="str">
        <f>'预评函-2'!R7</f>
        <v>——</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1.6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2"/>
  </cols>
  <sheetData>
    <row r="1" spans="1:21" ht="15" thickBot="1">
      <c r="A1" s="1585" t="s">
        <v>1926</v>
      </c>
      <c r="B1" s="3367" t="str">
        <f>IF(B10="北京市","北京市",C10)&amp;F10&amp;B16&amp;"国有建设用地使用权"&amp;B9&amp;"预评估"</f>
        <v>北京市出让国有建设用地使用权抵押价格预评估</v>
      </c>
      <c r="C1" s="3368"/>
      <c r="D1" s="3368"/>
      <c r="E1" s="3368"/>
      <c r="F1" s="3368"/>
      <c r="G1" s="3368"/>
      <c r="H1" s="3368"/>
      <c r="I1" s="3369"/>
      <c r="J1" s="3070"/>
      <c r="K1" s="2309" t="str">
        <f>IF(B10="北京市","北京市",C10)&amp;F10&amp;B16&amp;"国有建设用地使用权"&amp;B9</f>
        <v>北京市出让国有建设用地使用权抵押价格</v>
      </c>
      <c r="L1" s="3049"/>
      <c r="M1" s="3049"/>
      <c r="N1" s="3050"/>
      <c r="O1" s="3051"/>
      <c r="P1" s="3050"/>
      <c r="Q1" s="3050"/>
      <c r="R1" s="3050"/>
      <c r="S1" s="3050"/>
      <c r="T1" s="3050"/>
      <c r="U1" s="3050"/>
    </row>
    <row r="2" spans="1:21">
      <c r="A2" s="1586" t="s">
        <v>1927</v>
      </c>
      <c r="B2" s="1754"/>
      <c r="D2" s="3070"/>
      <c r="E2" s="3070"/>
      <c r="F2" s="3070"/>
      <c r="G2" s="3070"/>
      <c r="H2" s="3071"/>
      <c r="I2" s="3072"/>
      <c r="J2" s="3070"/>
      <c r="K2" s="2309" t="str">
        <f>IF(B10="北京市","北京市",C10)&amp;F10&amp;B16&amp;"国有建设用地使用权"</f>
        <v>北京市出让国有建设用地使用权</v>
      </c>
      <c r="L2" s="3049"/>
      <c r="M2" s="3049"/>
      <c r="N2" s="3050"/>
      <c r="O2" s="3051"/>
      <c r="P2" s="3050"/>
      <c r="Q2" s="3050"/>
      <c r="R2" s="3050"/>
      <c r="S2" s="3050"/>
      <c r="T2" s="3050"/>
      <c r="U2" s="3050"/>
    </row>
    <row r="3" spans="1:21">
      <c r="A3" s="1587" t="s">
        <v>1928</v>
      </c>
      <c r="B3" s="1588">
        <v>44405</v>
      </c>
      <c r="C3" s="2993" t="s">
        <v>1984</v>
      </c>
      <c r="D3" s="1588">
        <v>44405</v>
      </c>
      <c r="E3" s="3070"/>
      <c r="F3" s="3070"/>
      <c r="G3" s="3070"/>
      <c r="H3" s="3071"/>
      <c r="I3" s="3072"/>
      <c r="J3" s="3070"/>
      <c r="K3" s="3053"/>
      <c r="L3" s="3049"/>
      <c r="M3" s="3049"/>
      <c r="N3" s="3050"/>
      <c r="O3" s="3051"/>
      <c r="P3" s="3050"/>
      <c r="Q3" s="3050"/>
      <c r="R3" s="3050"/>
      <c r="S3" s="3050"/>
      <c r="T3" s="3050"/>
      <c r="U3" s="3050"/>
    </row>
    <row r="4" spans="1:21" ht="15" thickBot="1">
      <c r="A4" s="1590" t="s">
        <v>1929</v>
      </c>
      <c r="B4" s="1755" t="s">
        <v>2865</v>
      </c>
      <c r="C4" s="1758">
        <f>SUMIF(土地估价师,B4,估价师及机构信息!E3:E16)</f>
        <v>0</v>
      </c>
      <c r="D4" s="1755" t="s">
        <v>2865</v>
      </c>
      <c r="E4" s="1758">
        <f>SUMIF(土地估价师,D4,估价师及机构信息!E3:E16)</f>
        <v>0</v>
      </c>
      <c r="F4" s="1755" t="s">
        <v>943</v>
      </c>
      <c r="G4" s="1758">
        <f>SUMIF(土地估价师,F4,估价师及机构信息!E3:E16)</f>
        <v>0</v>
      </c>
      <c r="H4" s="1755" t="s">
        <v>943</v>
      </c>
      <c r="I4" s="1758">
        <f>SUMIF(土地估价师,H4,估价师及机构信息!E3:E16)</f>
        <v>0</v>
      </c>
      <c r="J4" s="3070"/>
      <c r="K4" s="2309" t="str">
        <f>IF(AND(F4="——",H4="——"),B4&amp;"、"&amp;D4,IF(AND(F4&lt;&gt;"——",H4="——"),B4&amp;"、"&amp;D4&amp;"、"&amp;F4,B4&amp;"、"&amp;D4&amp;"、"&amp;F4&amp;"、"&amp;H4))</f>
        <v>土地估价师、土地估价师</v>
      </c>
      <c r="L4" s="3049"/>
      <c r="M4" s="3049"/>
      <c r="N4" s="3050"/>
      <c r="O4" s="3051"/>
      <c r="P4" s="3050"/>
      <c r="Q4" s="3050"/>
      <c r="R4" s="3050"/>
      <c r="S4" s="3050"/>
      <c r="T4" s="3050"/>
      <c r="U4" s="3050"/>
    </row>
    <row r="5" spans="1:21" ht="15" thickTop="1">
      <c r="A5" s="1591" t="s">
        <v>1930</v>
      </c>
      <c r="B5" s="1702"/>
      <c r="C5" s="1592"/>
      <c r="D5" s="1593"/>
      <c r="E5" s="3070"/>
      <c r="F5" s="3070"/>
      <c r="G5" s="3070"/>
      <c r="H5" s="3071"/>
      <c r="I5" s="3072"/>
      <c r="J5" s="3070"/>
      <c r="K5" s="3053"/>
      <c r="L5" s="3049"/>
      <c r="M5" s="3049"/>
      <c r="N5" s="3050"/>
      <c r="O5" s="3051"/>
      <c r="P5" s="3050"/>
      <c r="Q5" s="3050"/>
      <c r="R5" s="3050"/>
      <c r="S5" s="3050"/>
      <c r="T5" s="3050"/>
      <c r="U5" s="3050"/>
    </row>
    <row r="6" spans="1:21" ht="26.25">
      <c r="A6" s="1589" t="s">
        <v>2686</v>
      </c>
      <c r="B6" s="1702"/>
      <c r="C6" s="1677"/>
      <c r="D6" s="1594"/>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5" t="s">
        <v>2687</v>
      </c>
      <c r="B7" s="1702"/>
      <c r="C7" s="1677"/>
      <c r="D7" s="1594"/>
      <c r="E7" s="3070"/>
      <c r="F7" s="3070"/>
      <c r="G7" s="3070"/>
      <c r="H7" s="3071"/>
      <c r="I7" s="3072"/>
      <c r="J7" s="3070"/>
      <c r="K7" s="3053"/>
      <c r="L7" s="3049"/>
      <c r="M7" s="3049"/>
      <c r="N7" s="3050"/>
      <c r="O7" s="3051"/>
      <c r="P7" s="3050"/>
      <c r="Q7" s="3050"/>
      <c r="R7" s="3050"/>
      <c r="S7" s="3050"/>
      <c r="T7" s="3050"/>
      <c r="U7" s="3050"/>
    </row>
    <row r="8" spans="1:21">
      <c r="A8" s="2994" t="s">
        <v>1931</v>
      </c>
      <c r="B8" s="1596" t="s">
        <v>2954</v>
      </c>
      <c r="C8" s="1597"/>
      <c r="D8" s="3373" t="s">
        <v>1933</v>
      </c>
      <c r="E8" s="1756" t="s">
        <v>3004</v>
      </c>
      <c r="F8" s="1598"/>
      <c r="G8" s="3071"/>
      <c r="H8" s="3071"/>
      <c r="I8" s="3074"/>
      <c r="J8" s="3070"/>
      <c r="K8" s="3053"/>
      <c r="L8" s="3049"/>
      <c r="M8" s="3049"/>
      <c r="N8" s="3050"/>
      <c r="O8" s="3051"/>
      <c r="P8" s="3050"/>
      <c r="Q8" s="3050"/>
      <c r="R8" s="3050"/>
      <c r="S8" s="3050"/>
      <c r="T8" s="3050"/>
      <c r="U8" s="3050"/>
    </row>
    <row r="9" spans="1:21" ht="15" thickBot="1">
      <c r="A9" s="2995" t="s">
        <v>1932</v>
      </c>
      <c r="B9" s="1599" t="s">
        <v>3004</v>
      </c>
      <c r="C9" s="1600"/>
      <c r="D9" s="3374"/>
      <c r="E9" s="1599"/>
      <c r="F9" s="1663"/>
      <c r="G9" s="3075"/>
      <c r="H9" s="3075"/>
      <c r="I9" s="3076"/>
      <c r="J9" s="3070"/>
      <c r="K9" s="3053"/>
      <c r="L9" s="3049"/>
      <c r="M9" s="3049"/>
      <c r="N9" s="3050"/>
      <c r="O9" s="3051"/>
      <c r="P9" s="3050"/>
      <c r="Q9" s="3050"/>
      <c r="R9" s="3050"/>
      <c r="S9" s="3050"/>
      <c r="T9" s="3050"/>
      <c r="U9" s="3050"/>
    </row>
    <row r="10" spans="1:21" ht="15" thickTop="1">
      <c r="A10" s="2996" t="s">
        <v>1988</v>
      </c>
      <c r="B10" s="1639" t="s">
        <v>1934</v>
      </c>
      <c r="C10" s="1601"/>
      <c r="D10" s="1593"/>
      <c r="E10" s="1602" t="s">
        <v>1935</v>
      </c>
      <c r="F10" s="1603"/>
      <c r="G10" s="1661"/>
      <c r="H10" s="1662"/>
      <c r="I10" s="1593"/>
      <c r="J10" s="3070"/>
      <c r="K10" s="3053"/>
      <c r="L10" s="3049"/>
      <c r="M10" s="3049"/>
      <c r="N10" s="3050"/>
      <c r="O10" s="3051"/>
      <c r="P10" s="3050"/>
      <c r="Q10" s="3050"/>
      <c r="R10" s="3050"/>
      <c r="S10" s="3050"/>
      <c r="T10" s="3050"/>
      <c r="U10" s="3050"/>
    </row>
    <row r="11" spans="1:21">
      <c r="A11" s="2997" t="s">
        <v>1989</v>
      </c>
      <c r="B11" s="1618" t="s">
        <v>3005</v>
      </c>
      <c r="C11" s="1604"/>
      <c r="D11" s="1678"/>
      <c r="E11" s="3069"/>
      <c r="F11" s="3069"/>
      <c r="G11" s="3069"/>
      <c r="H11" s="3069"/>
      <c r="I11" s="3069"/>
      <c r="J11" s="3070"/>
      <c r="K11" s="3053"/>
      <c r="L11" s="3049"/>
      <c r="M11" s="3049"/>
      <c r="N11" s="3050"/>
      <c r="O11" s="3051"/>
      <c r="P11" s="3050"/>
      <c r="Q11" s="3050"/>
      <c r="R11" s="3050"/>
      <c r="S11" s="3050"/>
      <c r="T11" s="3050"/>
      <c r="U11" s="3050"/>
    </row>
    <row r="12" spans="1:21">
      <c r="A12" s="1698" t="s">
        <v>2047</v>
      </c>
      <c r="B12" s="3370"/>
      <c r="C12" s="3371"/>
      <c r="D12" s="3372"/>
      <c r="E12" s="1619" t="s">
        <v>2050</v>
      </c>
      <c r="F12" s="3388" t="s">
        <v>2866</v>
      </c>
      <c r="G12" s="3389"/>
      <c r="H12" s="3389"/>
      <c r="I12" s="3390"/>
      <c r="J12" s="3070"/>
      <c r="K12" s="3053"/>
      <c r="L12" s="3049"/>
      <c r="M12" s="3049"/>
      <c r="N12" s="3050"/>
      <c r="O12" s="3051"/>
      <c r="P12" s="3050"/>
      <c r="Q12" s="3050"/>
      <c r="R12" s="3050"/>
      <c r="S12" s="3050"/>
      <c r="T12" s="3050"/>
      <c r="U12" s="3050"/>
    </row>
    <row r="13" spans="1:21">
      <c r="A13" s="1610" t="s">
        <v>2048</v>
      </c>
      <c r="B13" s="3370"/>
      <c r="C13" s="3371"/>
      <c r="D13" s="3372"/>
      <c r="E13" s="1619" t="s">
        <v>2050</v>
      </c>
      <c r="F13" s="3388" t="s">
        <v>2867</v>
      </c>
      <c r="G13" s="3389"/>
      <c r="H13" s="3389"/>
      <c r="I13" s="3390"/>
      <c r="J13" s="3070"/>
      <c r="K13" s="3053"/>
      <c r="L13" s="3049"/>
      <c r="M13" s="3049"/>
      <c r="N13" s="3050"/>
      <c r="O13" s="3051"/>
      <c r="P13" s="3050"/>
      <c r="Q13" s="3050"/>
      <c r="R13" s="3050"/>
      <c r="S13" s="3050"/>
      <c r="T13" s="3050"/>
      <c r="U13" s="3050"/>
    </row>
    <row r="14" spans="1:21">
      <c r="A14" s="1587" t="s">
        <v>2051</v>
      </c>
      <c r="B14" s="1619"/>
      <c r="C14" s="1757" t="s">
        <v>3006</v>
      </c>
      <c r="D14" s="1653" t="str">
        <f>IF(C14="不一致","是否符合证载地类范围","")</f>
        <v/>
      </c>
      <c r="E14" s="1619"/>
      <c r="F14" s="1703" t="s">
        <v>3007</v>
      </c>
      <c r="G14" s="1648"/>
      <c r="H14" s="1648"/>
      <c r="I14" s="1750"/>
      <c r="J14" s="3070"/>
      <c r="K14" s="3053"/>
      <c r="L14" s="3049"/>
      <c r="M14" s="3049"/>
      <c r="N14" s="3050"/>
      <c r="O14" s="3051"/>
      <c r="P14" s="3050"/>
      <c r="Q14" s="3050"/>
      <c r="R14" s="3050"/>
      <c r="S14" s="3050"/>
      <c r="T14" s="3050"/>
      <c r="U14" s="3050"/>
    </row>
    <row r="15" spans="1:21" hidden="1">
      <c r="A15" s="2486"/>
      <c r="B15" s="1589"/>
      <c r="C15" s="1589"/>
      <c r="D15" s="1682" t="s">
        <v>1938</v>
      </c>
      <c r="E15" s="1682" t="s">
        <v>1939</v>
      </c>
      <c r="F15" s="1682" t="s">
        <v>1940</v>
      </c>
      <c r="G15" s="1609" t="s">
        <v>1941</v>
      </c>
      <c r="H15" s="1609" t="s">
        <v>1942</v>
      </c>
      <c r="I15" s="1609" t="s">
        <v>1943</v>
      </c>
      <c r="J15" s="3070"/>
      <c r="K15" s="3053"/>
      <c r="L15" s="3049"/>
      <c r="M15" s="3049"/>
      <c r="N15" s="3050"/>
      <c r="O15" s="3051"/>
      <c r="P15" s="3050"/>
      <c r="Q15" s="3050"/>
      <c r="R15" s="3050"/>
      <c r="S15" s="3050"/>
      <c r="T15" s="3050"/>
      <c r="U15" s="3050"/>
    </row>
    <row r="16" spans="1:21" ht="28.5">
      <c r="A16" s="2998" t="s">
        <v>1936</v>
      </c>
      <c r="B16" s="1605" t="s">
        <v>2949</v>
      </c>
      <c r="C16" s="1619" t="s">
        <v>1937</v>
      </c>
      <c r="D16" s="2487" t="s">
        <v>1938</v>
      </c>
      <c r="E16" s="1642"/>
      <c r="F16" s="1642"/>
      <c r="G16" s="1642"/>
      <c r="H16" s="1642"/>
      <c r="I16" s="1609" t="s">
        <v>1943</v>
      </c>
      <c r="J16" s="3070"/>
      <c r="K16" s="2310" t="str">
        <f>IF(D17="","",D16&amp;TEXT(D17,"yyyy年m月d日;;"))</f>
        <v>住宅2091年5月17日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2999" t="s">
        <v>1944</v>
      </c>
      <c r="D17" s="1620">
        <v>69900</v>
      </c>
      <c r="E17" s="1620"/>
      <c r="F17" s="1620"/>
      <c r="G17" s="1620"/>
      <c r="H17" s="1620"/>
      <c r="I17" s="1620"/>
      <c r="J17" s="3070"/>
      <c r="K17" s="3048" t="str">
        <f>CONCATENATE(K16,L16,M16,N16,O16,P16,Q16,R16,S16,T16,,U16)</f>
        <v>住宅2091年5月17日</v>
      </c>
      <c r="L17" s="3049"/>
      <c r="M17" s="3049"/>
      <c r="N17" s="3050"/>
      <c r="O17" s="3051"/>
      <c r="P17" s="3050"/>
      <c r="Q17" s="3050"/>
      <c r="R17" s="3050"/>
      <c r="S17" s="3050"/>
      <c r="T17" s="3050"/>
      <c r="U17" s="3050"/>
    </row>
    <row r="18" spans="1:21">
      <c r="A18" s="1679"/>
      <c r="B18" s="1606"/>
      <c r="C18" s="2999" t="s">
        <v>1945</v>
      </c>
      <c r="D18" s="1607">
        <v>70</v>
      </c>
      <c r="E18" s="1607"/>
      <c r="F18" s="1607"/>
      <c r="G18" s="1607"/>
      <c r="H18" s="1607"/>
      <c r="I18" s="1607"/>
      <c r="J18" s="3070"/>
      <c r="K18" s="3053"/>
      <c r="L18" s="3049"/>
      <c r="M18" s="3049"/>
      <c r="N18" s="3050"/>
      <c r="O18" s="3051"/>
      <c r="P18" s="3050"/>
      <c r="Q18" s="3050"/>
      <c r="R18" s="3050"/>
      <c r="S18" s="3050"/>
      <c r="T18" s="3050"/>
      <c r="U18" s="3050"/>
    </row>
    <row r="19" spans="1:21">
      <c r="A19" s="1679"/>
      <c r="B19" s="1606"/>
      <c r="C19" s="1586" t="s">
        <v>1946</v>
      </c>
      <c r="D19" s="1674">
        <f>IF(B16="出让",IF(D17="","",ROUNDDOWN(MIN((D17-$D$3)/365,D18),2)),D18)</f>
        <v>69.84</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0"/>
      <c r="K19" s="3053"/>
      <c r="L19" s="3049"/>
      <c r="M19" s="3049"/>
      <c r="N19" s="3050"/>
      <c r="O19" s="3051"/>
      <c r="P19" s="3050"/>
      <c r="Q19" s="3050"/>
      <c r="R19" s="3050"/>
      <c r="S19" s="3050"/>
      <c r="T19" s="3050"/>
      <c r="U19" s="3050"/>
    </row>
    <row r="20" spans="1:21">
      <c r="A20" s="1699"/>
      <c r="B20" s="1700"/>
      <c r="C20" s="1701" t="s">
        <v>2049</v>
      </c>
      <c r="D20" s="3385"/>
      <c r="E20" s="3386"/>
      <c r="F20" s="3386"/>
      <c r="G20" s="3386"/>
      <c r="H20" s="3386"/>
      <c r="I20" s="3387"/>
      <c r="J20" s="3070"/>
      <c r="K20" s="3053"/>
      <c r="L20" s="3049"/>
      <c r="M20" s="3049"/>
      <c r="N20" s="3050"/>
      <c r="O20" s="3051"/>
      <c r="P20" s="3050"/>
      <c r="Q20" s="3050"/>
      <c r="R20" s="3050"/>
      <c r="S20" s="3050"/>
      <c r="T20" s="3050"/>
      <c r="U20" s="3050"/>
    </row>
    <row r="21" spans="1:21">
      <c r="A21" s="1679" t="s">
        <v>1947</v>
      </c>
      <c r="B21" s="1680" t="s">
        <v>1948</v>
      </c>
      <c r="C21" s="1675">
        <f>'数据-汇总表'!E3</f>
        <v>106983.327</v>
      </c>
      <c r="D21" s="1676" t="s">
        <v>1949</v>
      </c>
      <c r="E21" s="3375" t="s">
        <v>1987</v>
      </c>
      <c r="F21" s="3376"/>
      <c r="G21" s="3376"/>
      <c r="H21" s="3376"/>
      <c r="I21" s="3377"/>
      <c r="J21" s="3070"/>
      <c r="K21" s="3053"/>
      <c r="L21" s="3049"/>
      <c r="M21" s="3049"/>
      <c r="N21" s="3050"/>
      <c r="O21" s="3051"/>
      <c r="P21" s="3050"/>
      <c r="Q21" s="3050"/>
      <c r="R21" s="3050"/>
      <c r="S21" s="3050"/>
      <c r="T21" s="3050"/>
      <c r="U21" s="3050"/>
    </row>
    <row r="22" spans="1:21">
      <c r="A22" s="2798" t="s">
        <v>943</v>
      </c>
      <c r="B22" s="1587" t="s">
        <v>1950</v>
      </c>
      <c r="C22" s="1609">
        <f>'数据-汇总表'!D3</f>
        <v>46514.49</v>
      </c>
      <c r="D22" s="1610" t="s">
        <v>1949</v>
      </c>
      <c r="E22" s="3375" t="s">
        <v>2868</v>
      </c>
      <c r="F22" s="3376"/>
      <c r="G22" s="3376"/>
      <c r="H22" s="3376"/>
      <c r="I22" s="3377"/>
      <c r="J22" s="3070"/>
      <c r="K22" s="3053"/>
      <c r="L22" s="3049"/>
      <c r="M22" s="3049"/>
      <c r="N22" s="3050"/>
      <c r="O22" s="3051"/>
      <c r="P22" s="3050"/>
      <c r="Q22" s="3050"/>
      <c r="R22" s="3050"/>
      <c r="S22" s="3050"/>
      <c r="T22" s="3050"/>
      <c r="U22" s="3050"/>
    </row>
    <row r="23" spans="1:21" ht="43.5" thickBot="1">
      <c r="A23" s="1681" t="s">
        <v>1951</v>
      </c>
      <c r="B23" s="1621" t="s">
        <v>1952</v>
      </c>
      <c r="C23" s="1622"/>
      <c r="D23" s="1623" t="s">
        <v>1953</v>
      </c>
      <c r="E23" s="1624"/>
      <c r="F23" s="1625" t="str">
        <f>IF(AND(C23="是",E23="否"),"是否提供他项权证或相关说明","")</f>
        <v/>
      </c>
      <c r="G23" s="1626"/>
      <c r="H23" s="3070"/>
      <c r="I23" s="3074"/>
      <c r="J23" s="3070"/>
      <c r="K23" s="3053"/>
      <c r="L23" s="3049"/>
      <c r="M23" s="3049"/>
      <c r="N23" s="3050"/>
      <c r="O23" s="3051"/>
      <c r="P23" s="3050"/>
      <c r="Q23" s="3050"/>
      <c r="R23" s="3050"/>
      <c r="S23" s="3050"/>
      <c r="T23" s="3050"/>
      <c r="U23" s="3050"/>
    </row>
    <row r="24" spans="1:21">
      <c r="A24" s="1666" t="s">
        <v>1954</v>
      </c>
      <c r="B24" s="3378" t="s">
        <v>1955</v>
      </c>
      <c r="C24" s="3379"/>
      <c r="D24" s="3380" t="s">
        <v>1956</v>
      </c>
      <c r="E24" s="3381"/>
      <c r="F24" s="1628" t="s">
        <v>1957</v>
      </c>
      <c r="G24" s="3070"/>
      <c r="H24" s="3070"/>
      <c r="I24" s="3074"/>
      <c r="J24" s="3070"/>
      <c r="K24" s="336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0"/>
      <c r="O24" s="3051"/>
      <c r="P24" s="3050"/>
      <c r="Q24" s="3050"/>
      <c r="R24" s="3050"/>
      <c r="S24" s="3050"/>
      <c r="T24" s="3050"/>
      <c r="U24" s="3050"/>
    </row>
    <row r="25" spans="1:21" ht="28.5">
      <c r="A25" s="1667"/>
      <c r="B25" s="1664" t="s">
        <v>2313</v>
      </c>
      <c r="C25" s="1629" t="s">
        <v>1959</v>
      </c>
      <c r="D25" s="1630"/>
      <c r="E25" s="1631" t="s">
        <v>943</v>
      </c>
      <c r="F25" s="1632"/>
      <c r="G25" s="3070"/>
      <c r="H25" s="3070"/>
      <c r="I25" s="3074"/>
      <c r="J25" s="3070"/>
      <c r="K25" s="336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0"/>
      <c r="O25" s="3051"/>
      <c r="P25" s="3050"/>
      <c r="Q25" s="3050"/>
      <c r="R25" s="3050"/>
      <c r="S25" s="3050"/>
      <c r="T25" s="3050"/>
      <c r="U25" s="3050"/>
    </row>
    <row r="26" spans="1:21" ht="29.25" thickBot="1">
      <c r="A26" s="1668"/>
      <c r="B26" s="1665" t="s">
        <v>1960</v>
      </c>
      <c r="C26" s="1629" t="s">
        <v>2314</v>
      </c>
      <c r="D26" s="3071"/>
      <c r="E26" s="3071"/>
      <c r="F26" s="3077"/>
      <c r="G26" s="3070"/>
      <c r="H26" s="3070"/>
      <c r="I26" s="3074"/>
      <c r="J26" s="3070"/>
      <c r="K26" s="336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0"/>
      <c r="O26" s="3051"/>
      <c r="P26" s="3050"/>
      <c r="Q26" s="3050"/>
      <c r="R26" s="3050"/>
      <c r="S26" s="3050"/>
      <c r="T26" s="3050"/>
      <c r="U26" s="3050"/>
    </row>
    <row r="27" spans="1:21">
      <c r="A27" s="1671" t="s">
        <v>1961</v>
      </c>
      <c r="B27" s="1669" t="s">
        <v>1962</v>
      </c>
      <c r="C27" s="1633"/>
      <c r="D27" s="2492" t="s">
        <v>1962</v>
      </c>
      <c r="E27" s="1634"/>
      <c r="F27" s="3077"/>
      <c r="G27" s="3070"/>
      <c r="H27" s="3070"/>
      <c r="I27" s="3074"/>
      <c r="J27" s="3070"/>
      <c r="K27" s="3053"/>
      <c r="L27" s="3049"/>
      <c r="M27" s="3049"/>
      <c r="N27" s="3050"/>
      <c r="O27" s="3051"/>
      <c r="P27" s="3050"/>
      <c r="Q27" s="3050"/>
      <c r="R27" s="3050"/>
      <c r="S27" s="3050"/>
      <c r="T27" s="3050"/>
      <c r="U27" s="3050"/>
    </row>
    <row r="28" spans="1:21">
      <c r="A28" s="1672"/>
      <c r="B28" s="1669" t="s">
        <v>1963</v>
      </c>
      <c r="C28" s="1635"/>
      <c r="D28" s="2493" t="s">
        <v>1963</v>
      </c>
      <c r="E28" s="1636"/>
      <c r="F28" s="3077"/>
      <c r="G28" s="3070"/>
      <c r="H28" s="3070"/>
      <c r="I28" s="3074"/>
      <c r="J28" s="3070"/>
      <c r="K28" s="3053"/>
      <c r="L28" s="3049"/>
      <c r="M28" s="3049"/>
      <c r="N28" s="3050"/>
      <c r="O28" s="3051"/>
      <c r="P28" s="3050"/>
      <c r="Q28" s="3050"/>
      <c r="R28" s="3050"/>
      <c r="S28" s="3050"/>
      <c r="T28" s="3050"/>
      <c r="U28" s="3050"/>
    </row>
    <row r="29" spans="1:21">
      <c r="A29" s="1672"/>
      <c r="B29" s="1669" t="s">
        <v>1964</v>
      </c>
      <c r="C29" s="1635"/>
      <c r="D29" s="2493" t="s">
        <v>1964</v>
      </c>
      <c r="E29" s="1636"/>
      <c r="F29" s="3077"/>
      <c r="G29" s="3070"/>
      <c r="H29" s="3070"/>
      <c r="I29" s="3074"/>
      <c r="J29" s="3070"/>
      <c r="K29" s="3053"/>
      <c r="L29" s="3049"/>
      <c r="M29" s="3049"/>
      <c r="N29" s="3050"/>
      <c r="O29" s="3051"/>
      <c r="P29" s="3050"/>
      <c r="Q29" s="3050"/>
      <c r="R29" s="3050"/>
      <c r="S29" s="3050"/>
      <c r="T29" s="3050"/>
      <c r="U29" s="3050"/>
    </row>
    <row r="30" spans="1:21" ht="15" thickBot="1">
      <c r="A30" s="1673"/>
      <c r="B30" s="1670" t="s">
        <v>1965</v>
      </c>
      <c r="C30" s="1637"/>
      <c r="D30" s="2494" t="s">
        <v>1965</v>
      </c>
      <c r="E30" s="1638"/>
      <c r="F30" s="3078"/>
      <c r="G30" s="3075"/>
      <c r="H30" s="3075"/>
      <c r="I30" s="3076"/>
      <c r="J30" s="3070"/>
      <c r="K30" s="3053"/>
      <c r="L30" s="3049"/>
      <c r="M30" s="3049"/>
      <c r="N30" s="3050"/>
      <c r="O30" s="3051"/>
      <c r="P30" s="3050"/>
      <c r="Q30" s="3050"/>
      <c r="R30" s="3050"/>
      <c r="S30" s="3050"/>
      <c r="T30" s="3050"/>
      <c r="U30" s="3050"/>
    </row>
    <row r="31" spans="1:21" ht="15" thickTop="1">
      <c r="A31" s="3393" t="s">
        <v>1990</v>
      </c>
      <c r="B31" s="1680" t="s">
        <v>1991</v>
      </c>
      <c r="C31" s="3391"/>
      <c r="D31" s="3392"/>
      <c r="E31" s="3070"/>
      <c r="F31" s="3070"/>
      <c r="G31" s="3070"/>
      <c r="H31" s="3070"/>
      <c r="I31" s="3074"/>
      <c r="J31" s="3070"/>
      <c r="K31" s="3056"/>
      <c r="L31" s="3050"/>
      <c r="M31" s="3050"/>
      <c r="N31" s="3050"/>
      <c r="O31" s="3050"/>
      <c r="P31" s="3050"/>
      <c r="Q31" s="3050"/>
      <c r="R31" s="3050"/>
      <c r="S31" s="3050"/>
      <c r="T31" s="3050"/>
      <c r="U31" s="3050"/>
    </row>
    <row r="32" spans="1:21">
      <c r="A32" s="3393"/>
      <c r="B32" s="1587" t="s">
        <v>1992</v>
      </c>
      <c r="C32" s="1639"/>
      <c r="D32" s="1640"/>
      <c r="E32" s="3070"/>
      <c r="F32" s="3070"/>
      <c r="G32" s="3070"/>
      <c r="H32" s="3070"/>
      <c r="I32" s="3074"/>
      <c r="J32" s="3070"/>
      <c r="K32" s="3056"/>
      <c r="L32" s="3050"/>
      <c r="M32" s="3050"/>
      <c r="N32" s="3050"/>
      <c r="O32" s="3050"/>
      <c r="P32" s="3050"/>
      <c r="Q32" s="3050"/>
      <c r="R32" s="3050"/>
      <c r="S32" s="3050"/>
      <c r="T32" s="3050"/>
      <c r="U32" s="3050"/>
    </row>
    <row r="33" spans="1:28">
      <c r="A33" s="3393"/>
      <c r="B33" s="1587" t="s">
        <v>1993</v>
      </c>
      <c r="C33" s="1641"/>
      <c r="D33" s="1751"/>
      <c r="E33" s="3070"/>
      <c r="F33" s="3070"/>
      <c r="G33" s="3070"/>
      <c r="H33" s="3070"/>
      <c r="I33" s="3074"/>
      <c r="J33" s="3070"/>
      <c r="K33" s="3056"/>
      <c r="L33" s="3050"/>
      <c r="M33" s="3050"/>
      <c r="N33" s="3050"/>
      <c r="O33" s="3050"/>
      <c r="P33" s="3050"/>
      <c r="Q33" s="3050"/>
      <c r="R33" s="3050"/>
      <c r="S33" s="3050"/>
      <c r="T33" s="3050"/>
      <c r="U33" s="3050"/>
    </row>
    <row r="34" spans="1:28">
      <c r="A34" s="3394"/>
      <c r="B34" s="1587" t="s">
        <v>1994</v>
      </c>
      <c r="C34" s="3395"/>
      <c r="D34" s="3396"/>
      <c r="E34" s="3070"/>
      <c r="F34" s="3070"/>
      <c r="G34" s="3070"/>
      <c r="H34" s="3070"/>
      <c r="I34" s="3074"/>
      <c r="J34" s="3070"/>
      <c r="K34" s="3056"/>
      <c r="L34" s="3050"/>
      <c r="M34" s="3050"/>
      <c r="N34" s="3050"/>
      <c r="O34" s="3050"/>
      <c r="P34" s="3050"/>
      <c r="Q34" s="3050"/>
      <c r="R34" s="3050"/>
      <c r="S34" s="3050"/>
      <c r="T34" s="3050"/>
      <c r="U34" s="3050"/>
    </row>
    <row r="35" spans="1:28">
      <c r="A35" s="3397" t="s">
        <v>839</v>
      </c>
      <c r="B35" s="1642"/>
      <c r="C35" s="1689" t="str">
        <f>IF(B35="场地平整","——","具体情况：")</f>
        <v>具体情况：</v>
      </c>
      <c r="D35" s="3399"/>
      <c r="E35" s="3400"/>
      <c r="F35" s="3400"/>
      <c r="G35" s="3400"/>
      <c r="H35" s="3400"/>
      <c r="I35" s="3401"/>
      <c r="J35" s="3070"/>
      <c r="K35" s="3057"/>
      <c r="L35" s="3049"/>
      <c r="M35" s="3049"/>
      <c r="N35" s="3050"/>
      <c r="O35" s="3051"/>
      <c r="P35" s="3050"/>
      <c r="Q35" s="3050"/>
      <c r="R35" s="3050"/>
      <c r="S35" s="3050"/>
      <c r="T35" s="3050"/>
      <c r="U35" s="3050"/>
    </row>
    <row r="36" spans="1:28">
      <c r="A36" s="3393"/>
      <c r="B36" s="3402" t="s">
        <v>2043</v>
      </c>
      <c r="C36" s="3403"/>
      <c r="D36" s="1705"/>
      <c r="E36" s="3404"/>
      <c r="F36" s="3404"/>
      <c r="G36" s="1610" t="str">
        <f>IF(B35="场地未平整","估价结果处理","")</f>
        <v/>
      </c>
      <c r="H36" s="3405"/>
      <c r="I36" s="3405"/>
      <c r="J36" s="3070"/>
      <c r="K36" s="3057"/>
      <c r="L36" s="3049"/>
      <c r="M36" s="3049"/>
      <c r="N36" s="3050"/>
      <c r="O36" s="3051"/>
      <c r="P36" s="3050"/>
      <c r="Q36" s="3050"/>
      <c r="R36" s="3050"/>
      <c r="S36" s="3050"/>
      <c r="T36" s="3050"/>
      <c r="U36" s="3050"/>
    </row>
    <row r="37" spans="1:28" ht="28.5">
      <c r="A37" s="3393"/>
      <c r="B37" s="3382" t="s">
        <v>840</v>
      </c>
      <c r="C37" s="1644" t="s">
        <v>841</v>
      </c>
      <c r="D37" s="1645"/>
      <c r="E37" s="1646"/>
      <c r="F37" s="3070"/>
      <c r="G37" s="3070"/>
      <c r="H37" s="3070"/>
      <c r="I37" s="3074"/>
      <c r="J37" s="3070"/>
      <c r="K37" s="3057"/>
      <c r="L37" s="3050"/>
      <c r="M37" s="3050"/>
      <c r="N37" s="3050"/>
      <c r="O37" s="3050"/>
      <c r="P37" s="3050"/>
      <c r="Q37" s="3050"/>
      <c r="R37" s="3050"/>
      <c r="S37" s="3050"/>
      <c r="T37" s="3050"/>
      <c r="U37" s="3050"/>
    </row>
    <row r="38" spans="1:28">
      <c r="A38" s="3393"/>
      <c r="B38" s="3383"/>
      <c r="C38" s="1595" t="s">
        <v>842</v>
      </c>
      <c r="D38" s="1704">
        <f>ROUNDDOWN(MIN(('数据-取费表'!$B$2-D37)/365,D34),1)</f>
        <v>121.6</v>
      </c>
      <c r="E38" s="1647" t="s">
        <v>843</v>
      </c>
      <c r="F38" s="3070"/>
      <c r="G38" s="3070"/>
      <c r="H38" s="3070"/>
      <c r="I38" s="3074"/>
      <c r="J38" s="3070"/>
      <c r="K38" s="3057"/>
      <c r="L38" s="3050"/>
      <c r="M38" s="3050"/>
      <c r="N38" s="3050"/>
      <c r="O38" s="3050"/>
      <c r="P38" s="3050"/>
      <c r="Q38" s="3050"/>
      <c r="R38" s="3050"/>
      <c r="S38" s="3050"/>
      <c r="T38" s="3050"/>
      <c r="U38" s="3050"/>
    </row>
    <row r="39" spans="1:28">
      <c r="A39" s="3394"/>
      <c r="B39" s="3384"/>
      <c r="C39" s="1617" t="str">
        <f>IF(D38&lt;1,"不存在土地闲置",IF(B35="宗地内已开工建设","已开工，不存在土地闲置","估价对象已涉嫌土地闲置"))</f>
        <v>估价对象已涉嫌土地闲置</v>
      </c>
      <c r="D39" s="1648"/>
      <c r="E39" s="1649"/>
      <c r="F39" s="3070"/>
      <c r="G39" s="3070"/>
      <c r="H39" s="3070"/>
      <c r="I39" s="3074"/>
      <c r="J39" s="3070"/>
      <c r="K39" s="3053"/>
      <c r="L39" s="3049"/>
      <c r="M39" s="3049"/>
      <c r="N39" s="3050"/>
      <c r="O39" s="3051"/>
      <c r="P39" s="3050"/>
      <c r="Q39" s="3050"/>
      <c r="R39" s="3050"/>
      <c r="S39" s="3050"/>
      <c r="T39" s="3050"/>
      <c r="U39" s="3050"/>
    </row>
    <row r="40" spans="1:28">
      <c r="A40" s="1610" t="s">
        <v>1966</v>
      </c>
      <c r="B40" s="1611"/>
      <c r="C40" s="1611"/>
      <c r="D40" s="1611"/>
      <c r="E40" s="1611"/>
      <c r="F40" s="1611"/>
      <c r="G40" s="1611"/>
      <c r="H40" s="1611"/>
      <c r="I40" s="3074"/>
      <c r="J40" s="3070"/>
      <c r="K40" s="3018">
        <f>COUNTIF(B40:H40,"——")</f>
        <v>0</v>
      </c>
      <c r="L40" s="1619" t="s">
        <v>1967</v>
      </c>
      <c r="M40" s="1616" t="s">
        <v>1968</v>
      </c>
      <c r="N40" s="1616" t="s">
        <v>1969</v>
      </c>
      <c r="O40" s="1616" t="s">
        <v>1970</v>
      </c>
      <c r="P40" s="1616" t="s">
        <v>1971</v>
      </c>
      <c r="Q40" s="1616" t="s">
        <v>1972</v>
      </c>
      <c r="R40" s="1616" t="s">
        <v>1973</v>
      </c>
      <c r="S40" s="3365" t="s">
        <v>1974</v>
      </c>
      <c r="T40" s="1651" t="str">
        <f>NUMBERSTRING(7-K40,1)&amp;"通"</f>
        <v>七通</v>
      </c>
      <c r="U40" s="3050"/>
    </row>
    <row r="41" spans="1:28">
      <c r="A41" s="1589"/>
      <c r="B41" s="3398" t="s">
        <v>1712</v>
      </c>
      <c r="C41" s="3398"/>
      <c r="D41" s="3398"/>
      <c r="E41" s="3398"/>
      <c r="F41" s="1652">
        <f>C10</f>
        <v>0</v>
      </c>
      <c r="G41" s="3070"/>
      <c r="H41" s="3070"/>
      <c r="I41" s="3074"/>
      <c r="J41" s="3070"/>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65"/>
      <c r="T41" s="1653" t="str">
        <f>IF(T40="一通",L41,IF(T40="二通",M41,IF(T40="三通",N41,IF(T40="四通",O41,IF(T40="五通",P41,IF(T40="六通",Q41,R41))))))</f>
        <v>、、、、、、</v>
      </c>
      <c r="U41" s="3050"/>
    </row>
    <row r="42" spans="1:28">
      <c r="A42" s="1655"/>
      <c r="B42" s="1682" t="s">
        <v>1888</v>
      </c>
      <c r="C42" s="1682" t="s">
        <v>1889</v>
      </c>
      <c r="D42" s="1682" t="s">
        <v>1890</v>
      </c>
      <c r="E42" s="1619" t="s">
        <v>1891</v>
      </c>
      <c r="F42" s="1656"/>
      <c r="G42" s="3070"/>
      <c r="H42" s="3070"/>
      <c r="I42" s="3074"/>
      <c r="J42" s="3070"/>
      <c r="K42" s="3053"/>
      <c r="L42" s="3049"/>
      <c r="M42" s="3049"/>
      <c r="N42" s="3050"/>
      <c r="O42" s="3051"/>
      <c r="P42" s="3050"/>
      <c r="Q42" s="3050"/>
      <c r="R42" s="3050"/>
      <c r="S42" s="3050"/>
      <c r="T42" s="3050"/>
      <c r="U42" s="3050"/>
    </row>
    <row r="43" spans="1:28">
      <c r="A43" s="3021" t="s">
        <v>1697</v>
      </c>
      <c r="B43" s="1657"/>
      <c r="C43" s="1657"/>
      <c r="D43" s="1657"/>
      <c r="E43" s="1657"/>
      <c r="F43" s="1658"/>
      <c r="G43" s="3070"/>
      <c r="H43" s="3070"/>
      <c r="I43" s="3074"/>
      <c r="J43" s="3070"/>
      <c r="K43" s="3053"/>
      <c r="L43" s="3049"/>
      <c r="M43" s="3049"/>
      <c r="N43" s="3050"/>
      <c r="O43" s="3051"/>
      <c r="P43" s="3050"/>
      <c r="Q43" s="3050"/>
      <c r="R43" s="3050"/>
      <c r="S43" s="3050"/>
      <c r="T43" s="3050"/>
      <c r="U43" s="3050"/>
    </row>
    <row r="44" spans="1:28">
      <c r="A44" s="3021" t="s">
        <v>1698</v>
      </c>
      <c r="B44" s="1657"/>
      <c r="C44" s="1657"/>
      <c r="D44" s="1657"/>
      <c r="E44" s="1705"/>
      <c r="F44" s="1658"/>
      <c r="G44" s="3070"/>
      <c r="H44" s="3070"/>
      <c r="I44" s="3074"/>
      <c r="J44" s="3070"/>
      <c r="K44" s="3053"/>
      <c r="L44" s="3049"/>
      <c r="M44" s="3049"/>
      <c r="N44" s="3050"/>
      <c r="O44" s="3051"/>
      <c r="P44" s="3050"/>
      <c r="Q44" s="3050"/>
      <c r="R44" s="3050"/>
      <c r="S44" s="3050"/>
      <c r="T44" s="3050"/>
      <c r="U44" s="3050"/>
    </row>
    <row r="45" spans="1:28" s="2769" customFormat="1" ht="21" thickBot="1">
      <c r="A45" s="2770" t="s">
        <v>2869</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4"/>
      <c r="B46" s="1614"/>
      <c r="C46" s="1614"/>
      <c r="D46" s="1614"/>
      <c r="E46" s="1614"/>
      <c r="F46" s="1614"/>
      <c r="G46" s="1614"/>
      <c r="H46" s="1614"/>
      <c r="I46" s="1627"/>
      <c r="J46" s="1614"/>
      <c r="K46" s="3053"/>
      <c r="L46" s="3049"/>
      <c r="M46" s="3049"/>
      <c r="N46" s="3050"/>
      <c r="O46" s="3051"/>
      <c r="P46" s="3050"/>
      <c r="Q46" s="3050"/>
      <c r="R46" s="3050"/>
      <c r="S46" s="3050"/>
      <c r="T46" s="3050"/>
      <c r="U46" s="3050"/>
    </row>
    <row r="47" spans="1:28">
      <c r="A47" s="1659" t="s">
        <v>1995</v>
      </c>
      <c r="B47" s="1660"/>
      <c r="C47" s="1649"/>
      <c r="D47" s="1614"/>
      <c r="E47" s="1614"/>
      <c r="F47" s="1614"/>
      <c r="G47" s="1614"/>
      <c r="H47" s="1614"/>
      <c r="I47" s="1615"/>
      <c r="J47" s="1614"/>
      <c r="K47" s="3053"/>
      <c r="L47" s="3049"/>
      <c r="M47" s="3049"/>
      <c r="N47" s="3050"/>
      <c r="O47" s="3051"/>
      <c r="P47" s="3050"/>
      <c r="Q47" s="3050"/>
      <c r="R47" s="3050"/>
      <c r="S47" s="3050"/>
      <c r="T47" s="3050"/>
      <c r="U47" s="3050"/>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6"/>
      <c r="B49" s="1650"/>
      <c r="C49" s="1650"/>
      <c r="D49" s="1650"/>
      <c r="E49" s="1650"/>
      <c r="F49" s="1650"/>
      <c r="G49" s="1650"/>
      <c r="H49" s="1650"/>
      <c r="I49" s="1650"/>
      <c r="J49" s="1752"/>
      <c r="K49" s="3065"/>
      <c r="L49" s="3065"/>
      <c r="M49" s="1656"/>
      <c r="N49" s="1656"/>
      <c r="O49" s="1656"/>
      <c r="P49" s="1656"/>
      <c r="Q49" s="1656"/>
      <c r="R49" s="1656"/>
      <c r="S49" s="3050"/>
      <c r="T49" s="3050"/>
      <c r="U49" s="3050"/>
    </row>
    <row r="50" spans="1:21">
      <c r="A50" s="1616"/>
      <c r="B50" s="1616"/>
      <c r="C50" s="1650"/>
      <c r="D50" s="1650"/>
      <c r="E50" s="1650"/>
      <c r="F50" s="1650"/>
      <c r="G50" s="1650"/>
      <c r="H50" s="1650"/>
      <c r="I50" s="1650"/>
      <c r="J50" s="1752"/>
      <c r="K50" s="3065"/>
      <c r="L50" s="3065"/>
      <c r="M50" s="1656"/>
      <c r="N50" s="1656"/>
      <c r="O50" s="1656"/>
      <c r="P50" s="1656"/>
      <c r="Q50" s="1656"/>
      <c r="R50" s="1656"/>
      <c r="S50" s="3050"/>
      <c r="T50" s="3050"/>
      <c r="U50" s="3050"/>
    </row>
    <row r="51" spans="1:21">
      <c r="A51" s="1616"/>
      <c r="B51" s="1616"/>
      <c r="C51" s="1650"/>
      <c r="D51" s="1650"/>
      <c r="E51" s="1650"/>
      <c r="F51" s="1650"/>
      <c r="G51" s="1650"/>
      <c r="H51" s="1650"/>
      <c r="I51" s="1650"/>
      <c r="J51" s="1752"/>
      <c r="K51" s="3065"/>
      <c r="L51" s="3065"/>
      <c r="M51" s="1656"/>
      <c r="N51" s="1656"/>
      <c r="O51" s="1656"/>
      <c r="P51" s="1656"/>
      <c r="Q51" s="1656"/>
      <c r="R51" s="1656"/>
      <c r="S51" s="3050"/>
      <c r="T51" s="3050"/>
      <c r="U51" s="3050"/>
    </row>
    <row r="52" spans="1:21">
      <c r="A52" s="1616"/>
      <c r="B52" s="1616"/>
      <c r="C52" s="1650"/>
      <c r="D52" s="1650"/>
      <c r="E52" s="1650"/>
      <c r="F52" s="1650"/>
      <c r="G52" s="1650"/>
      <c r="H52" s="1650"/>
      <c r="I52" s="1650"/>
      <c r="J52" s="1752"/>
      <c r="K52" s="3065"/>
      <c r="L52" s="3065"/>
      <c r="M52" s="1656"/>
      <c r="N52" s="1656"/>
      <c r="O52" s="1656"/>
      <c r="P52" s="1656"/>
      <c r="Q52" s="1656"/>
      <c r="R52" s="1656"/>
      <c r="S52" s="3050"/>
      <c r="T52" s="3050"/>
      <c r="U52" s="3050"/>
    </row>
    <row r="53" spans="1:21">
      <c r="A53" s="1616"/>
      <c r="B53" s="1616"/>
      <c r="C53" s="1650"/>
      <c r="D53" s="1650"/>
      <c r="E53" s="1650"/>
      <c r="F53" s="1650"/>
      <c r="G53" s="1650"/>
      <c r="H53" s="1650"/>
      <c r="I53" s="1650"/>
      <c r="J53" s="1752"/>
      <c r="K53" s="3065"/>
      <c r="L53" s="3065"/>
      <c r="M53" s="1656"/>
      <c r="N53" s="1656"/>
      <c r="O53" s="1656"/>
      <c r="P53" s="1656"/>
      <c r="Q53" s="1656"/>
      <c r="R53" s="1656"/>
      <c r="S53" s="3050"/>
      <c r="T53" s="3050"/>
      <c r="U53" s="3050"/>
    </row>
    <row r="54" spans="1:21">
      <c r="A54" s="1616"/>
      <c r="B54" s="1616"/>
      <c r="C54" s="1616"/>
      <c r="D54" s="1616"/>
      <c r="E54" s="1616"/>
      <c r="F54" s="1650"/>
      <c r="G54" s="1616"/>
      <c r="H54" s="1616"/>
      <c r="I54" s="1616"/>
      <c r="J54" s="1753"/>
      <c r="K54" s="3065"/>
      <c r="L54" s="3065"/>
      <c r="M54" s="3065"/>
      <c r="N54" s="3017"/>
      <c r="O54" s="3017"/>
      <c r="P54" s="3017"/>
      <c r="Q54" s="3017"/>
      <c r="R54" s="3017"/>
      <c r="S54" s="3050"/>
      <c r="T54" s="3050"/>
      <c r="U54" s="3050"/>
    </row>
    <row r="55" spans="1:21">
      <c r="A55" s="1616"/>
      <c r="B55" s="1616"/>
      <c r="C55" s="1616"/>
      <c r="D55" s="1616"/>
      <c r="E55" s="1616"/>
      <c r="F55" s="1650"/>
      <c r="G55" s="1616"/>
      <c r="H55" s="1616"/>
      <c r="I55" s="1616"/>
      <c r="J55" s="1753"/>
      <c r="K55" s="3065"/>
      <c r="L55" s="3065"/>
      <c r="M55" s="3065"/>
      <c r="N55" s="3017"/>
      <c r="O55" s="3017"/>
      <c r="P55" s="3017"/>
      <c r="Q55" s="3017"/>
      <c r="R55" s="3017"/>
      <c r="S55" s="3050"/>
      <c r="T55" s="3050"/>
      <c r="U55" s="3050"/>
    </row>
    <row r="56" spans="1:21">
      <c r="A56" s="1616"/>
      <c r="B56" s="1616"/>
      <c r="C56" s="1616"/>
      <c r="D56" s="1616"/>
      <c r="E56" s="1616"/>
      <c r="F56" s="1650"/>
      <c r="G56" s="1616"/>
      <c r="H56" s="1616"/>
      <c r="I56" s="1616"/>
      <c r="J56" s="1753"/>
      <c r="K56" s="3065"/>
      <c r="L56" s="3065"/>
      <c r="M56" s="3065"/>
      <c r="N56" s="3017"/>
      <c r="O56" s="3017"/>
      <c r="P56" s="3017"/>
      <c r="Q56" s="3017"/>
      <c r="R56" s="3017"/>
      <c r="S56" s="3050"/>
      <c r="T56" s="3050"/>
      <c r="U56" s="3050"/>
    </row>
    <row r="57" spans="1:21">
      <c r="A57" s="1616"/>
      <c r="B57" s="1616"/>
      <c r="C57" s="1616"/>
      <c r="D57" s="1616"/>
      <c r="E57" s="1616"/>
      <c r="F57" s="1650"/>
      <c r="G57" s="1616"/>
      <c r="H57" s="1616"/>
      <c r="I57" s="1616"/>
      <c r="J57" s="1753"/>
      <c r="K57" s="3065"/>
      <c r="L57" s="3065"/>
      <c r="M57" s="3065"/>
      <c r="N57" s="3017"/>
      <c r="O57" s="3017"/>
      <c r="P57" s="3017"/>
      <c r="Q57" s="3017"/>
      <c r="R57" s="3017"/>
      <c r="S57" s="3050"/>
      <c r="T57" s="3050"/>
      <c r="U57" s="3050"/>
    </row>
    <row r="58" spans="1:21">
      <c r="A58" s="1616"/>
      <c r="B58" s="1616"/>
      <c r="C58" s="1616"/>
      <c r="D58" s="1616"/>
      <c r="E58" s="1616"/>
      <c r="F58" s="1650"/>
      <c r="G58" s="1616"/>
      <c r="H58" s="1616"/>
      <c r="I58" s="1616"/>
      <c r="J58" s="1753"/>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4" sqref="A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46514.49</v>
      </c>
      <c r="B3" s="22">
        <f>IF(C3="否",G5-AT5,G5)</f>
        <v>106983.327</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106983.327</v>
      </c>
      <c r="H5" s="27">
        <f t="shared" ref="H5:AT5" si="0">SUM(H13:H641)</f>
        <v>103024.827</v>
      </c>
      <c r="I5" s="27">
        <f t="shared" si="0"/>
        <v>103024.827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3958.5</v>
      </c>
      <c r="AD5" s="27">
        <f t="shared" si="0"/>
        <v>3608.5</v>
      </c>
      <c r="AE5" s="27">
        <f t="shared" si="0"/>
        <v>0</v>
      </c>
      <c r="AF5" s="27">
        <f t="shared" si="0"/>
        <v>0</v>
      </c>
      <c r="AG5" s="27">
        <f t="shared" si="0"/>
        <v>0</v>
      </c>
      <c r="AH5" s="27">
        <f t="shared" si="0"/>
        <v>350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106983.327</v>
      </c>
      <c r="BA5" s="29">
        <f t="shared" si="1"/>
        <v>103024.827</v>
      </c>
      <c r="BB5" s="29">
        <f t="shared" si="1"/>
        <v>103024.827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3958.5</v>
      </c>
      <c r="BM5" s="29">
        <f t="shared" si="1"/>
        <v>3608.5</v>
      </c>
      <c r="BN5" s="29">
        <f t="shared" si="1"/>
        <v>0</v>
      </c>
      <c r="BO5" s="29">
        <f t="shared" si="1"/>
        <v>350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46514.48</v>
      </c>
      <c r="F6" s="27" t="s">
        <v>1</v>
      </c>
      <c r="G6" s="27" t="s">
        <v>2</v>
      </c>
      <c r="H6" s="33">
        <f>SUMIF(I$12:AB$12,"总值",I6:AB6)</f>
        <v>44793.4</v>
      </c>
      <c r="I6" s="27">
        <f t="shared" ref="I6:AB6" si="2">ROUND($A$3*I5/$B$3,2)</f>
        <v>44793.4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1721.0800000000002</v>
      </c>
      <c r="AD6" s="27">
        <f t="shared" ref="AD6:AS6" si="3">ROUND($A$3*AD5/$B$3,2)</f>
        <v>1568.91</v>
      </c>
      <c r="AE6" s="27">
        <f t="shared" si="3"/>
        <v>0</v>
      </c>
      <c r="AF6" s="27">
        <f t="shared" si="3"/>
        <v>0</v>
      </c>
      <c r="AG6" s="27">
        <f t="shared" si="3"/>
        <v>0</v>
      </c>
      <c r="AH6" s="27">
        <f t="shared" si="3"/>
        <v>152.16999999999999</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46514.49</v>
      </c>
      <c r="AZ6" s="27" t="s">
        <v>3</v>
      </c>
      <c r="BA6" s="27">
        <f>ROUND($AY$6*BA5/$AZ$5,2)</f>
        <v>44793.4</v>
      </c>
      <c r="BB6" s="27">
        <f>ROUND($AY$6*BB5/$AZ$5,2)</f>
        <v>44793.4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1721.09</v>
      </c>
      <c r="BM6" s="27">
        <f t="shared" si="5"/>
        <v>1568.91</v>
      </c>
      <c r="BN6" s="27">
        <f t="shared" si="5"/>
        <v>0</v>
      </c>
      <c r="BO6" s="27">
        <f t="shared" si="5"/>
        <v>152.16999999999999</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3147</v>
      </c>
      <c r="J9" s="51"/>
      <c r="K9" s="2728" t="s">
        <v>3147</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914</v>
      </c>
      <c r="L10" s="51"/>
      <c r="M10" s="2730"/>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3148</v>
      </c>
      <c r="J11" s="71"/>
      <c r="K11" s="2729" t="s">
        <v>22</v>
      </c>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限价商品房</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46514.49</v>
      </c>
      <c r="F13" s="81"/>
      <c r="G13" s="82">
        <f t="shared" ref="G13:G20" si="7">H13+AC13+AT13</f>
        <v>106983.327</v>
      </c>
      <c r="H13" s="33">
        <f t="shared" ref="H13:H20" si="8">SUMIF(I$12:AB$12,"总值",I13:AB13)</f>
        <v>103024.827</v>
      </c>
      <c r="I13" s="3308">
        <f>106983.327-K13-AD13-AH13</f>
        <v>103024.827</v>
      </c>
      <c r="J13" s="2727"/>
      <c r="K13" s="2727">
        <v>0</v>
      </c>
      <c r="L13" s="2727"/>
      <c r="M13" s="2727"/>
      <c r="N13" s="83"/>
      <c r="O13" s="83"/>
      <c r="P13" s="83"/>
      <c r="Q13" s="83"/>
      <c r="R13" s="83"/>
      <c r="S13" s="83"/>
      <c r="T13" s="83"/>
      <c r="U13" s="83"/>
      <c r="V13" s="83"/>
      <c r="W13" s="83"/>
      <c r="X13" s="83"/>
      <c r="Y13" s="83"/>
      <c r="Z13" s="83"/>
      <c r="AA13" s="83"/>
      <c r="AB13" s="83"/>
      <c r="AC13" s="27">
        <f t="shared" ref="AC13:AC20" si="9">SUMIF(AD$12:AS$12,"总值",AD13:AS13)</f>
        <v>3958.5</v>
      </c>
      <c r="AD13" s="2731">
        <f>Sheet1!K4+Sheet1!K5+Sheet1!K6+Sheet1!K7+Sheet1!K9+Sheet1!K10+Sheet1!K11</f>
        <v>3608.5</v>
      </c>
      <c r="AE13" s="2731"/>
      <c r="AF13" s="2731"/>
      <c r="AG13" s="2731"/>
      <c r="AH13" s="2731">
        <f>Sheet1!K8</f>
        <v>350</v>
      </c>
      <c r="AI13" s="2731"/>
      <c r="AJ13" s="2731"/>
      <c r="AK13" s="2731"/>
      <c r="AL13" s="2731"/>
      <c r="AM13" s="2731"/>
      <c r="AN13" s="2731"/>
      <c r="AO13" s="2731"/>
      <c r="AP13" s="2731"/>
      <c r="AQ13" s="2731"/>
      <c r="AR13" s="2731"/>
      <c r="AS13" s="2731"/>
      <c r="AT13" s="2732"/>
      <c r="AU13" s="2733"/>
      <c r="AV13" s="17">
        <f t="shared" ref="AV13:AX20" si="10">A13</f>
        <v>0</v>
      </c>
      <c r="AW13" s="17">
        <f t="shared" si="10"/>
        <v>0</v>
      </c>
      <c r="AX13" s="17">
        <f t="shared" si="10"/>
        <v>0</v>
      </c>
      <c r="AY13" s="983">
        <f t="shared" ref="AY13:AY20" si="11">ROUND($AY$6*AZ13/$AZ$5,2)</f>
        <v>46514.49</v>
      </c>
      <c r="AZ13" s="27">
        <f t="shared" ref="AZ13:AZ20" si="12">BA13+BL13</f>
        <v>106983.327</v>
      </c>
      <c r="BA13" s="27">
        <f t="shared" ref="BA13:BA20" si="13">SUM(BB13:BK13)</f>
        <v>103024.827</v>
      </c>
      <c r="BB13" s="27">
        <f t="shared" ref="BB13:BB20" si="14">IF($D13="是",I13-J13,0)</f>
        <v>103024.827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3958.5</v>
      </c>
      <c r="BM13" s="27">
        <f t="shared" ref="BM13:BM20" si="25">IF($D13="是",AD13-AE13,0)</f>
        <v>3608.5</v>
      </c>
      <c r="BN13" s="27">
        <f t="shared" ref="BN13:BN20" si="26">IF($D13="是",AF13-AG13,0)</f>
        <v>0</v>
      </c>
      <c r="BO13" s="27">
        <f t="shared" ref="BO13:BO20" si="27">IF($D13="是",AH13-AI13,0)</f>
        <v>350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6" t="s">
        <v>0</v>
      </c>
      <c r="B1" s="3406" t="s">
        <v>4</v>
      </c>
      <c r="C1" s="3406" t="s">
        <v>5</v>
      </c>
      <c r="D1" s="3407" t="s">
        <v>40</v>
      </c>
      <c r="E1" s="3407" t="s">
        <v>41</v>
      </c>
      <c r="F1" s="3407"/>
      <c r="G1" s="3407"/>
      <c r="H1" s="3407"/>
      <c r="I1" s="3407"/>
      <c r="J1" s="3407"/>
      <c r="K1" s="3407"/>
      <c r="L1" s="3407"/>
      <c r="M1" s="3407"/>
    </row>
    <row r="2" spans="1:13" ht="27" customHeight="1">
      <c r="A2" s="3406"/>
      <c r="B2" s="3406"/>
      <c r="C2" s="3406"/>
      <c r="D2" s="3407"/>
      <c r="E2" s="3407" t="s">
        <v>24</v>
      </c>
      <c r="F2" s="3407" t="s">
        <v>25</v>
      </c>
      <c r="G2" s="3407"/>
      <c r="H2" s="3407"/>
      <c r="I2" s="3407"/>
      <c r="J2" s="3407" t="s">
        <v>26</v>
      </c>
      <c r="K2" s="3407"/>
      <c r="L2" s="3407"/>
      <c r="M2" s="3407"/>
    </row>
    <row r="3" spans="1:13" ht="28.5">
      <c r="A3" s="3406"/>
      <c r="B3" s="3406"/>
      <c r="C3" s="3406"/>
      <c r="D3" s="3407"/>
      <c r="E3" s="34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7" t="s">
        <v>42</v>
      </c>
      <c r="B9" s="3407"/>
      <c r="C9" s="34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70"/>
  <sheetViews>
    <sheetView workbookViewId="0">
      <selection activeCell="J30" sqref="J30"/>
    </sheetView>
  </sheetViews>
  <sheetFormatPr defaultRowHeight="13.5"/>
  <cols>
    <col min="3" max="3" width="11.5" customWidth="1"/>
    <col min="10" max="10" width="14.625" customWidth="1"/>
  </cols>
  <sheetData>
    <row r="3" spans="10:14">
      <c r="J3">
        <v>6145</v>
      </c>
    </row>
    <row r="4" spans="10:14">
      <c r="J4" s="3245" t="s">
        <v>3149</v>
      </c>
      <c r="K4">
        <v>1000</v>
      </c>
    </row>
    <row r="5" spans="10:14">
      <c r="J5" s="3245" t="s">
        <v>3150</v>
      </c>
      <c r="K5">
        <v>1000</v>
      </c>
    </row>
    <row r="6" spans="10:14">
      <c r="J6" s="3245" t="s">
        <v>3151</v>
      </c>
      <c r="K6">
        <v>120</v>
      </c>
    </row>
    <row r="7" spans="10:14">
      <c r="J7" s="3245" t="s">
        <v>3152</v>
      </c>
      <c r="K7">
        <v>188.5</v>
      </c>
    </row>
    <row r="8" spans="10:14">
      <c r="J8" s="3245" t="s">
        <v>3153</v>
      </c>
      <c r="K8">
        <v>350</v>
      </c>
    </row>
    <row r="9" spans="10:14">
      <c r="J9" s="3245" t="s">
        <v>3154</v>
      </c>
      <c r="K9">
        <v>800</v>
      </c>
    </row>
    <row r="10" spans="10:14">
      <c r="J10" s="3245" t="s">
        <v>3155</v>
      </c>
      <c r="K10">
        <v>250</v>
      </c>
    </row>
    <row r="11" spans="10:14">
      <c r="J11" s="3245" t="s">
        <v>3156</v>
      </c>
      <c r="K11">
        <v>250</v>
      </c>
      <c r="M11">
        <v>70</v>
      </c>
      <c r="N11">
        <v>70</v>
      </c>
    </row>
    <row r="12" spans="10:14">
      <c r="K12">
        <f>SUM(K4:K11)</f>
        <v>3958.5</v>
      </c>
    </row>
    <row r="15" spans="10:14">
      <c r="J15">
        <v>6159</v>
      </c>
    </row>
    <row r="16" spans="10:14">
      <c r="J16" s="3245" t="s">
        <v>3149</v>
      </c>
      <c r="K16">
        <v>1000</v>
      </c>
    </row>
    <row r="17" spans="10:13">
      <c r="J17" s="3245" t="s">
        <v>3150</v>
      </c>
      <c r="K17">
        <v>1000</v>
      </c>
      <c r="M17">
        <v>200</v>
      </c>
    </row>
    <row r="18" spans="10:13">
      <c r="J18" s="3245" t="s">
        <v>3152</v>
      </c>
      <c r="K18">
        <v>188.5</v>
      </c>
    </row>
    <row r="19" spans="10:13">
      <c r="J19" s="3245" t="s">
        <v>3153</v>
      </c>
      <c r="K19">
        <v>350</v>
      </c>
    </row>
    <row r="20" spans="10:13">
      <c r="J20" s="3245" t="s">
        <v>3154</v>
      </c>
      <c r="K20">
        <v>800</v>
      </c>
    </row>
    <row r="21" spans="10:13">
      <c r="J21" s="3245" t="s">
        <v>3155</v>
      </c>
      <c r="K21">
        <v>250</v>
      </c>
    </row>
    <row r="22" spans="10:13">
      <c r="J22" s="3245" t="s">
        <v>3156</v>
      </c>
      <c r="K22">
        <v>250</v>
      </c>
    </row>
    <row r="23" spans="10:13">
      <c r="K23">
        <f>SUM(K16:K22)</f>
        <v>3838.5</v>
      </c>
    </row>
    <row r="25" spans="10:13">
      <c r="L25">
        <f>4038.5-K23</f>
        <v>200</v>
      </c>
    </row>
    <row r="29" spans="10:13">
      <c r="K29" s="3245">
        <f>130623.713+32500+K12+K23+L25</f>
        <v>171120.71299999999</v>
      </c>
    </row>
    <row r="68" spans="3:6">
      <c r="C68">
        <v>46514.49</v>
      </c>
      <c r="D68">
        <f>结果表!L38</f>
        <v>106983.327</v>
      </c>
      <c r="E68">
        <f ca="1">结果表!G20</f>
        <v>38641</v>
      </c>
      <c r="F68">
        <f ca="1">E68*D68/10000</f>
        <v>413394.27386070002</v>
      </c>
    </row>
    <row r="69" spans="3:6">
      <c r="C69">
        <v>27885.824000000001</v>
      </c>
      <c r="D69">
        <f>C69*2.3+K16+K17+K18+K19+K20+K21+K22</f>
        <v>67975.895199999999</v>
      </c>
      <c r="E69">
        <f ca="1">E68</f>
        <v>38641</v>
      </c>
      <c r="F69">
        <f ca="1">E69*D69/10000</f>
        <v>262665.65664232004</v>
      </c>
    </row>
    <row r="70" spans="3:6">
      <c r="F70">
        <f ca="1">SUM(F68:F69)</f>
        <v>676059.93050302006</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70" zoomScaleSheetLayoutView="90" workbookViewId="0">
      <selection activeCell="G34" sqref="G34"/>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7" t="s">
        <v>203</v>
      </c>
      <c r="B2" s="3417"/>
      <c r="C2" s="3417"/>
      <c r="D2" s="1888" t="s">
        <v>204</v>
      </c>
      <c r="E2" s="106" t="s">
        <v>205</v>
      </c>
      <c r="F2" s="3079"/>
      <c r="G2" s="1180"/>
      <c r="H2" s="1181"/>
      <c r="I2" s="1182" t="s">
        <v>849</v>
      </c>
      <c r="J2" s="3079"/>
      <c r="K2" s="3079"/>
      <c r="L2" s="3079"/>
      <c r="M2" s="3079"/>
      <c r="N2" s="3079"/>
      <c r="O2" s="3079"/>
      <c r="P2" s="3079"/>
    </row>
    <row r="3" spans="1:16" ht="15.75" thickBot="1">
      <c r="A3" s="3418" t="s">
        <v>206</v>
      </c>
      <c r="B3" s="3418"/>
      <c r="C3" s="3418"/>
      <c r="D3" s="107">
        <f>'数据-基础表'!AY6</f>
        <v>46514.49</v>
      </c>
      <c r="E3" s="107">
        <f>'数据-基础表'!AZ5</f>
        <v>106983.327</v>
      </c>
      <c r="F3" s="3079"/>
      <c r="G3" s="278" t="s">
        <v>850</v>
      </c>
      <c r="H3" s="273" t="s">
        <v>851</v>
      </c>
      <c r="I3" s="1889">
        <f>ROUND('数据-基础表'!B3/'数据-基础表'!A3,2)</f>
        <v>2.2999999999999998</v>
      </c>
      <c r="J3" s="3079"/>
      <c r="K3" s="3079"/>
      <c r="L3" s="3079"/>
      <c r="M3" s="3079"/>
      <c r="N3" s="3079"/>
      <c r="O3" s="3079"/>
      <c r="P3" s="3079"/>
    </row>
    <row r="4" spans="1:16" ht="15">
      <c r="A4" s="3419"/>
      <c r="B4" s="3420"/>
      <c r="C4" s="3421"/>
      <c r="D4" s="108" t="s">
        <v>204</v>
      </c>
      <c r="E4" s="109" t="s">
        <v>205</v>
      </c>
      <c r="F4" s="3079"/>
      <c r="G4" s="1183"/>
      <c r="H4" s="273" t="s">
        <v>852</v>
      </c>
      <c r="I4" s="1889">
        <f>ROUND(SUMIF('数据-基础表'!I9:AS9,"地上",'数据-基础表'!I5:AS5)/'数据-基础表'!A3,2)</f>
        <v>2.2999999999999998</v>
      </c>
      <c r="J4" s="3079"/>
      <c r="K4" s="3079"/>
      <c r="L4" s="3079"/>
      <c r="M4" s="3079"/>
      <c r="N4" s="3079"/>
      <c r="O4" s="3079"/>
      <c r="P4" s="3079"/>
    </row>
    <row r="5" spans="1:16">
      <c r="A5" s="110" t="s">
        <v>207</v>
      </c>
      <c r="B5" s="3422" t="s">
        <v>230</v>
      </c>
      <c r="C5" s="3422"/>
      <c r="D5" s="111">
        <f>ROUND($D$3*E5/$E$3,2)</f>
        <v>44793.4</v>
      </c>
      <c r="E5" s="112">
        <f>SUMIF('数据-基础表'!$11:$11,"住宅",'数据-基础表'!$5:$5)</f>
        <v>103024.827</v>
      </c>
      <c r="F5" s="3079"/>
      <c r="G5" s="278" t="s">
        <v>853</v>
      </c>
      <c r="H5" s="273" t="s">
        <v>851</v>
      </c>
      <c r="I5" s="1889">
        <f>ROUND(E31/D31,2)</f>
        <v>2.2999999999999998</v>
      </c>
      <c r="J5" s="3079"/>
      <c r="K5" s="3079"/>
      <c r="L5" s="3079"/>
      <c r="M5" s="3079"/>
      <c r="N5" s="3079"/>
      <c r="O5" s="3079"/>
      <c r="P5" s="3079"/>
    </row>
    <row r="6" spans="1:16" ht="15" thickBot="1">
      <c r="A6" s="113"/>
      <c r="B6" s="3422" t="s">
        <v>208</v>
      </c>
      <c r="C6" s="3422"/>
      <c r="D6" s="111">
        <f>ROUND($D$3*E6/$E$3,2)</f>
        <v>1721.09</v>
      </c>
      <c r="E6" s="112">
        <f>E3-E5</f>
        <v>3958.5</v>
      </c>
      <c r="F6" s="3079"/>
      <c r="G6" s="1183"/>
      <c r="H6" s="273" t="s">
        <v>852</v>
      </c>
      <c r="I6" s="1889">
        <f>ROUND(F31/D31,2)</f>
        <v>2.2999999999999998</v>
      </c>
      <c r="J6" s="3079"/>
      <c r="K6" s="3079"/>
      <c r="L6" s="3079"/>
      <c r="M6" s="3079"/>
      <c r="N6" s="3079"/>
      <c r="O6" s="3079"/>
      <c r="P6" s="3079"/>
    </row>
    <row r="7" spans="1:16" ht="15">
      <c r="A7" s="3414"/>
      <c r="B7" s="3415"/>
      <c r="C7" s="3416"/>
      <c r="D7" s="108" t="s">
        <v>204</v>
      </c>
      <c r="E7" s="114" t="s">
        <v>231</v>
      </c>
      <c r="F7" s="3079"/>
      <c r="G7" s="1138" t="s">
        <v>1636</v>
      </c>
      <c r="H7" s="1139"/>
      <c r="I7" s="1759">
        <v>4</v>
      </c>
      <c r="J7" s="3079"/>
      <c r="K7" s="3079"/>
      <c r="L7" s="3079"/>
      <c r="M7" s="3079"/>
      <c r="N7" s="3079"/>
      <c r="O7" s="3079"/>
      <c r="P7" s="3079"/>
    </row>
    <row r="8" spans="1:16">
      <c r="A8" s="110" t="s">
        <v>209</v>
      </c>
      <c r="B8" s="115" t="s">
        <v>210</v>
      </c>
      <c r="C8" s="111" t="s">
        <v>211</v>
      </c>
      <c r="D8" s="111">
        <f t="shared" ref="D8:D15" si="0">ROUND($D$3*E8/$E$3,2)</f>
        <v>44793.4</v>
      </c>
      <c r="E8" s="116">
        <f>SUMIF('数据-基础表'!BB10:BK10,"地上",'数据-基础表'!BB5:BK5)</f>
        <v>103024.827</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10"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10"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44793.4</v>
      </c>
      <c r="E16" s="120">
        <f>SUM(E8:E15)</f>
        <v>103024.827</v>
      </c>
      <c r="F16" s="3079"/>
      <c r="G16" s="3080"/>
      <c r="H16" s="955" t="s">
        <v>219</v>
      </c>
      <c r="I16" s="956"/>
      <c r="J16" s="1897"/>
      <c r="K16" s="3408" t="s">
        <v>2547</v>
      </c>
      <c r="L16" s="3409"/>
      <c r="M16" s="3409"/>
      <c r="N16" s="3409"/>
      <c r="O16" s="3409"/>
      <c r="P16" s="3410"/>
    </row>
    <row r="17" spans="1:19" ht="15">
      <c r="A17" s="121" t="s">
        <v>216</v>
      </c>
      <c r="B17" s="122" t="s">
        <v>217</v>
      </c>
      <c r="C17" s="2177" t="s">
        <v>2301</v>
      </c>
      <c r="D17" s="108" t="s">
        <v>204</v>
      </c>
      <c r="E17" s="124" t="s">
        <v>205</v>
      </c>
      <c r="F17" s="125"/>
      <c r="G17" s="1318"/>
      <c r="H17" s="957" t="s">
        <v>218</v>
      </c>
      <c r="I17" s="958" t="s">
        <v>2300</v>
      </c>
      <c r="J17" s="1897"/>
      <c r="K17" s="3411" t="s">
        <v>2548</v>
      </c>
      <c r="L17" s="3412"/>
      <c r="M17" s="3413"/>
      <c r="N17" s="3411" t="s">
        <v>2549</v>
      </c>
      <c r="O17" s="3412"/>
      <c r="P17" s="3413"/>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4" t="s">
        <v>3157</v>
      </c>
      <c r="D19" s="111">
        <f t="shared" ref="D19:D26" si="1">ROUND($D$3*E19/$E$3,2)</f>
        <v>44793.4</v>
      </c>
      <c r="E19" s="134">
        <f t="shared" ref="E19:E26" si="2">SUM(F19:G19)</f>
        <v>103024.827</v>
      </c>
      <c r="F19" s="3081">
        <f>'数据-基础表'!I13</f>
        <v>103024.827</v>
      </c>
      <c r="G19" s="3082"/>
      <c r="H19" s="961">
        <f>ROUND($D$3*I19/$E$3,2)</f>
        <v>1721.09</v>
      </c>
      <c r="I19" s="116">
        <f>IF($I$17="自定义",P19,M19)</f>
        <v>3958.5</v>
      </c>
      <c r="J19" s="1897"/>
      <c r="K19" s="2451">
        <f t="shared" ref="K19:K26" si="3">ROUND(E$28*E19/E$27,2)</f>
        <v>0</v>
      </c>
      <c r="L19" s="273">
        <f t="shared" ref="L19:L26" si="4">ROUND(IF(COUNTIF(C19,"*住宅*")&gt;0,E$29*E19/E$32,0),2)</f>
        <v>3958.5</v>
      </c>
      <c r="M19" s="2452">
        <f>K19+L19</f>
        <v>3958.5</v>
      </c>
      <c r="N19" s="2453"/>
      <c r="O19" s="2454"/>
      <c r="P19" s="2455">
        <f>N19+O19</f>
        <v>0</v>
      </c>
      <c r="R19" s="273">
        <f t="shared" ref="R19:S26" si="5">D19+H19</f>
        <v>46514.49</v>
      </c>
      <c r="S19" s="2180">
        <f t="shared" si="5"/>
        <v>106983.327</v>
      </c>
    </row>
    <row r="20" spans="1:19">
      <c r="A20" s="137"/>
      <c r="B20" s="115" t="s">
        <v>226</v>
      </c>
      <c r="C20" s="2734" t="s">
        <v>3159</v>
      </c>
      <c r="D20" s="111">
        <f t="shared" si="1"/>
        <v>0</v>
      </c>
      <c r="E20" s="134">
        <f t="shared" si="2"/>
        <v>0</v>
      </c>
      <c r="F20" s="3081">
        <f>'数据-基础表'!K13</f>
        <v>0</v>
      </c>
      <c r="G20" s="3082"/>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4"/>
      <c r="D21" s="111">
        <f t="shared" si="1"/>
        <v>0</v>
      </c>
      <c r="E21" s="134">
        <f t="shared" si="2"/>
        <v>0</v>
      </c>
      <c r="F21" s="3081"/>
      <c r="G21" s="3082"/>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3"/>
      <c r="G22" s="3084"/>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3"/>
      <c r="G23" s="3084"/>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3"/>
      <c r="G24" s="3084"/>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3"/>
      <c r="G25" s="3084"/>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3"/>
      <c r="G26" s="3084"/>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44793.4</v>
      </c>
      <c r="E27" s="141">
        <f>IF(SUM(E19:E26)='数据-基础表'!BA5,SUM(E19:E26),IF(F27="地上面积有误","面积有误","地下面积有误"))</f>
        <v>103024.827</v>
      </c>
      <c r="F27" s="134">
        <f>IF(SUM(F19:F26)=E8,SUM(F19:F26),"地上面积有误")</f>
        <v>103024.827</v>
      </c>
      <c r="G27" s="112">
        <f>SUM(G19:G26)</f>
        <v>0</v>
      </c>
      <c r="H27" s="962">
        <f>SUM(H19:H26)</f>
        <v>1721.09</v>
      </c>
      <c r="I27" s="963">
        <f>SUM(I19:I26)</f>
        <v>3958.5</v>
      </c>
      <c r="J27" s="1897"/>
      <c r="K27" s="2460">
        <f>SUM(K19:K26)</f>
        <v>0</v>
      </c>
      <c r="L27" s="2461">
        <f>SUM(L19:L26)</f>
        <v>3958.5</v>
      </c>
      <c r="M27" s="2462">
        <f>SUM(M19:M26)</f>
        <v>3958.5</v>
      </c>
      <c r="N27" s="2460">
        <f t="shared" ref="N27:O27" si="10">SUM(N19:N26)</f>
        <v>0</v>
      </c>
      <c r="O27" s="2461">
        <f t="shared" si="10"/>
        <v>0</v>
      </c>
      <c r="P27" s="2463">
        <f>SUM(P19:P26)</f>
        <v>0</v>
      </c>
      <c r="R27" s="2184">
        <f>IF(SUM(R19:R26)=$D$3,SUM(R19:R26),SUM(R19:R26)&amp;"误差"&amp;ROUND(SUM(R19:R26)-$D$3,2))</f>
        <v>46514.49</v>
      </c>
      <c r="S27" s="273">
        <f>IF(SUM(S19:S26)=$E$3,SUM(S19:S26),SUM(S19:S26)&amp;"误差"&amp;ROUND(SUM(S19:S26)-E3,2))</f>
        <v>106983.327</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92" t="s">
        <v>2308</v>
      </c>
      <c r="D29" s="111">
        <f>ROUND($D$3*E29/$E$3,2)</f>
        <v>1721.09</v>
      </c>
      <c r="E29" s="134">
        <f>SUM(F29:G29)</f>
        <v>3958.5</v>
      </c>
      <c r="F29" s="142">
        <f>'数据-基础表'!BM5+'数据-基础表'!BO5</f>
        <v>3958.5</v>
      </c>
      <c r="G29" s="144">
        <f>'数据-基础表'!BN5+'数据-基础表'!BP5</f>
        <v>0</v>
      </c>
      <c r="H29" s="3079"/>
      <c r="I29" s="3079"/>
      <c r="J29" s="3079"/>
      <c r="K29" s="3079"/>
      <c r="L29" s="3079"/>
      <c r="M29" s="3079"/>
      <c r="N29" s="3079"/>
      <c r="O29" s="3079"/>
      <c r="P29" s="3079"/>
    </row>
    <row r="30" spans="1:19">
      <c r="A30" s="137"/>
      <c r="B30" s="111"/>
      <c r="C30" s="145" t="s">
        <v>215</v>
      </c>
      <c r="D30" s="134">
        <f>SUM(D28:D29)</f>
        <v>1721.09</v>
      </c>
      <c r="E30" s="134">
        <f>SUM(E28:E29)</f>
        <v>3958.5</v>
      </c>
      <c r="F30" s="134">
        <f>SUM(F28:F29)</f>
        <v>3958.5</v>
      </c>
      <c r="G30" s="112">
        <f>SUM(G28:G29)</f>
        <v>0</v>
      </c>
      <c r="H30" s="3079"/>
      <c r="I30" s="3079"/>
      <c r="J30" s="3079"/>
      <c r="K30" s="3079"/>
      <c r="L30" s="3079"/>
      <c r="M30" s="3079"/>
      <c r="N30" s="3079"/>
      <c r="O30" s="3079"/>
      <c r="P30" s="3079"/>
    </row>
    <row r="31" spans="1:19" ht="32.25" customHeight="1" thickBot="1">
      <c r="A31" s="1320"/>
      <c r="B31" s="1321" t="s">
        <v>229</v>
      </c>
      <c r="C31" s="2209" t="s">
        <v>2310</v>
      </c>
      <c r="D31" s="1322">
        <f>D27+D30</f>
        <v>46514.49</v>
      </c>
      <c r="E31" s="1322">
        <f>E27+E30</f>
        <v>106983.327</v>
      </c>
      <c r="F31" s="1323">
        <f>F27+F30</f>
        <v>106983.327</v>
      </c>
      <c r="G31" s="1324">
        <f>G27+G30</f>
        <v>0</v>
      </c>
      <c r="H31" s="3079"/>
      <c r="I31" s="3079"/>
      <c r="J31" s="3079"/>
      <c r="K31" s="3079"/>
      <c r="L31" s="3079"/>
      <c r="M31" s="3079"/>
      <c r="N31" s="3079"/>
      <c r="O31" s="3079"/>
      <c r="P31" s="3079"/>
    </row>
    <row r="32" spans="1:19">
      <c r="A32" s="1897"/>
      <c r="B32" s="2221" t="s">
        <v>2309</v>
      </c>
      <c r="C32" s="2488"/>
      <c r="D32" s="1183"/>
      <c r="E32" s="1183">
        <f>SUMIF(C19:C26,"*住宅*",E19:E26)</f>
        <v>103024.827</v>
      </c>
      <c r="F32" s="1183"/>
      <c r="G32" s="1183"/>
      <c r="H32" s="3079"/>
      <c r="I32" s="3079"/>
      <c r="J32" s="3079"/>
      <c r="K32" s="3079"/>
      <c r="L32" s="3079"/>
      <c r="M32" s="3079"/>
      <c r="N32" s="3079"/>
      <c r="O32" s="3079"/>
      <c r="P32" s="3079"/>
    </row>
    <row r="33" spans="4:5">
      <c r="D33" s="1899"/>
    </row>
    <row r="36" spans="4:5">
      <c r="E36" s="1898">
        <f>'[1]数据-汇总表'!$F$19</f>
        <v>27598.885999999999</v>
      </c>
    </row>
    <row r="37" spans="4:5">
      <c r="E37" s="1898">
        <f>E36+F19</f>
        <v>130623.713</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P25" sqref="P25"/>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6"/>
      <c r="AO1" s="3086"/>
      <c r="AP1" s="3086"/>
      <c r="AQ1" s="3086"/>
      <c r="AR1" s="3086"/>
      <c r="AS1" s="3086"/>
      <c r="AT1" s="3086"/>
      <c r="AU1" s="3086"/>
      <c r="AV1" s="3086"/>
      <c r="AW1" s="3086"/>
      <c r="AX1" s="3086"/>
      <c r="AY1" s="3086"/>
      <c r="AZ1" s="3086"/>
    </row>
    <row r="2" spans="1:83" s="1188" customFormat="1" ht="15.75" thickBot="1">
      <c r="A2" s="147" t="s">
        <v>235</v>
      </c>
      <c r="B2" s="2217">
        <f>项目基本情况!D3</f>
        <v>44405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9"/>
      <c r="AO2" s="3089"/>
      <c r="AP2" s="3089"/>
      <c r="AQ2" s="3089"/>
      <c r="AR2" s="3089"/>
      <c r="AS2" s="3089"/>
      <c r="AT2" s="3089"/>
      <c r="AU2" s="3089"/>
      <c r="AV2" s="3089"/>
      <c r="AW2" s="3089"/>
      <c r="AX2" s="3089"/>
      <c r="AY2" s="3089"/>
      <c r="AZ2" s="3089"/>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9"/>
      <c r="AO3" s="3089"/>
      <c r="AP3" s="3089"/>
      <c r="AQ3" s="3089"/>
      <c r="AR3" s="3089"/>
      <c r="AS3" s="3089"/>
      <c r="AT3" s="3089"/>
      <c r="AU3" s="3089"/>
      <c r="AV3" s="3089"/>
      <c r="AW3" s="3089"/>
      <c r="AX3" s="3089"/>
      <c r="AY3" s="3089"/>
      <c r="AZ3" s="3089"/>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0"/>
      <c r="AP5" s="3085" t="s">
        <v>2973</v>
      </c>
      <c r="AQ5" s="3100"/>
      <c r="AR5" s="3100"/>
      <c r="AS5" s="3100"/>
      <c r="AT5" s="3100"/>
      <c r="AU5" s="3100"/>
      <c r="AV5" s="3100"/>
      <c r="AW5" s="3100"/>
      <c r="AX5" s="3100"/>
      <c r="AY5" s="3100"/>
      <c r="AZ5" s="3100"/>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69900</v>
      </c>
      <c r="F6" s="172">
        <f>SUMIF(项目基本情况!D$15:I$15,C6,项目基本情况!D$19:I$19)</f>
        <v>69.84</v>
      </c>
      <c r="G6" s="173">
        <f>IF(ISERROR(ROUND(POWER(1+H6,D6-F6)*(POWER(1+H6,F6)-1)/(POWER(1+H6,D6)-1),3)),0,ROUND(POWER(1+H6,D6-F6)*(POWER(1+H6,F6)-1)/(POWER(1+H6,D6)-1),3))</f>
        <v>1</v>
      </c>
      <c r="H6" s="2735">
        <v>4.4999999999999998E-2</v>
      </c>
      <c r="I6" s="2735">
        <v>0.05</v>
      </c>
      <c r="J6" s="174">
        <v>8.5000000000000006E-2</v>
      </c>
      <c r="K6" s="177">
        <f>SUMIF('数据-汇总表'!C$19:C$33,'数据-取费表'!A6,'数据-汇总表'!E$19:E$33)</f>
        <v>103024.827</v>
      </c>
      <c r="L6" s="2736">
        <v>4200</v>
      </c>
      <c r="M6" s="175">
        <f t="shared" ref="M6:M14" si="0">ROUND(K6*L6/10000,0)</f>
        <v>43270</v>
      </c>
      <c r="N6" s="2737">
        <v>0</v>
      </c>
      <c r="O6" s="175">
        <f>IF($N$5="成新度","——",ROUND(M6*N6,0))</f>
        <v>0</v>
      </c>
      <c r="P6" s="176">
        <f>IF($N$5="成新度","——",M6-O6)</f>
        <v>43270</v>
      </c>
      <c r="Q6" s="2738">
        <v>0.15</v>
      </c>
      <c r="R6" s="177">
        <f>SUMIF('数据-汇总表'!C$19:C$33,A6,'数据-汇总表'!R$19:R$33)</f>
        <v>46514.49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v>1.4999999999999999E-2</v>
      </c>
      <c r="AL6" s="188">
        <v>1.5E-3</v>
      </c>
      <c r="AM6" s="2749">
        <v>0.02</v>
      </c>
      <c r="AN6" s="2246"/>
      <c r="AO6" s="3089"/>
      <c r="AP6" s="1186">
        <f>ROUND(1-1/(1+H6)^F6,3)</f>
        <v>0.95399999999999996</v>
      </c>
      <c r="AQ6" s="3089"/>
      <c r="AR6" s="3089"/>
      <c r="AS6" s="3089"/>
      <c r="AT6" s="3089"/>
      <c r="AU6" s="3089"/>
      <c r="AV6" s="3089"/>
      <c r="AW6" s="3089"/>
      <c r="AX6" s="3089"/>
      <c r="AY6" s="3089"/>
      <c r="AZ6" s="3089"/>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公租房</v>
      </c>
      <c r="B7" s="2216" t="str">
        <f t="shared" ref="B7:B13" si="1">IF(A7=0,"","经营性")</f>
        <v>经营性</v>
      </c>
      <c r="C7" s="171"/>
      <c r="D7" s="2187">
        <f>SUMIF(项目基本情况!D$15:I$15,C7,项目基本情况!D$18:I$18)</f>
        <v>0</v>
      </c>
      <c r="E7" s="2188">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89"/>
      <c r="AP7" s="1186">
        <f t="shared" ref="AP7:AP13" si="8">ROUND(1-1/(1+H7)^F7,3)</f>
        <v>0</v>
      </c>
      <c r="AQ7" s="3089"/>
      <c r="AR7" s="3089"/>
      <c r="AS7" s="3089"/>
      <c r="AT7" s="3089"/>
      <c r="AU7" s="3089"/>
      <c r="AV7" s="3089"/>
      <c r="AW7" s="3089"/>
      <c r="AX7" s="3089"/>
      <c r="AY7" s="3089"/>
      <c r="AZ7" s="3089"/>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89"/>
      <c r="AP8" s="1186">
        <f t="shared" si="8"/>
        <v>0</v>
      </c>
      <c r="AQ8" s="3089"/>
      <c r="AR8" s="3089"/>
      <c r="AS8" s="3089"/>
      <c r="AT8" s="3089"/>
      <c r="AU8" s="3089"/>
      <c r="AV8" s="3089"/>
      <c r="AW8" s="3089"/>
      <c r="AX8" s="3089"/>
      <c r="AY8" s="3089"/>
      <c r="AZ8" s="3089"/>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89"/>
      <c r="AP9" s="1186">
        <f t="shared" si="8"/>
        <v>0</v>
      </c>
      <c r="AQ9" s="3089"/>
      <c r="AR9" s="3089"/>
      <c r="AS9" s="3089"/>
      <c r="AT9" s="3089"/>
      <c r="AU9" s="3089"/>
      <c r="AV9" s="3089"/>
      <c r="AW9" s="3089"/>
      <c r="AX9" s="3089"/>
      <c r="AY9" s="3089"/>
      <c r="AZ9" s="3089"/>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89"/>
      <c r="AP10" s="1186">
        <f t="shared" si="8"/>
        <v>0</v>
      </c>
      <c r="AQ10" s="3089"/>
      <c r="AR10" s="3089"/>
      <c r="AS10" s="3089"/>
      <c r="AT10" s="3089"/>
      <c r="AU10" s="3089"/>
      <c r="AV10" s="3089"/>
      <c r="AW10" s="3089"/>
      <c r="AX10" s="3089"/>
      <c r="AY10" s="3089"/>
      <c r="AZ10" s="3089"/>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89"/>
      <c r="AP11" s="1186">
        <f t="shared" si="8"/>
        <v>0</v>
      </c>
      <c r="AQ11" s="3089"/>
      <c r="AR11" s="3089"/>
      <c r="AS11" s="3089"/>
      <c r="AT11" s="3089"/>
      <c r="AU11" s="3089"/>
      <c r="AV11" s="3089"/>
      <c r="AW11" s="3089"/>
      <c r="AX11" s="3089"/>
      <c r="AY11" s="3089"/>
      <c r="AZ11" s="3089"/>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89"/>
      <c r="AP12" s="1186">
        <f t="shared" si="8"/>
        <v>0</v>
      </c>
      <c r="AQ12" s="3089"/>
      <c r="AR12" s="3089"/>
      <c r="AS12" s="3089"/>
      <c r="AT12" s="3089"/>
      <c r="AU12" s="3089"/>
      <c r="AV12" s="3089"/>
      <c r="AW12" s="3089"/>
      <c r="AX12" s="3089"/>
      <c r="AY12" s="3089"/>
      <c r="AZ12" s="3089"/>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89"/>
      <c r="AP13" s="1186">
        <f t="shared" si="8"/>
        <v>0</v>
      </c>
      <c r="AQ13" s="3089"/>
      <c r="AR13" s="3089"/>
      <c r="AS13" s="3089"/>
      <c r="AT13" s="3089"/>
      <c r="AU13" s="3089"/>
      <c r="AV13" s="3089"/>
      <c r="AW13" s="3089"/>
      <c r="AX13" s="3089"/>
      <c r="AY13" s="3089"/>
      <c r="AZ13" s="3089"/>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89"/>
      <c r="AO14" s="3089"/>
      <c r="AP14" s="3089"/>
      <c r="AQ14" s="3089"/>
      <c r="AR14" s="3089"/>
      <c r="AS14" s="3089"/>
      <c r="AT14" s="3089"/>
      <c r="AU14" s="3089"/>
      <c r="AV14" s="3089"/>
      <c r="AW14" s="3089"/>
      <c r="AX14" s="3089"/>
      <c r="AY14" s="3089"/>
      <c r="AZ14" s="3089"/>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3958.5</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89"/>
      <c r="AO15" s="3089"/>
      <c r="AP15" s="3089"/>
      <c r="AQ15" s="3089"/>
      <c r="AR15" s="3089"/>
      <c r="AS15" s="3089"/>
      <c r="AT15" s="3089"/>
      <c r="AU15" s="3089"/>
      <c r="AV15" s="3089"/>
      <c r="AW15" s="3089"/>
      <c r="AX15" s="3089"/>
      <c r="AY15" s="3089"/>
      <c r="AZ15" s="3089"/>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106983.327</v>
      </c>
      <c r="L16" s="204">
        <f>ROUND(M16*10000/SUM(K6:K14),0)</f>
        <v>4200</v>
      </c>
      <c r="M16" s="204">
        <f>SUM(M6:M14)</f>
        <v>43270</v>
      </c>
      <c r="N16" s="205">
        <f>ROUND(SUMPRODUCT(M6:M14,N6:N14)/M16,3)</f>
        <v>0</v>
      </c>
      <c r="O16" s="204">
        <f>SUM(O6:O14)</f>
        <v>0</v>
      </c>
      <c r="P16" s="204">
        <f>SUM(P6:P14)</f>
        <v>43270</v>
      </c>
      <c r="Q16" s="206">
        <f>ROUND(SUMPRODUCT(Q6:Q13,K6:K13)/SUMPRODUCT((Q6:Q13&gt;0)*(K6:K13)),2)</f>
        <v>0.15</v>
      </c>
      <c r="R16" s="2190">
        <f>SUM(R6:R13)</f>
        <v>46514.49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0.95399999999999996</v>
      </c>
      <c r="AQ16" s="3089"/>
      <c r="AR16" s="3089"/>
      <c r="AS16" s="3089"/>
      <c r="AT16" s="3089"/>
      <c r="AU16" s="3089"/>
      <c r="AV16" s="3089"/>
      <c r="AW16" s="3089"/>
      <c r="AX16" s="3089"/>
      <c r="AY16" s="3089"/>
      <c r="AZ16" s="3089"/>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2985</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297">
        <f>K6</f>
        <v>103024.827</v>
      </c>
      <c r="L21" s="3088">
        <v>4500</v>
      </c>
      <c r="M21" s="3086">
        <f>L21*K21</f>
        <v>463611721.5</v>
      </c>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f>K21*0.3</f>
        <v>30907.448100000001</v>
      </c>
      <c r="L22" s="3088">
        <v>3000</v>
      </c>
      <c r="M22" s="3086">
        <f>L22*K22</f>
        <v>92722344.299999997</v>
      </c>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f>M23/K21</f>
        <v>5399.9999999999991</v>
      </c>
      <c r="M23" s="3086">
        <f>M21+M22</f>
        <v>556334065.79999995</v>
      </c>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160</v>
      </c>
      <c r="C27" s="3102" t="s">
        <v>2986</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150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50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4" t="s">
        <v>2974</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4" t="s">
        <v>2975</v>
      </c>
      <c r="D34" s="3105" t="s">
        <v>2982</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v>200</v>
      </c>
      <c r="C35" s="3104" t="s">
        <v>2976</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2977</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2978</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2978</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1"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27.75" thickBot="1">
      <c r="A40" s="3276" t="s">
        <v>3160</v>
      </c>
      <c r="B40" s="2333">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2983</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2979</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2980</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c r="C47" s="3102" t="s">
        <v>2987</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2979</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2981</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3</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1398</v>
      </c>
      <c r="C53" s="3097" t="s">
        <v>2870</v>
      </c>
      <c r="D53" s="3108" t="s">
        <v>2984</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2871</v>
      </c>
      <c r="B54" s="184"/>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2872</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2873</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2874</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2875</v>
      </c>
      <c r="B58" s="184">
        <v>3</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2876</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2877</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2878</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2879</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2880</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23" t="s">
        <v>1654</v>
      </c>
      <c r="B1" s="3424"/>
      <c r="C1" s="3424"/>
      <c r="D1" s="3424"/>
      <c r="E1" s="3424"/>
      <c r="F1" s="3424"/>
      <c r="G1" s="3424"/>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2887</v>
      </c>
      <c r="D3" s="3124"/>
      <c r="E3" s="3125" t="s">
        <v>1657</v>
      </c>
      <c r="F3" s="3126" t="s">
        <v>1645</v>
      </c>
      <c r="G3" s="3127" t="s">
        <v>2886</v>
      </c>
      <c r="H3" s="3120"/>
      <c r="I3" s="3120"/>
      <c r="J3" s="3120"/>
      <c r="K3" s="3120"/>
      <c r="L3" s="3120"/>
      <c r="M3" s="3120"/>
      <c r="N3" s="3120"/>
      <c r="O3" s="3120"/>
      <c r="P3" s="3120"/>
      <c r="Q3" s="3120"/>
      <c r="R3" s="3120"/>
    </row>
    <row r="4" spans="1:18" ht="40.5">
      <c r="A4" s="3125"/>
      <c r="B4" s="3128" t="s">
        <v>1658</v>
      </c>
      <c r="C4" s="3129" t="s">
        <v>2888</v>
      </c>
      <c r="D4" s="3124"/>
      <c r="E4" s="3130"/>
      <c r="F4" s="3131" t="s">
        <v>1659</v>
      </c>
      <c r="G4" s="3132" t="s">
        <v>2883</v>
      </c>
      <c r="H4" s="3120"/>
      <c r="I4" s="3120"/>
      <c r="J4" s="3120"/>
      <c r="K4" s="3120"/>
      <c r="L4" s="3120"/>
      <c r="M4" s="3120"/>
      <c r="N4" s="3120"/>
      <c r="O4" s="3120"/>
      <c r="P4" s="3120"/>
      <c r="Q4" s="3120"/>
      <c r="R4" s="3120"/>
    </row>
    <row r="5" spans="1:18" ht="41.25">
      <c r="A5" s="3125"/>
      <c r="B5" s="3128" t="s">
        <v>1660</v>
      </c>
      <c r="C5" s="3129" t="s">
        <v>2889</v>
      </c>
      <c r="D5" s="3124"/>
      <c r="E5" s="3130"/>
      <c r="F5" s="3128" t="s">
        <v>2527</v>
      </c>
      <c r="G5" s="3132" t="s">
        <v>2884</v>
      </c>
      <c r="H5" s="3120"/>
      <c r="I5" s="3120"/>
      <c r="J5" s="3120"/>
      <c r="K5" s="3120"/>
      <c r="L5" s="3120"/>
      <c r="M5" s="3120"/>
      <c r="N5" s="3120"/>
      <c r="O5" s="3120"/>
      <c r="P5" s="3120"/>
      <c r="Q5" s="3120"/>
      <c r="R5" s="3120"/>
    </row>
    <row r="6" spans="1:18" ht="40.5">
      <c r="A6" s="3125"/>
      <c r="B6" s="3128" t="s">
        <v>1646</v>
      </c>
      <c r="C6" s="3132" t="s">
        <v>2883</v>
      </c>
      <c r="D6" s="3124"/>
      <c r="E6" s="3130"/>
      <c r="F6" s="3128" t="s">
        <v>2528</v>
      </c>
      <c r="G6" s="3132" t="s">
        <v>2881</v>
      </c>
      <c r="H6" s="3120"/>
      <c r="I6" s="3120"/>
      <c r="J6" s="3120"/>
      <c r="K6" s="3120"/>
      <c r="L6" s="3120"/>
      <c r="M6" s="3120"/>
      <c r="N6" s="3120"/>
      <c r="O6" s="3120"/>
      <c r="P6" s="3120"/>
      <c r="Q6" s="3120"/>
      <c r="R6" s="3120"/>
    </row>
    <row r="7" spans="1:18" ht="27.75" thickBot="1">
      <c r="A7" s="3125"/>
      <c r="B7" s="3128" t="s">
        <v>2527</v>
      </c>
      <c r="C7" s="3132" t="s">
        <v>2884</v>
      </c>
      <c r="D7" s="3133"/>
      <c r="E7" s="3134"/>
      <c r="F7" s="3135" t="s">
        <v>1661</v>
      </c>
      <c r="G7" s="3136" t="s">
        <v>2885</v>
      </c>
      <c r="H7" s="3120"/>
      <c r="I7" s="3120"/>
      <c r="J7" s="3120"/>
      <c r="K7" s="3120"/>
      <c r="L7" s="3120"/>
      <c r="M7" s="3120"/>
      <c r="N7" s="3120"/>
      <c r="O7" s="3120"/>
      <c r="P7" s="3120"/>
      <c r="Q7" s="3120"/>
      <c r="R7" s="3120"/>
    </row>
    <row r="8" spans="1:18">
      <c r="A8" s="3125"/>
      <c r="B8" s="3128" t="s">
        <v>2528</v>
      </c>
      <c r="C8" s="3132" t="s">
        <v>2881</v>
      </c>
      <c r="D8" s="3133"/>
      <c r="E8" s="3133"/>
      <c r="F8" s="3137"/>
      <c r="G8" s="3137"/>
      <c r="H8" s="3120"/>
      <c r="I8" s="3120"/>
      <c r="J8" s="3120"/>
      <c r="K8" s="3120"/>
      <c r="L8" s="3120"/>
      <c r="M8" s="3120"/>
      <c r="N8" s="3120"/>
      <c r="O8" s="3120"/>
      <c r="P8" s="3120"/>
      <c r="Q8" s="3120"/>
      <c r="R8" s="3120"/>
    </row>
    <row r="9" spans="1:18" ht="27">
      <c r="A9" s="3125"/>
      <c r="B9" s="3128" t="s">
        <v>1647</v>
      </c>
      <c r="C9" s="3129" t="s">
        <v>2882</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zoomScale="80" zoomScaleNormal="80" zoomScaleSheetLayoutView="80" workbookViewId="0">
      <selection activeCell="F36" sqref="F36"/>
    </sheetView>
  </sheetViews>
  <sheetFormatPr defaultColWidth="14.625" defaultRowHeight="13.5"/>
  <cols>
    <col min="1" max="1" width="24.375" style="3183" customWidth="1"/>
    <col min="2" max="16384" width="14.625" style="3183"/>
  </cols>
  <sheetData>
    <row r="1" spans="1:10" ht="16.5">
      <c r="A1" s="3182" t="s">
        <v>2823</v>
      </c>
      <c r="B1" s="3182">
        <f>SUM(B14:B23)</f>
        <v>171120.71299999999</v>
      </c>
      <c r="C1" s="3191"/>
      <c r="D1" s="3191"/>
      <c r="E1" s="3191"/>
      <c r="F1" s="3191"/>
      <c r="G1" s="3192"/>
      <c r="H1" s="3192"/>
      <c r="I1" s="3192"/>
      <c r="J1" s="3192"/>
    </row>
    <row r="2" spans="1:10" ht="16.5">
      <c r="A2" s="3182" t="s">
        <v>2824</v>
      </c>
      <c r="B2" s="3182">
        <f>SUM(C14:C23)</f>
        <v>74400.31</v>
      </c>
      <c r="C2" s="3191"/>
      <c r="D2" s="3191"/>
      <c r="E2" s="3191"/>
      <c r="F2" s="3191"/>
      <c r="G2" s="3192"/>
      <c r="H2" s="3192"/>
      <c r="I2" s="3192"/>
      <c r="J2" s="3192"/>
    </row>
    <row r="3" spans="1:10" ht="16.5">
      <c r="A3" s="3182" t="s">
        <v>2825</v>
      </c>
      <c r="B3" s="3184">
        <f>项目基本情况!D3</f>
        <v>44405</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530271</v>
      </c>
      <c r="C5" s="3182">
        <f ca="1">ROUND(B5*10000/$B$1,0)</f>
        <v>30988</v>
      </c>
      <c r="D5" s="3182">
        <f ca="1">ROUND(B5*10000/$B$2,0)</f>
        <v>71273</v>
      </c>
      <c r="E5" s="3191"/>
      <c r="F5" s="3191"/>
      <c r="G5" s="3192"/>
      <c r="H5" s="3192"/>
      <c r="I5" s="3192"/>
      <c r="J5" s="3192"/>
    </row>
    <row r="6" spans="1:10" ht="16.5">
      <c r="A6" s="3182" t="s">
        <v>2831</v>
      </c>
      <c r="B6" s="3182">
        <f ca="1">SUM(G14:G23)</f>
        <v>530271</v>
      </c>
      <c r="C6" s="3182">
        <f t="shared" ref="C6:C8" ca="1" si="0">ROUND(B6*10000/$B$1,0)</f>
        <v>30988</v>
      </c>
      <c r="D6" s="3182">
        <f t="shared" ref="D6:D8" ca="1" si="1">ROUND(B6*10000/$B$2,0)</f>
        <v>71273</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2823</v>
      </c>
      <c r="C13" s="3186" t="s">
        <v>2824</v>
      </c>
      <c r="D13" s="3186" t="s">
        <v>2836</v>
      </c>
      <c r="E13" s="3182" t="s">
        <v>2848</v>
      </c>
      <c r="F13" s="3182" t="s">
        <v>2829</v>
      </c>
      <c r="G13" s="3186" t="s">
        <v>2837</v>
      </c>
      <c r="H13" s="3186" t="s">
        <v>2838</v>
      </c>
      <c r="I13" s="3186" t="s">
        <v>2839</v>
      </c>
      <c r="J13" s="3192"/>
    </row>
    <row r="14" spans="1:10" ht="16.5">
      <c r="A14" s="3187" t="s">
        <v>3177</v>
      </c>
      <c r="B14" s="3188">
        <f>结果表!L38</f>
        <v>106983.327</v>
      </c>
      <c r="C14" s="3188">
        <f>结果表!K38</f>
        <v>46514.49</v>
      </c>
      <c r="D14" s="3188">
        <f ca="1">结果表!C42</f>
        <v>413396</v>
      </c>
      <c r="E14" s="3188">
        <f ca="1">ROUND(D14*10000/B14,0)</f>
        <v>38641</v>
      </c>
      <c r="F14" s="3188">
        <f ca="1">ROUND(D14*10000/C14,0)</f>
        <v>88875</v>
      </c>
      <c r="G14" s="3188">
        <f ca="1">结果表!C44</f>
        <v>413396</v>
      </c>
      <c r="H14" s="3188" t="str">
        <f>结果表!C45</f>
        <v>——</v>
      </c>
      <c r="I14" s="3188" t="str">
        <f>结果表!C46</f>
        <v>——</v>
      </c>
      <c r="J14" s="3192"/>
    </row>
    <row r="15" spans="1:10" ht="16.5">
      <c r="A15" s="3187" t="s">
        <v>3178</v>
      </c>
      <c r="B15" s="3189">
        <f>[2]系统读取表!$B$14</f>
        <v>64137.385999999999</v>
      </c>
      <c r="C15" s="3189">
        <f>[2]系统读取表!$C$14</f>
        <v>27885.82</v>
      </c>
      <c r="D15" s="3189">
        <f ca="1">[3]系统读取表!$D$14</f>
        <v>116875</v>
      </c>
      <c r="E15" s="3188">
        <f t="shared" ref="E15:E23" ca="1" si="2">ROUND(D15*10000/B15,0)</f>
        <v>18223</v>
      </c>
      <c r="F15" s="3188">
        <f t="shared" ref="F15:F23" ca="1" si="3">ROUND(D15*10000/C15,0)</f>
        <v>41912</v>
      </c>
      <c r="G15" s="2754">
        <f ca="1">D15</f>
        <v>116875</v>
      </c>
      <c r="H15" s="2754"/>
      <c r="I15" s="3189"/>
      <c r="J15" s="3192"/>
    </row>
    <row r="16" spans="1:10" ht="16.5">
      <c r="A16" s="3187" t="s">
        <v>2840</v>
      </c>
      <c r="B16" s="3189"/>
      <c r="C16" s="3189"/>
      <c r="D16" s="3189"/>
      <c r="E16" s="3188" t="e">
        <f t="shared" si="2"/>
        <v>#DIV/0!</v>
      </c>
      <c r="F16" s="3188" t="e">
        <f t="shared" si="3"/>
        <v>#DIV/0!</v>
      </c>
      <c r="G16" s="2754"/>
      <c r="H16" s="2754"/>
      <c r="I16" s="3189"/>
      <c r="J16" s="3192"/>
    </row>
    <row r="17" spans="1:10" ht="16.5">
      <c r="A17" s="3187" t="s">
        <v>2841</v>
      </c>
      <c r="B17" s="3189"/>
      <c r="C17" s="3189"/>
      <c r="D17" s="3189"/>
      <c r="E17" s="3188" t="e">
        <f t="shared" si="2"/>
        <v>#DIV/0!</v>
      </c>
      <c r="F17" s="3188" t="e">
        <f t="shared" si="3"/>
        <v>#DIV/0!</v>
      </c>
      <c r="G17" s="2754"/>
      <c r="H17" s="2754"/>
      <c r="I17" s="3189"/>
      <c r="J17" s="3192"/>
    </row>
    <row r="18" spans="1:10" ht="16.5">
      <c r="A18" s="3187" t="s">
        <v>2842</v>
      </c>
      <c r="B18" s="3189"/>
      <c r="C18" s="3189"/>
      <c r="D18" s="3189"/>
      <c r="E18" s="3188" t="e">
        <f t="shared" si="2"/>
        <v>#DIV/0!</v>
      </c>
      <c r="F18" s="3188" t="e">
        <f t="shared" si="3"/>
        <v>#DIV/0!</v>
      </c>
      <c r="G18" s="3189"/>
      <c r="H18" s="3189"/>
      <c r="I18" s="3189"/>
      <c r="J18" s="3192"/>
    </row>
    <row r="19" spans="1:10" ht="16.5">
      <c r="A19" s="3187" t="s">
        <v>2843</v>
      </c>
      <c r="B19" s="3189"/>
      <c r="C19" s="3189"/>
      <c r="D19" s="3189"/>
      <c r="E19" s="3188" t="e">
        <f t="shared" si="2"/>
        <v>#DIV/0!</v>
      </c>
      <c r="F19" s="3188" t="e">
        <f t="shared" si="3"/>
        <v>#DIV/0!</v>
      </c>
      <c r="G19" s="3189"/>
      <c r="H19" s="3189"/>
      <c r="I19" s="3189"/>
      <c r="J19" s="3192"/>
    </row>
    <row r="20" spans="1:10" ht="16.5">
      <c r="A20" s="3187" t="s">
        <v>2844</v>
      </c>
      <c r="B20" s="3189"/>
      <c r="C20" s="3189"/>
      <c r="D20" s="3189"/>
      <c r="E20" s="3188" t="e">
        <f t="shared" si="2"/>
        <v>#DIV/0!</v>
      </c>
      <c r="F20" s="3188" t="e">
        <f t="shared" si="3"/>
        <v>#DIV/0!</v>
      </c>
      <c r="G20" s="3189"/>
      <c r="H20" s="3189"/>
      <c r="I20" s="3189"/>
      <c r="J20" s="3192"/>
    </row>
    <row r="21" spans="1:10" ht="16.5">
      <c r="A21" s="3187" t="s">
        <v>2845</v>
      </c>
      <c r="B21" s="3189"/>
      <c r="C21" s="3189"/>
      <c r="D21" s="3189"/>
      <c r="E21" s="3188" t="e">
        <f t="shared" si="2"/>
        <v>#DIV/0!</v>
      </c>
      <c r="F21" s="3188" t="e">
        <f t="shared" si="3"/>
        <v>#DIV/0!</v>
      </c>
      <c r="G21" s="3189"/>
      <c r="H21" s="3189"/>
      <c r="I21" s="3189"/>
      <c r="J21" s="3192"/>
    </row>
    <row r="22" spans="1:10" ht="16.5">
      <c r="A22" s="3187" t="s">
        <v>2846</v>
      </c>
      <c r="B22" s="3189"/>
      <c r="C22" s="3189"/>
      <c r="D22" s="3189"/>
      <c r="E22" s="3188" t="e">
        <f t="shared" si="2"/>
        <v>#DIV/0!</v>
      </c>
      <c r="F22" s="3188" t="e">
        <f t="shared" si="3"/>
        <v>#DIV/0!</v>
      </c>
      <c r="G22" s="3189"/>
      <c r="H22" s="3189"/>
      <c r="I22" s="3189"/>
      <c r="J22" s="3192"/>
    </row>
    <row r="23" spans="1:10" ht="16.5">
      <c r="A23" s="3187" t="s">
        <v>2847</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f>32500/B1</f>
        <v>0.18992440733927984</v>
      </c>
      <c r="C25" s="3192"/>
      <c r="D25" s="3192"/>
      <c r="E25" s="3192"/>
      <c r="F25" s="3192"/>
      <c r="G25" s="3192"/>
      <c r="H25" s="3192"/>
      <c r="I25" s="3192"/>
      <c r="J25" s="3192"/>
    </row>
    <row r="26" spans="1:10">
      <c r="A26" s="3192"/>
      <c r="B26" s="3192"/>
      <c r="C26" s="3192"/>
      <c r="D26" s="3192"/>
      <c r="E26" s="3192"/>
      <c r="F26" s="3192"/>
      <c r="G26" s="3192"/>
      <c r="H26" s="3192"/>
      <c r="I26" s="3192"/>
      <c r="J26" s="3192"/>
    </row>
    <row r="28" spans="1:10">
      <c r="E28" s="3183">
        <f>620000/(B1-32500)</f>
        <v>4.4726360626928825</v>
      </c>
    </row>
    <row r="29" spans="1:10">
      <c r="B29" s="3183">
        <f ca="1">B5/(B1-Sheet1!K12-Sheet1!K23-32500)</f>
        <v>4.0533247974700126</v>
      </c>
    </row>
    <row r="30" spans="1:10">
      <c r="B30" s="3183">
        <f>(620000-0.8*32500)/(B1-Sheet1!K12-Sheet1!K23-32500)</f>
        <v>4.5404612541458755</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4" zoomScale="90" zoomScaleNormal="100" zoomScaleSheetLayoutView="90" zoomScalePageLayoutView="80" workbookViewId="0">
      <selection activeCell="G25" sqref="G2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9" t="str">
        <f>项目基本情况!K2</f>
        <v>北京市出让国有建设用地使用权</v>
      </c>
      <c r="B2" s="3470"/>
      <c r="C2" s="3471"/>
      <c r="D2" s="3471"/>
      <c r="E2" s="3471"/>
      <c r="F2" s="3471"/>
      <c r="G2" s="3470"/>
      <c r="H2" s="3470"/>
      <c r="I2" s="3472"/>
      <c r="J2" s="1912"/>
      <c r="K2" s="1911"/>
      <c r="L2" s="1911"/>
      <c r="M2" s="1911"/>
      <c r="N2" s="1911"/>
      <c r="O2" s="1911"/>
      <c r="P2" s="1911"/>
      <c r="Q2" s="1911"/>
      <c r="R2" s="1911"/>
      <c r="S2" s="1911"/>
      <c r="T2" s="1911"/>
      <c r="U2" s="1911"/>
      <c r="V2" s="1911"/>
    </row>
    <row r="3" spans="1:22" ht="14.25">
      <c r="A3" s="3480" t="s">
        <v>298</v>
      </c>
      <c r="B3" s="3481"/>
      <c r="C3" s="3481"/>
      <c r="D3" s="3481"/>
      <c r="E3" s="3481"/>
      <c r="F3" s="3481"/>
      <c r="G3" s="3481"/>
      <c r="H3" s="3481"/>
      <c r="I3" s="3481"/>
      <c r="J3" s="1912"/>
      <c r="K3" s="1911"/>
      <c r="L3" s="1911"/>
      <c r="M3" s="1911"/>
      <c r="N3" s="1911"/>
      <c r="O3" s="1911"/>
      <c r="P3" s="1911"/>
      <c r="Q3" s="1911"/>
      <c r="R3" s="1911"/>
      <c r="S3" s="1911"/>
      <c r="T3" s="1911"/>
      <c r="U3" s="1911"/>
      <c r="V3" s="1911"/>
    </row>
    <row r="4" spans="1:22" ht="14.25">
      <c r="A4" s="256" t="s">
        <v>299</v>
      </c>
      <c r="B4" s="257" t="s">
        <v>300</v>
      </c>
      <c r="C4" s="258" t="s">
        <v>3165</v>
      </c>
      <c r="D4" s="258" t="s">
        <v>3166</v>
      </c>
      <c r="E4" s="3444" t="s">
        <v>301</v>
      </c>
      <c r="F4" s="3486"/>
      <c r="G4" s="3486"/>
      <c r="H4" s="3486"/>
      <c r="I4" s="3445"/>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73" t="s">
        <v>302</v>
      </c>
      <c r="B5" s="3474">
        <v>25</v>
      </c>
      <c r="C5" s="3482"/>
      <c r="D5" s="3485"/>
      <c r="E5" s="259" t="s">
        <v>303</v>
      </c>
      <c r="F5" s="260"/>
      <c r="G5" s="260"/>
      <c r="H5" s="260"/>
      <c r="I5" s="261"/>
      <c r="J5" s="1912"/>
      <c r="K5" s="1911"/>
      <c r="L5" s="1911"/>
      <c r="M5" s="1911"/>
      <c r="N5" s="1911"/>
      <c r="O5" s="1911"/>
      <c r="P5" s="1911"/>
      <c r="Q5" s="1911"/>
      <c r="R5" s="1911"/>
      <c r="S5" s="1911"/>
      <c r="T5" s="1911"/>
      <c r="U5" s="1911"/>
      <c r="V5" s="1911"/>
    </row>
    <row r="6" spans="1:22" ht="14.25">
      <c r="A6" s="3473"/>
      <c r="B6" s="3474"/>
      <c r="C6" s="3483"/>
      <c r="D6" s="3485"/>
      <c r="E6" s="259" t="s">
        <v>304</v>
      </c>
      <c r="F6" s="260"/>
      <c r="G6" s="260"/>
      <c r="H6" s="260"/>
      <c r="I6" s="261"/>
      <c r="J6" s="1912"/>
      <c r="K6" s="1911"/>
      <c r="L6" s="1911"/>
      <c r="M6" s="1911"/>
      <c r="N6" s="1911"/>
      <c r="O6" s="1911"/>
      <c r="P6" s="1911"/>
      <c r="Q6" s="1911"/>
      <c r="R6" s="1911"/>
      <c r="S6" s="1911"/>
      <c r="T6" s="1911"/>
      <c r="U6" s="1911"/>
      <c r="V6" s="1911"/>
    </row>
    <row r="7" spans="1:22" ht="14.25">
      <c r="A7" s="3473"/>
      <c r="B7" s="3474"/>
      <c r="C7" s="3484"/>
      <c r="D7" s="3485"/>
      <c r="E7" s="259" t="s">
        <v>305</v>
      </c>
      <c r="F7" s="260"/>
      <c r="G7" s="260"/>
      <c r="H7" s="260"/>
      <c r="I7" s="261"/>
      <c r="J7" s="1912"/>
      <c r="K7" s="1911"/>
      <c r="L7" s="1911"/>
      <c r="M7" s="1911"/>
      <c r="N7" s="1911"/>
      <c r="O7" s="1911"/>
      <c r="P7" s="1911"/>
      <c r="Q7" s="1911"/>
      <c r="R7" s="1911"/>
      <c r="S7" s="1911"/>
      <c r="T7" s="1911"/>
      <c r="U7" s="1911"/>
      <c r="V7" s="1911"/>
    </row>
    <row r="8" spans="1:22" ht="14.25">
      <c r="A8" s="3473" t="s">
        <v>306</v>
      </c>
      <c r="B8" s="3474">
        <v>15</v>
      </c>
      <c r="C8" s="3482"/>
      <c r="D8" s="3485"/>
      <c r="E8" s="259" t="s">
        <v>307</v>
      </c>
      <c r="F8" s="260"/>
      <c r="G8" s="260"/>
      <c r="H8" s="260"/>
      <c r="I8" s="261"/>
      <c r="J8" s="1912"/>
      <c r="K8" s="1911"/>
      <c r="L8" s="1911"/>
      <c r="M8" s="1911"/>
      <c r="N8" s="1911"/>
      <c r="O8" s="1911"/>
      <c r="P8" s="1911"/>
      <c r="Q8" s="1911"/>
      <c r="R8" s="1911"/>
      <c r="S8" s="1911"/>
      <c r="T8" s="1911"/>
      <c r="U8" s="1911"/>
      <c r="V8" s="1911"/>
    </row>
    <row r="9" spans="1:22" ht="14.25">
      <c r="A9" s="3473"/>
      <c r="B9" s="3474"/>
      <c r="C9" s="3484"/>
      <c r="D9" s="3485"/>
      <c r="E9" s="259" t="s">
        <v>308</v>
      </c>
      <c r="F9" s="260"/>
      <c r="G9" s="260"/>
      <c r="H9" s="260"/>
      <c r="I9" s="261"/>
      <c r="J9" s="1912"/>
      <c r="K9" s="1911"/>
      <c r="L9" s="1911"/>
      <c r="M9" s="1911"/>
      <c r="N9" s="1911"/>
      <c r="O9" s="1911"/>
      <c r="P9" s="1911"/>
      <c r="Q9" s="1911"/>
      <c r="R9" s="1911"/>
      <c r="S9" s="1911"/>
      <c r="T9" s="1911"/>
      <c r="U9" s="1911"/>
      <c r="V9" s="1911"/>
    </row>
    <row r="10" spans="1:22" ht="14.25">
      <c r="A10" s="3473" t="s">
        <v>309</v>
      </c>
      <c r="B10" s="3474">
        <v>15</v>
      </c>
      <c r="C10" s="3482"/>
      <c r="D10" s="348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3"/>
      <c r="B11" s="3474"/>
      <c r="C11" s="3484"/>
      <c r="D11" s="348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3" t="s">
        <v>312</v>
      </c>
      <c r="B12" s="3474">
        <v>15</v>
      </c>
      <c r="C12" s="3482"/>
      <c r="D12" s="348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3"/>
      <c r="B13" s="3474"/>
      <c r="C13" s="3484"/>
      <c r="D13" s="348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3" t="s">
        <v>315</v>
      </c>
      <c r="B14" s="3474">
        <v>30</v>
      </c>
      <c r="C14" s="3482">
        <v>5</v>
      </c>
      <c r="D14" s="3485">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3"/>
      <c r="B15" s="3474"/>
      <c r="C15" s="3483"/>
      <c r="D15" s="348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3"/>
      <c r="B16" s="3474"/>
      <c r="C16" s="3484"/>
      <c r="D16" s="348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87" t="s">
        <v>2962</v>
      </c>
      <c r="F18" s="3488"/>
      <c r="G18" s="3488"/>
      <c r="H18" s="3488"/>
      <c r="I18" s="348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395574</v>
      </c>
      <c r="D19" s="269">
        <f ca="1">SUMIF(INDIRECT("'"&amp;D4&amp;"'"&amp;"!A:A"),结果表!B19,INDIRECT("'"&amp;D4&amp;"'"&amp;"!B:B"))</f>
        <v>431218</v>
      </c>
      <c r="E19" s="266" t="s">
        <v>323</v>
      </c>
      <c r="F19" s="267" t="s">
        <v>322</v>
      </c>
      <c r="G19" s="270">
        <f ca="1">ROUND(C19*$C$18+D19*$D$18,0)</f>
        <v>413396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36975</v>
      </c>
      <c r="D20" s="275">
        <f ca="1">SUMIF(INDIRECT("'"&amp;D4&amp;"'"&amp;"!A:A"),结果表!B20,INDIRECT("'"&amp;D4&amp;"'"&amp;"!B:B"))</f>
        <v>40307</v>
      </c>
      <c r="E20" s="272"/>
      <c r="F20" s="273" t="s">
        <v>325</v>
      </c>
      <c r="G20" s="276">
        <f ca="1">ROUND(C20*$C$18+D20*$D$18,0)</f>
        <v>38641</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85043</v>
      </c>
      <c r="D21" s="149">
        <f ca="1">SUMIF(INDIRECT("'"&amp;D4&amp;"'"&amp;"!A:A"),结果表!B21,INDIRECT("'"&amp;D4&amp;"'"&amp;"!B:B"))</f>
        <v>92706</v>
      </c>
      <c r="E21" s="272"/>
      <c r="F21" s="278" t="s">
        <v>327</v>
      </c>
      <c r="G21" s="280">
        <f ca="1">ROUND(C21*$C$18+D21*$D$18,0)</f>
        <v>88875</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9.0107034334915737E-2</v>
      </c>
      <c r="E22" s="282"/>
      <c r="F22" s="283"/>
      <c r="G22" s="284">
        <f ca="1">ROUND(G19/('数据-汇总表'!D3/666.67),0)</f>
        <v>5925</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3"/>
      <c r="B25" s="1274" t="s">
        <v>331</v>
      </c>
      <c r="C25" s="288">
        <f>IF(B30=0,0,C30)</f>
        <v>0</v>
      </c>
      <c r="D25" s="289"/>
      <c r="E25" s="309"/>
      <c r="F25" s="309"/>
      <c r="G25" s="309"/>
      <c r="H25" s="309"/>
      <c r="I25" s="309"/>
      <c r="J25" s="1911"/>
      <c r="K25" s="1208" t="str">
        <f ca="1">项目基本情况!B16&amp;"国有建设用地使用权价格："&amp;O38&amp;"万元"</f>
        <v>出让国有建设用地使用权价格：413396万元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大写金额：人民币肆拾壹亿叁仟叁佰玖拾陆万元整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单位面积地价：88875元/平方米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楼面地价：38641元/平方米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抵押价格：413396万元</v>
      </c>
      <c r="L29" s="1205"/>
      <c r="M29" s="1205"/>
      <c r="N29" s="1205"/>
      <c r="O29" s="1204"/>
      <c r="P29" s="1911"/>
      <c r="V29" s="1911"/>
    </row>
    <row r="30" spans="1:26" ht="18.75" thickBot="1">
      <c r="A30" s="2797" t="s">
        <v>336</v>
      </c>
      <c r="B30" s="307"/>
      <c r="C30" s="307"/>
      <c r="D30" s="308"/>
      <c r="E30" s="3000" t="s">
        <v>2963</v>
      </c>
      <c r="F30" s="309"/>
      <c r="G30" s="309"/>
      <c r="H30" s="309"/>
      <c r="I30" s="309"/>
      <c r="J30" s="1911"/>
      <c r="K30" s="1211" t="str">
        <f ca="1">IF(K29="——","——","大写金额：人民币"&amp;NUMBERSTRING(INT(O39*10000),2)&amp;"元整")</f>
        <v>大写金额：人民币肆拾壹亿叁仟叁佰玖拾陆万元整</v>
      </c>
      <c r="L30" s="1205"/>
      <c r="M30" s="1205"/>
      <c r="N30" s="1205"/>
      <c r="O30" s="1204"/>
      <c r="P30" s="1911"/>
      <c r="V30" s="1911"/>
    </row>
    <row r="31" spans="1:26" ht="24" customHeight="1" thickBot="1">
      <c r="A31" s="3489" t="s">
        <v>2964</v>
      </c>
      <c r="B31" s="3489"/>
      <c r="C31" s="3489"/>
      <c r="D31" s="3489"/>
      <c r="E31" s="3489"/>
      <c r="F31" s="3489"/>
      <c r="G31" s="3489"/>
      <c r="H31" s="3489"/>
      <c r="I31" s="348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1" t="s">
        <v>1679</v>
      </c>
      <c r="C32" s="264">
        <f ca="1">G19-C24</f>
        <v>413396</v>
      </c>
      <c r="D32" s="3002"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38641</v>
      </c>
      <c r="D33" s="1333" t="s">
        <v>1682</v>
      </c>
      <c r="E33" s="344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88875</v>
      </c>
      <c r="D34" s="1335" t="s">
        <v>1682</v>
      </c>
      <c r="E34" s="344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5925</v>
      </c>
      <c r="D35" s="1338" t="s">
        <v>1684</v>
      </c>
      <c r="E35" s="3448"/>
      <c r="F35" s="299" t="s">
        <v>342</v>
      </c>
      <c r="G35" s="969"/>
      <c r="H35" s="968" t="s">
        <v>343</v>
      </c>
      <c r="I35" s="309"/>
      <c r="J35" s="1911"/>
      <c r="K35" s="3452" t="s">
        <v>350</v>
      </c>
      <c r="L35" s="3452" t="s">
        <v>351</v>
      </c>
      <c r="M35" s="1217" t="s">
        <v>352</v>
      </c>
      <c r="N35" s="3452" t="s">
        <v>353</v>
      </c>
      <c r="O35" s="3452" t="s">
        <v>354</v>
      </c>
      <c r="P35" s="1911"/>
      <c r="V35" s="1911"/>
    </row>
    <row r="36" spans="1:26" ht="16.5" customHeight="1">
      <c r="A36" s="301" t="s">
        <v>344</v>
      </c>
      <c r="B36" s="302" t="s">
        <v>333</v>
      </c>
      <c r="C36" s="303" t="s">
        <v>345</v>
      </c>
      <c r="D36" s="303" t="s">
        <v>346</v>
      </c>
      <c r="E36" s="304" t="s">
        <v>347</v>
      </c>
      <c r="F36" s="309"/>
      <c r="G36" s="309"/>
      <c r="H36" s="309"/>
      <c r="I36" s="309"/>
      <c r="J36" s="1913"/>
      <c r="K36" s="3453"/>
      <c r="L36" s="3453"/>
      <c r="M36" s="1219" t="s">
        <v>355</v>
      </c>
      <c r="N36" s="3453"/>
      <c r="O36" s="3453"/>
      <c r="P36" s="1911"/>
      <c r="V36" s="1911"/>
    </row>
    <row r="37" spans="1:26" ht="16.5" customHeight="1" thickBot="1">
      <c r="A37" s="1213" t="s">
        <v>348</v>
      </c>
      <c r="B37" s="305"/>
      <c r="C37" s="292"/>
      <c r="D37" s="292"/>
      <c r="E37" s="293"/>
      <c r="F37" s="309"/>
      <c r="G37" s="309"/>
      <c r="H37" s="309"/>
      <c r="I37" s="309"/>
      <c r="J37" s="1913"/>
      <c r="K37" s="3454"/>
      <c r="L37" s="3454"/>
      <c r="M37" s="1220"/>
      <c r="N37" s="3454"/>
      <c r="O37" s="3454"/>
      <c r="P37" s="1911"/>
      <c r="V37" s="1911"/>
    </row>
    <row r="38" spans="1:26" ht="16.5" customHeight="1" thickBot="1">
      <c r="A38" s="1213" t="s">
        <v>349</v>
      </c>
      <c r="B38" s="305"/>
      <c r="C38" s="292"/>
      <c r="D38" s="292"/>
      <c r="E38" s="293"/>
      <c r="F38" s="309"/>
      <c r="G38" s="309"/>
      <c r="H38" s="309"/>
      <c r="I38" s="309"/>
      <c r="J38" s="1913"/>
      <c r="K38" s="1221">
        <f>'数据-汇总表'!D3</f>
        <v>46514.49</v>
      </c>
      <c r="L38" s="1222">
        <f>'数据-汇总表'!E3</f>
        <v>106983.327</v>
      </c>
      <c r="M38" s="1222">
        <f ca="1">C34</f>
        <v>88875</v>
      </c>
      <c r="N38" s="1222">
        <f ca="1">C33</f>
        <v>38641</v>
      </c>
      <c r="O38" s="1223">
        <f ca="1">C32</f>
        <v>413396</v>
      </c>
      <c r="P38" s="1911"/>
      <c r="V38" s="1911"/>
    </row>
    <row r="39" spans="1:26" ht="16.5" customHeight="1" thickBot="1">
      <c r="A39" s="1218"/>
      <c r="B39" s="306"/>
      <c r="C39" s="307"/>
      <c r="D39" s="307"/>
      <c r="E39" s="308"/>
      <c r="F39" s="309"/>
      <c r="G39" s="309"/>
      <c r="H39" s="309"/>
      <c r="I39" s="309"/>
      <c r="J39" s="1913"/>
      <c r="K39" s="3465" t="str">
        <f>MID(A44,3,LEN(A44)-2)</f>
        <v>抵押价格</v>
      </c>
      <c r="L39" s="3466"/>
      <c r="M39" s="3466"/>
      <c r="N39" s="3467"/>
      <c r="O39" s="1340">
        <f ca="1">C44</f>
        <v>413396</v>
      </c>
      <c r="P39" s="1911"/>
      <c r="V39" s="1911"/>
    </row>
    <row r="40" spans="1:26" ht="19.5" thickBot="1">
      <c r="A40" s="104" t="s">
        <v>864</v>
      </c>
      <c r="B40" s="309"/>
      <c r="C40" s="309"/>
      <c r="D40" s="309"/>
      <c r="E40" s="309"/>
      <c r="F40" s="309"/>
      <c r="G40" s="309"/>
      <c r="H40" s="309"/>
      <c r="I40" s="309"/>
      <c r="J40" s="1913"/>
      <c r="K40" s="3465" t="str">
        <f t="shared" ref="K40:K41" si="0">MID(A45,3,LEN(A45)-2)</f>
        <v/>
      </c>
      <c r="L40" s="3466"/>
      <c r="M40" s="3466"/>
      <c r="N40" s="346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5" t="str">
        <f t="shared" si="0"/>
        <v/>
      </c>
      <c r="L41" s="3466"/>
      <c r="M41" s="3466"/>
      <c r="N41" s="3467"/>
      <c r="O41" s="1340" t="str">
        <f>C46</f>
        <v>——</v>
      </c>
      <c r="P41" s="1911"/>
      <c r="V41" s="1911"/>
    </row>
    <row r="42" spans="1:26" ht="29.25">
      <c r="A42" s="3494" t="s">
        <v>2056</v>
      </c>
      <c r="B42" s="3495"/>
      <c r="C42" s="262">
        <f ca="1">C32</f>
        <v>413396</v>
      </c>
      <c r="D42" s="315">
        <f ca="1">C33</f>
        <v>38641</v>
      </c>
      <c r="E42" s="315">
        <f ca="1">C34</f>
        <v>88875</v>
      </c>
      <c r="F42" s="316">
        <f ca="1">C35</f>
        <v>5925</v>
      </c>
      <c r="G42" s="309"/>
      <c r="H42" s="309"/>
      <c r="I42" s="317"/>
      <c r="J42" s="1913"/>
      <c r="K42" s="1224" t="s">
        <v>361</v>
      </c>
      <c r="L42" s="1930" t="s">
        <v>362</v>
      </c>
      <c r="M42" s="1225" t="s">
        <v>363</v>
      </c>
      <c r="N42" s="1931" t="s">
        <v>364</v>
      </c>
      <c r="O42" s="1932" t="s">
        <v>365</v>
      </c>
      <c r="P42" s="1911"/>
      <c r="V42" s="1911"/>
    </row>
    <row r="43" spans="1:26" ht="30">
      <c r="A43" s="3504" t="s">
        <v>2710</v>
      </c>
      <c r="B43" s="3505"/>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395574</v>
      </c>
      <c r="M43" s="1228">
        <f>C18</f>
        <v>0.5</v>
      </c>
      <c r="N43" s="1229">
        <f ca="1">IF(N42="测算结果/万元",G19,G20)</f>
        <v>413396</v>
      </c>
      <c r="O43" s="1230">
        <f ca="1">IF(O42="最终结果/万元",C32,C33)</f>
        <v>413396</v>
      </c>
      <c r="P43" s="1911"/>
      <c r="V43" s="1911"/>
    </row>
    <row r="44" spans="1:26" ht="30.75" thickBot="1">
      <c r="A44" s="3494" t="str">
        <f>IF(OR(项目基本情况!E8="抵押价格",项目基本情况!E8="已注销及未注销"),"3.抵押价格","——")</f>
        <v>3.抵押价格</v>
      </c>
      <c r="B44" s="3495"/>
      <c r="C44" s="262">
        <f ca="1">IF(A44="——","——",C42-C43)</f>
        <v>413396</v>
      </c>
      <c r="D44" s="315">
        <f ca="1">ROUND(C44*10000/'数据-汇总表'!E3,0)</f>
        <v>38641</v>
      </c>
      <c r="E44" s="315">
        <f ca="1">ROUND(C44*10000/'数据-汇总表'!D3,0)</f>
        <v>88875</v>
      </c>
      <c r="F44" s="316">
        <f ca="1">ROUND(C44/('数据-汇总表'!D3/666.67),0)</f>
        <v>5925</v>
      </c>
      <c r="G44" s="309"/>
      <c r="H44" s="309"/>
      <c r="I44" s="317"/>
      <c r="J44" s="1913"/>
      <c r="K44" s="1231" t="str">
        <f>D4</f>
        <v>剩余法-待开发</v>
      </c>
      <c r="L44" s="1232">
        <f ca="1">IF(L42="估价结果/万元",D19,D20)</f>
        <v>431218</v>
      </c>
      <c r="M44" s="1233">
        <f>D18</f>
        <v>0.5</v>
      </c>
      <c r="N44" s="1234"/>
      <c r="O44" s="1235"/>
      <c r="P44" s="1911"/>
      <c r="V44" s="1911"/>
    </row>
    <row r="45" spans="1:26" ht="15">
      <c r="A45" s="3499" t="str">
        <f>IF(项目基本情况!E8="已注销及未注销","4.抵押担保权已注销时的抵押价格",IF(项目基本情况!E8="已注销","3.抵押担保权已注销时的抵押价格","——"))</f>
        <v>——</v>
      </c>
      <c r="B45" s="350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6" t="str">
        <f>IF(项目基本情况!E9="抵押净值",IF(A45="——","4.抵押净值","5.抵押净值"),"——")</f>
        <v>——</v>
      </c>
      <c r="B46" s="349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7" t="s">
        <v>374</v>
      </c>
      <c r="B63" s="3458"/>
      <c r="C63" s="3459"/>
      <c r="D63" s="339">
        <f ca="1">ROUND(C42*F63,0)</f>
        <v>413396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1" t="s">
        <v>378</v>
      </c>
      <c r="B64" s="3502"/>
      <c r="C64" s="3502"/>
      <c r="D64" s="3502"/>
      <c r="E64" s="3502"/>
      <c r="F64" s="3502"/>
      <c r="G64" s="350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98" t="s">
        <v>386</v>
      </c>
      <c r="B66" s="3464"/>
      <c r="C66" s="3464"/>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25" t="s">
        <v>385</v>
      </c>
      <c r="M66" s="3426"/>
      <c r="N66" s="2312"/>
      <c r="O66" s="2313"/>
      <c r="P66" s="2314"/>
      <c r="Q66" s="1911"/>
      <c r="R66" s="1911"/>
      <c r="S66" s="1911"/>
      <c r="T66" s="1911"/>
      <c r="U66" s="1911"/>
      <c r="V66" s="1911"/>
    </row>
    <row r="67" spans="1:22" ht="25.5" customHeight="1">
      <c r="A67" s="350" t="s">
        <v>389</v>
      </c>
      <c r="B67" s="3476" t="s">
        <v>390</v>
      </c>
      <c r="C67" s="3476"/>
      <c r="D67" s="351">
        <v>0</v>
      </c>
      <c r="E67" s="41" t="s">
        <v>391</v>
      </c>
      <c r="F67" s="62" t="s">
        <v>21</v>
      </c>
      <c r="G67" s="3460"/>
      <c r="H67" s="3003" t="s">
        <v>2965</v>
      </c>
      <c r="I67" s="3005"/>
      <c r="J67" s="1918"/>
      <c r="K67" s="1890">
        <v>2</v>
      </c>
      <c r="L67" s="3430" t="s">
        <v>388</v>
      </c>
      <c r="M67" s="3430"/>
      <c r="N67" s="1278">
        <f>'数据-取费表'!B2</f>
        <v>44405</v>
      </c>
      <c r="O67" s="1278"/>
      <c r="P67" s="1278"/>
      <c r="Q67" s="1911"/>
      <c r="R67" s="1911"/>
      <c r="S67" s="1911"/>
      <c r="T67" s="1911"/>
      <c r="U67" s="1911"/>
      <c r="V67" s="1911"/>
    </row>
    <row r="68" spans="1:22" ht="25.5" customHeight="1">
      <c r="A68" s="352"/>
      <c r="B68" s="3476" t="s">
        <v>393</v>
      </c>
      <c r="C68" s="3476"/>
      <c r="D68" s="353"/>
      <c r="E68" s="77"/>
      <c r="F68" s="354"/>
      <c r="G68" s="3461"/>
      <c r="H68" s="3004" t="s">
        <v>2966</v>
      </c>
      <c r="I68" s="3005"/>
      <c r="J68" s="1918"/>
      <c r="K68" s="1890">
        <v>3</v>
      </c>
      <c r="L68" s="3430" t="s">
        <v>392</v>
      </c>
      <c r="M68" s="3430"/>
      <c r="N68" s="1246">
        <f ca="1">C42</f>
        <v>413396</v>
      </c>
      <c r="O68" s="1246"/>
      <c r="P68" s="1246"/>
      <c r="Q68" s="1911"/>
      <c r="R68" s="1911"/>
      <c r="S68" s="1911"/>
      <c r="T68" s="1911"/>
      <c r="U68" s="1911"/>
      <c r="V68" s="1911"/>
    </row>
    <row r="69" spans="1:22" ht="23.45" customHeight="1">
      <c r="A69" s="355"/>
      <c r="B69" s="3476" t="s">
        <v>394</v>
      </c>
      <c r="C69" s="3476"/>
      <c r="D69" s="356"/>
      <c r="E69" s="73"/>
      <c r="F69" s="354"/>
      <c r="G69" s="3462"/>
      <c r="H69" s="3004" t="s">
        <v>2967</v>
      </c>
      <c r="I69" s="3005"/>
      <c r="J69" s="1918"/>
      <c r="K69" s="1247">
        <v>4</v>
      </c>
      <c r="L69" s="3431" t="s">
        <v>2860</v>
      </c>
      <c r="M69" s="3432"/>
      <c r="N69" s="1248">
        <f ca="1">C44</f>
        <v>413396</v>
      </c>
      <c r="O69" s="1248"/>
      <c r="P69" s="1248"/>
      <c r="Q69" s="1911"/>
      <c r="R69" s="1911"/>
      <c r="S69" s="1911"/>
      <c r="T69" s="1911"/>
      <c r="U69" s="1911"/>
      <c r="V69" s="1911"/>
    </row>
    <row r="70" spans="1:22" ht="24" customHeight="1">
      <c r="A70" s="357" t="s">
        <v>395</v>
      </c>
      <c r="B70" s="3476" t="s">
        <v>396</v>
      </c>
      <c r="C70" s="3476"/>
      <c r="D70" s="356">
        <f ca="1">ROUND(D63*'数据-取费表'!B41/(1+'数据-取费表'!C42),0)</f>
        <v>22048</v>
      </c>
      <c r="E70" s="17" t="s">
        <v>397</v>
      </c>
      <c r="F70" s="358">
        <f>'数据-取费表'!B41</f>
        <v>5.6000000000000001E-2</v>
      </c>
      <c r="G70" s="359"/>
      <c r="H70" s="309"/>
      <c r="I70" s="1245"/>
      <c r="J70" s="1918"/>
      <c r="K70" s="2762"/>
      <c r="L70" s="2763"/>
      <c r="M70" s="2763"/>
      <c r="N70" s="2764" t="s">
        <v>2864</v>
      </c>
      <c r="O70" s="2763"/>
      <c r="P70" s="2765"/>
      <c r="Q70" s="1911"/>
      <c r="R70" s="1911"/>
      <c r="S70" s="1911"/>
      <c r="T70" s="1911"/>
      <c r="U70" s="1911"/>
      <c r="V70" s="1911"/>
    </row>
    <row r="71" spans="1:22" ht="12" customHeight="1">
      <c r="A71" s="357" t="s">
        <v>403</v>
      </c>
      <c r="B71" s="3475" t="s">
        <v>2996</v>
      </c>
      <c r="C71" s="3492"/>
      <c r="D71" s="356">
        <f ca="1">ROUND(D63*'数据-取费表'!B41/(1+'数据-取费表'!C42),0)</f>
        <v>22048</v>
      </c>
      <c r="E71" s="17" t="s">
        <v>397</v>
      </c>
      <c r="F71" s="358">
        <f>'数据-取费表'!B41</f>
        <v>5.6000000000000001E-2</v>
      </c>
      <c r="G71" s="359"/>
      <c r="H71" s="309"/>
      <c r="I71" s="1245"/>
      <c r="J71" s="1918"/>
      <c r="K71" s="2761" t="s">
        <v>398</v>
      </c>
      <c r="L71" s="3433" t="s">
        <v>399</v>
      </c>
      <c r="M71" s="3433"/>
      <c r="N71" s="2761" t="s">
        <v>400</v>
      </c>
      <c r="O71" s="2761" t="s">
        <v>401</v>
      </c>
      <c r="P71" s="2761" t="s">
        <v>402</v>
      </c>
      <c r="Q71" s="1911"/>
      <c r="R71" s="1911"/>
      <c r="S71" s="1911"/>
      <c r="T71" s="1911"/>
      <c r="U71" s="1911"/>
      <c r="V71" s="1911"/>
    </row>
    <row r="72" spans="1:22" ht="12" customHeight="1">
      <c r="A72" s="357" t="s">
        <v>405</v>
      </c>
      <c r="B72" s="3475" t="s">
        <v>2997</v>
      </c>
      <c r="C72" s="3492"/>
      <c r="D72" s="356">
        <f ca="1">C86</f>
        <v>22048</v>
      </c>
      <c r="E72" s="73" t="s">
        <v>406</v>
      </c>
      <c r="F72" s="358">
        <f>'数据-取费表'!B41</f>
        <v>5.6000000000000001E-2</v>
      </c>
      <c r="G72" s="359"/>
      <c r="H72" s="1251"/>
      <c r="I72" s="1245"/>
      <c r="J72" s="1918"/>
      <c r="K72" s="1890">
        <v>1</v>
      </c>
      <c r="L72" s="3429" t="s">
        <v>404</v>
      </c>
      <c r="M72" s="3429"/>
      <c r="N72" s="1249" t="b">
        <f>D66</f>
        <v>0</v>
      </c>
      <c r="O72" s="1773" t="str">
        <f>E66</f>
        <v>销售额×税（费）率</v>
      </c>
      <c r="P72" s="1250">
        <f>F66</f>
        <v>5.6000000000000001E-2</v>
      </c>
      <c r="Q72" s="1911"/>
      <c r="R72" s="1911"/>
      <c r="S72" s="1911"/>
      <c r="T72" s="1911"/>
      <c r="U72" s="1911"/>
      <c r="V72" s="1911"/>
    </row>
    <row r="73" spans="1:22" ht="24" customHeight="1">
      <c r="A73" s="3463" t="s">
        <v>408</v>
      </c>
      <c r="B73" s="3464"/>
      <c r="C73" s="3464"/>
      <c r="D73" s="360">
        <f ca="1">IF(H73="个人住宅",0,ROUND(D63*I73,0))</f>
        <v>207</v>
      </c>
      <c r="E73" s="17" t="s">
        <v>409</v>
      </c>
      <c r="F73" s="358" t="str">
        <f>IF(H73="正常",I73,"免征")</f>
        <v>免征</v>
      </c>
      <c r="G73" s="359"/>
      <c r="H73" s="189"/>
      <c r="I73" s="358">
        <f>'数据-取费表'!B49</f>
        <v>5.0000000000000001E-4</v>
      </c>
      <c r="J73" s="1918"/>
      <c r="K73" s="1890">
        <v>2</v>
      </c>
      <c r="L73" s="3429" t="s">
        <v>407</v>
      </c>
      <c r="M73" s="3429"/>
      <c r="N73" s="1249">
        <f t="shared" ref="N73:P74" ca="1" si="1">D73</f>
        <v>207</v>
      </c>
      <c r="O73" s="1773" t="str">
        <f t="shared" si="1"/>
        <v>销售额×税（费）率</v>
      </c>
      <c r="P73" s="1250" t="str">
        <f t="shared" si="1"/>
        <v>免征</v>
      </c>
      <c r="Q73" s="1911"/>
      <c r="R73" s="1911"/>
      <c r="S73" s="1911"/>
      <c r="T73" s="1911"/>
      <c r="U73" s="1911"/>
      <c r="V73" s="1911"/>
    </row>
    <row r="74" spans="1:22" ht="24.75">
      <c r="A74" s="3463" t="s">
        <v>411</v>
      </c>
      <c r="B74" s="3464"/>
      <c r="C74" s="3464"/>
      <c r="D74" s="360">
        <f ca="1">IF(H74="个人住宅",D75,D76)</f>
        <v>233982</v>
      </c>
      <c r="E74" s="17" t="s">
        <v>412</v>
      </c>
      <c r="F74" s="358" t="str">
        <f>IF(H74="正常",F76,"免征")</f>
        <v>免征</v>
      </c>
      <c r="G74" s="970" t="s">
        <v>413</v>
      </c>
      <c r="H74" s="361"/>
      <c r="I74" s="42"/>
      <c r="J74" s="1918"/>
      <c r="K74" s="1890">
        <v>3</v>
      </c>
      <c r="L74" s="3429" t="s">
        <v>410</v>
      </c>
      <c r="M74" s="3429"/>
      <c r="N74" s="1249">
        <f t="shared" ca="1" si="1"/>
        <v>233982</v>
      </c>
      <c r="O74" s="1773" t="str">
        <f t="shared" si="1"/>
        <v>增值额×税（费）率</v>
      </c>
      <c r="P74" s="1252" t="str">
        <f t="shared" si="1"/>
        <v>免征</v>
      </c>
      <c r="Q74" s="1911"/>
      <c r="R74" s="1911"/>
      <c r="S74" s="1911"/>
      <c r="T74" s="1911"/>
      <c r="U74" s="1911"/>
      <c r="V74" s="1911"/>
    </row>
    <row r="75" spans="1:22" ht="12.75">
      <c r="A75" s="357" t="s">
        <v>414</v>
      </c>
      <c r="B75" s="3444" t="s">
        <v>415</v>
      </c>
      <c r="C75" s="3445"/>
      <c r="D75" s="362">
        <v>0</v>
      </c>
      <c r="E75" s="41" t="s">
        <v>416</v>
      </c>
      <c r="F75" s="363"/>
      <c r="G75" s="359"/>
      <c r="H75" s="42"/>
      <c r="I75" s="42"/>
      <c r="J75" s="1918"/>
      <c r="K75" s="2755">
        <f>IF(H77="非个人房产","",4)</f>
        <v>4</v>
      </c>
      <c r="L75" s="3429" t="str">
        <f>IF(H77="非个人房产","——","个人所得税")</f>
        <v>个人所得税</v>
      </c>
      <c r="M75" s="3429"/>
      <c r="N75" s="1253">
        <f>D77</f>
        <v>0</v>
      </c>
      <c r="O75" s="1786" t="str">
        <f>E77</f>
        <v>差额计税</v>
      </c>
      <c r="P75" s="1254">
        <f>F77</f>
        <v>0.01</v>
      </c>
      <c r="Q75" s="1911"/>
      <c r="R75" s="1911"/>
      <c r="S75" s="1911"/>
      <c r="T75" s="1911"/>
      <c r="U75" s="1911"/>
      <c r="V75" s="1911"/>
    </row>
    <row r="76" spans="1:22" ht="24.75">
      <c r="A76" s="357" t="s">
        <v>395</v>
      </c>
      <c r="B76" s="3444" t="s">
        <v>418</v>
      </c>
      <c r="C76" s="3486"/>
      <c r="D76" s="360">
        <f ca="1">IF(H76="转让取得",C99,C115)</f>
        <v>233982</v>
      </c>
      <c r="E76" s="17" t="s">
        <v>419</v>
      </c>
      <c r="F76" s="53" t="s">
        <v>21</v>
      </c>
      <c r="G76" s="359"/>
      <c r="H76" s="361"/>
      <c r="I76" s="42"/>
      <c r="J76" s="1918"/>
      <c r="K76" s="2755" t="str">
        <f>IF(项目基本情况!K6="上海银行",IF(K75="",4,K75+1),"")</f>
        <v/>
      </c>
      <c r="L76" s="3440" t="str">
        <f>IF(项目基本情况!K6="上海银行","其他处置费用","")</f>
        <v/>
      </c>
      <c r="M76" s="3441"/>
      <c r="N76" s="1249" t="str">
        <f>IF(项目基本情况!K6="上海银行",N89,"")</f>
        <v/>
      </c>
      <c r="O76" s="3442" t="str">
        <f>IF(项目基本情况!K6="上海银行","包含处置中涉及的律师、诉讼、拍卖、评估等费用","")</f>
        <v/>
      </c>
      <c r="P76" s="3443"/>
      <c r="Q76" s="1911"/>
      <c r="R76" s="1911"/>
      <c r="S76" s="1911"/>
      <c r="T76" s="1911"/>
      <c r="U76" s="1911"/>
      <c r="V76" s="1911"/>
    </row>
    <row r="77" spans="1:22" ht="24.75" thickBot="1">
      <c r="A77" s="3455" t="s">
        <v>421</v>
      </c>
      <c r="B77" s="3456"/>
      <c r="C77" s="3456"/>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2968</v>
      </c>
      <c r="J77" s="1918"/>
      <c r="K77" s="3451">
        <f>IF(AND(K75="",K76=""),4,IF(项目基本情况!K6="上海银行",K76+1,K75+1))</f>
        <v>5</v>
      </c>
      <c r="L77" s="3429" t="s">
        <v>2861</v>
      </c>
      <c r="M77" s="2760" t="s">
        <v>417</v>
      </c>
      <c r="N77" s="1255"/>
      <c r="O77" s="1256">
        <f ca="1">SUMIF(N72:N76,"&lt;9e307")</f>
        <v>234189</v>
      </c>
      <c r="P77" s="1257"/>
      <c r="Q77" s="2758">
        <f ca="1">O77/N69</f>
        <v>0.56650040155202275</v>
      </c>
      <c r="R77" s="1911"/>
      <c r="S77" s="1911"/>
      <c r="T77" s="1911"/>
      <c r="U77" s="1911"/>
      <c r="V77" s="1911"/>
    </row>
    <row r="78" spans="1:22" ht="12" customHeight="1">
      <c r="A78" s="1258"/>
      <c r="B78" s="309"/>
      <c r="C78" s="309"/>
      <c r="D78" s="309"/>
      <c r="E78" s="42"/>
      <c r="F78" s="42"/>
      <c r="G78" s="42"/>
      <c r="H78" s="990"/>
      <c r="I78" s="309"/>
      <c r="J78" s="1918"/>
      <c r="K78" s="3451"/>
      <c r="L78" s="3429"/>
      <c r="M78" s="2760" t="s">
        <v>420</v>
      </c>
      <c r="N78" s="1255"/>
      <c r="O78" s="1256" t="str">
        <f ca="1">NUMBERSTRING(INT(O77*10000),2)&amp;"元整"</f>
        <v>贰拾叁亿肆仟壹佰捌拾玖万元整</v>
      </c>
      <c r="P78" s="1257"/>
      <c r="Q78" s="1911"/>
      <c r="R78" s="1911"/>
      <c r="S78" s="1911"/>
      <c r="T78" s="1911"/>
      <c r="U78" s="1911"/>
      <c r="V78" s="1911"/>
    </row>
    <row r="79" spans="1:22" ht="13.5" thickBot="1">
      <c r="A79" s="3506" t="s">
        <v>422</v>
      </c>
      <c r="B79" s="3506"/>
      <c r="C79" s="3506"/>
      <c r="D79" s="3506"/>
      <c r="E79" s="3506"/>
      <c r="F79" s="42"/>
      <c r="G79" s="42"/>
      <c r="H79" s="990"/>
      <c r="I79" s="309"/>
      <c r="J79" s="1918"/>
      <c r="K79" s="3427">
        <f>K77+1</f>
        <v>6</v>
      </c>
      <c r="L79" s="3429" t="s">
        <v>2862</v>
      </c>
      <c r="M79" s="2760" t="s">
        <v>417</v>
      </c>
      <c r="N79" s="1255"/>
      <c r="O79" s="1256">
        <f ca="1">N69-O77</f>
        <v>179207</v>
      </c>
      <c r="P79" s="1257"/>
      <c r="Q79" s="1911"/>
      <c r="R79" s="1911"/>
      <c r="S79" s="1911"/>
      <c r="T79" s="1911"/>
      <c r="U79" s="1911"/>
      <c r="V79" s="1911"/>
    </row>
    <row r="80" spans="1:22" ht="25.5">
      <c r="A80" s="3437" t="s">
        <v>423</v>
      </c>
      <c r="B80" s="3438"/>
      <c r="C80" s="981"/>
      <c r="D80" s="981" t="s">
        <v>424</v>
      </c>
      <c r="E80" s="364" t="s">
        <v>425</v>
      </c>
      <c r="F80" s="42"/>
      <c r="G80" s="42"/>
      <c r="H80" s="990"/>
      <c r="I80" s="309"/>
      <c r="J80" s="1911"/>
      <c r="K80" s="3428"/>
      <c r="L80" s="3429"/>
      <c r="M80" s="2760" t="s">
        <v>420</v>
      </c>
      <c r="N80" s="1255"/>
      <c r="O80" s="1256" t="str">
        <f ca="1">NUMBERSTRING(INT(O79*10000),2)&amp;"元整"</f>
        <v>壹拾柒亿玖仟贰佰零柒万元整</v>
      </c>
      <c r="P80" s="1257"/>
      <c r="Q80" s="1911"/>
      <c r="R80" s="1911"/>
      <c r="S80" s="1911"/>
      <c r="T80" s="1911"/>
      <c r="U80" s="1911"/>
      <c r="V80" s="1911"/>
    </row>
    <row r="81" spans="1:26" ht="13.5" thickBot="1">
      <c r="A81" s="375" t="s">
        <v>1814</v>
      </c>
      <c r="B81" s="365" t="s">
        <v>426</v>
      </c>
      <c r="C81" s="366">
        <f ca="1">ROUND((C82+C83)/(1+'数据-取费表'!C42),0)</f>
        <v>393710</v>
      </c>
      <c r="D81" s="367"/>
      <c r="E81" s="368"/>
      <c r="F81" s="42"/>
      <c r="G81" s="42"/>
      <c r="H81" s="990"/>
      <c r="I81" s="309"/>
      <c r="J81" s="1911"/>
      <c r="K81" s="2755">
        <f>K79+1</f>
        <v>7</v>
      </c>
      <c r="L81" s="3449" t="s">
        <v>2863</v>
      </c>
      <c r="M81" s="3450"/>
      <c r="N81" s="1259"/>
      <c r="O81" s="1260">
        <f ca="1">ROUND(O79*10000/'数据-汇总表'!E3,0)</f>
        <v>16751</v>
      </c>
      <c r="P81" s="1261"/>
      <c r="Q81" s="1911"/>
      <c r="R81" s="1911"/>
      <c r="S81" s="1911"/>
      <c r="T81" s="1911"/>
      <c r="U81" s="1911"/>
      <c r="V81" s="1911"/>
    </row>
    <row r="82" spans="1:26" ht="13.5" thickTop="1">
      <c r="A82" s="369" t="s">
        <v>1815</v>
      </c>
      <c r="B82" s="370" t="s">
        <v>427</v>
      </c>
      <c r="C82" s="371">
        <f ca="1">D63</f>
        <v>413396</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39" t="s">
        <v>2851</v>
      </c>
      <c r="L83" s="2766" t="s">
        <v>2852</v>
      </c>
      <c r="M83" s="2756">
        <f ca="1">IF(N69&gt;10000,N69*0.5%,IF(AND(N69&gt;1000,N69&lt;=10000),N69*1%,IF(AND(N69&gt;100,N69&lt;=1000),N69*3%,IF(AND(N69&gt;10,N69&lt;=100),N69*5%,N69*8%))))</f>
        <v>2066.98</v>
      </c>
      <c r="N83" s="53">
        <f ca="1">ROUND(M83,1)</f>
        <v>2067</v>
      </c>
      <c r="O83" s="2759"/>
      <c r="P83" s="1911"/>
      <c r="Q83" s="1911"/>
      <c r="R83" s="1911"/>
      <c r="S83" s="1911"/>
      <c r="T83" s="1911"/>
      <c r="U83" s="1911"/>
      <c r="V83" s="1911"/>
    </row>
    <row r="84" spans="1:26" ht="12.75">
      <c r="A84" s="375" t="s">
        <v>1817</v>
      </c>
      <c r="B84" s="376" t="s">
        <v>429</v>
      </c>
      <c r="C84" s="377"/>
      <c r="D84" s="378" t="s">
        <v>19</v>
      </c>
      <c r="E84" s="2784" t="s">
        <v>2906</v>
      </c>
      <c r="F84" s="42"/>
      <c r="G84" s="42"/>
      <c r="H84" s="990"/>
      <c r="I84" s="309"/>
      <c r="J84" s="1911"/>
      <c r="K84" s="3439"/>
      <c r="L84" s="2766" t="s">
        <v>2853</v>
      </c>
      <c r="M84" s="2756">
        <f ca="1">IF(N69&gt;2000,N69*0.5%,IF(AND(N69&gt;1000,N69&lt;=2000),N69*0.6%,IF(AND(N69&gt;500,N69&lt;=1000),N69*0.7%,IF(AND(N69&gt;200,N69&lt;=500),N69*0.8%,IF(AND(N69&gt;100,N69&lt;=200),N69*0.9%,IF(AND(N69&gt;50,N69&lt;=100),N69*1%,IF(AND(N69&gt;20,N69&lt;=50),N69*1.5%,IF(AND(N69&gt;10,N69&lt;=20),N69*2%,IF(AND(N69&gt;1,N69&lt;=10),N69*2.5%)))))))))</f>
        <v>2066.98</v>
      </c>
      <c r="N84" s="53">
        <f t="shared" ref="N84:N85" ca="1" si="2">ROUND(M84,1)</f>
        <v>2067</v>
      </c>
      <c r="O84" s="1911" t="s">
        <v>2854</v>
      </c>
      <c r="P84" s="1911"/>
      <c r="Q84" s="1911"/>
      <c r="R84" s="1911"/>
      <c r="S84" s="1911"/>
      <c r="T84" s="1911"/>
      <c r="U84" s="1911"/>
      <c r="V84" s="1911"/>
    </row>
    <row r="85" spans="1:26" ht="12.75">
      <c r="A85" s="375" t="s">
        <v>1818</v>
      </c>
      <c r="B85" s="376" t="s">
        <v>430</v>
      </c>
      <c r="C85" s="379">
        <f ca="1">C81-C84</f>
        <v>393710</v>
      </c>
      <c r="D85" s="372" t="s">
        <v>19</v>
      </c>
      <c r="E85" s="373"/>
      <c r="F85" s="42"/>
      <c r="G85" s="42"/>
      <c r="H85" s="990"/>
      <c r="I85" s="309"/>
      <c r="J85" s="1911"/>
      <c r="K85" s="3439"/>
      <c r="L85" s="2766" t="s">
        <v>2855</v>
      </c>
      <c r="M85" s="2756">
        <f ca="1">IF(N69&gt;1000,N69*0.1%,IF(AND(N69&gt;500,N69&lt;=1000),N69*0.5%,IF(AND(N69&gt;50,N69&lt;=500),N69*1%,IF(AND(N69&gt;1,N69&lt;=50),N69*1.5%))))</f>
        <v>413.39600000000002</v>
      </c>
      <c r="N85" s="53">
        <f t="shared" ca="1" si="2"/>
        <v>413.4</v>
      </c>
      <c r="O85" s="1911" t="s">
        <v>2854</v>
      </c>
      <c r="P85" s="1911"/>
      <c r="Q85" s="1911"/>
      <c r="R85" s="1911"/>
      <c r="S85" s="1911"/>
      <c r="T85" s="1911"/>
      <c r="U85" s="1911"/>
      <c r="V85" s="1911"/>
    </row>
    <row r="86" spans="1:26" ht="13.5" thickBot="1">
      <c r="A86" s="380" t="s">
        <v>1819</v>
      </c>
      <c r="B86" s="381" t="s">
        <v>431</v>
      </c>
      <c r="C86" s="382">
        <f ca="1">IF(C85&lt;=0,0,ROUND(C85*D86,0))</f>
        <v>22048</v>
      </c>
      <c r="D86" s="383">
        <f>'数据-取费表'!B41</f>
        <v>5.6000000000000001E-2</v>
      </c>
      <c r="E86" s="384"/>
      <c r="F86" s="42"/>
      <c r="G86" s="42"/>
      <c r="H86" s="990"/>
      <c r="I86" s="309"/>
      <c r="J86" s="1911"/>
      <c r="K86" s="3439"/>
      <c r="L86" s="2766" t="s">
        <v>2856</v>
      </c>
      <c r="M86" s="2756">
        <f ca="1">N69*0.5%</f>
        <v>2066.98</v>
      </c>
      <c r="N86" s="53">
        <f ca="1">IF(M86&gt;0.5,0.5,ROUND(M86,0))</f>
        <v>0.5</v>
      </c>
      <c r="O86" s="1911" t="s">
        <v>2857</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39"/>
      <c r="L87" s="2766" t="s">
        <v>2858</v>
      </c>
      <c r="M87" s="2756">
        <f ca="1">IF(N69&gt;=10000,(8.25+(N69-10000)*0.01%),IF(AND(N69&gt;=8000,N69&lt;10000),(7.85+(N69-8000)*0.02%),IF(AND(N69&gt;=5000,N69&lt;8000),(6.65+(N69-5000)*0.04%),IF(AND(N69&gt;=2000,N69&lt;5000),(4.25+(PN69-2000)*0.08%),IF(AND(N69&gt;=1000,N69&lt;2000),(2.75+(N69-1000)*0.15%),IF(AND(N69&gt;=100,N69&lt;1000),(0.5+(N69-100)*0.25%),IF(AND(N69&gt;0,N69&lt;100),N69*0.5%)))))))</f>
        <v>48.589600000000004</v>
      </c>
      <c r="N87" s="53">
        <f ca="1">ROUND(M87*0.9,1)</f>
        <v>43.7</v>
      </c>
      <c r="O87" s="2759"/>
      <c r="P87" s="1911"/>
      <c r="Q87" s="1911"/>
      <c r="R87" s="1911"/>
      <c r="S87" s="1911"/>
      <c r="T87" s="1911"/>
      <c r="U87" s="1911"/>
      <c r="V87" s="1911"/>
      <c r="W87" s="290"/>
      <c r="X87" s="290"/>
      <c r="Y87" s="290"/>
      <c r="Z87" s="290"/>
    </row>
    <row r="88" spans="1:26" s="1267" customFormat="1" ht="15" thickBot="1">
      <c r="A88" s="3478" t="s">
        <v>432</v>
      </c>
      <c r="B88" s="3479"/>
      <c r="C88" s="3479"/>
      <c r="D88" s="3479"/>
      <c r="E88" s="3479"/>
      <c r="F88" s="3479"/>
      <c r="G88" s="3479"/>
      <c r="H88" s="3479"/>
      <c r="I88" s="1268"/>
      <c r="J88" s="1919"/>
      <c r="K88" s="3439"/>
      <c r="L88" s="2766" t="s">
        <v>2859</v>
      </c>
      <c r="M88" s="2756">
        <f ca="1">IF(N69&gt;10000,N69*0.5%,IF(AND(N69&gt;5000,N69&lt;=10000),N69*1%,IF(AND(N69&gt;1000,N69&lt;=5000),N69*2%,IF(AND(N69&gt;200,N69&lt;=1000),N69*3%,N69*5%))))</f>
        <v>2066.98</v>
      </c>
      <c r="N88" s="53">
        <f ca="1">ROUND(M88,1)</f>
        <v>2067</v>
      </c>
      <c r="O88" s="2759"/>
      <c r="P88" s="1916"/>
      <c r="Q88" s="1916"/>
      <c r="R88" s="1916"/>
      <c r="S88" s="1916"/>
      <c r="T88" s="1916"/>
      <c r="U88" s="1916"/>
      <c r="V88" s="1916"/>
      <c r="W88" s="1920"/>
      <c r="X88" s="1920"/>
      <c r="Y88" s="1920"/>
      <c r="Z88" s="1920"/>
    </row>
    <row r="89" spans="1:26" s="1267" customFormat="1" ht="14.25">
      <c r="A89" s="3437" t="s">
        <v>423</v>
      </c>
      <c r="B89" s="3438"/>
      <c r="C89" s="981"/>
      <c r="D89" s="981" t="s">
        <v>424</v>
      </c>
      <c r="E89" s="385" t="s">
        <v>433</v>
      </c>
      <c r="F89" s="386"/>
      <c r="G89" s="386"/>
      <c r="H89" s="387"/>
      <c r="I89" s="1269"/>
      <c r="J89" s="1921"/>
      <c r="K89" s="3439"/>
      <c r="L89" s="2766" t="s">
        <v>27</v>
      </c>
      <c r="M89" s="2757"/>
      <c r="N89" s="53">
        <f ca="1">ROUND(SUM(N83:N88),0)</f>
        <v>6659</v>
      </c>
      <c r="O89" s="2767">
        <f ca="1">N89/N69</f>
        <v>1.6108041684002747E-2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393710</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2362</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75" t="s">
        <v>441</v>
      </c>
      <c r="F94" s="3476"/>
      <c r="G94" s="3476"/>
      <c r="H94" s="347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2362</v>
      </c>
      <c r="D96" s="400">
        <f>'数据-取费表'!B43</f>
        <v>6.000000000000001E-3</v>
      </c>
      <c r="E96" s="3434" t="s">
        <v>2413</v>
      </c>
      <c r="F96" s="3435"/>
      <c r="G96" s="3435"/>
      <c r="H96" s="343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391348</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165.68501270110076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233982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78" t="s">
        <v>448</v>
      </c>
      <c r="B101" s="3479"/>
      <c r="C101" s="3479"/>
      <c r="D101" s="3479"/>
      <c r="E101" s="3479"/>
      <c r="F101" s="3479"/>
      <c r="G101" s="3479"/>
      <c r="H101" s="347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37" t="s">
        <v>423</v>
      </c>
      <c r="B102" s="3438"/>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393710</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2362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1"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90" t="s">
        <v>2960</v>
      </c>
      <c r="H108" s="3491"/>
      <c r="I108" s="2856"/>
      <c r="J108" s="1916"/>
      <c r="K108" s="3241"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68" t="s">
        <v>456</v>
      </c>
      <c r="F109" s="3435"/>
      <c r="G109" s="343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2">
        <v>0</v>
      </c>
      <c r="E110" s="3468" t="s">
        <v>458</v>
      </c>
      <c r="F110" s="3435"/>
      <c r="G110" s="3435"/>
      <c r="H110" s="3436"/>
      <c r="I110" s="11"/>
      <c r="J110" s="1916"/>
      <c r="K110" s="3242"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2362</v>
      </c>
      <c r="D111" s="400">
        <f>'数据-取费表'!B43</f>
        <v>6.000000000000001E-3</v>
      </c>
      <c r="E111" s="3434" t="s">
        <v>2413</v>
      </c>
      <c r="F111" s="3435"/>
      <c r="G111" s="3435"/>
      <c r="H111" s="343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68" t="s">
        <v>2436</v>
      </c>
      <c r="F112" s="3435"/>
      <c r="G112" s="3435"/>
      <c r="H112" s="343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391348</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165.68501270110076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233982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N59" sqref="N5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395574</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1675</v>
      </c>
      <c r="B3" s="504">
        <f>ROUND(B2*10000/'数据-汇总表'!E3,0)</f>
        <v>36975</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85043</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5670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9" t="s">
        <v>516</v>
      </c>
      <c r="D6" s="3530"/>
      <c r="E6" s="3529" t="s">
        <v>517</v>
      </c>
      <c r="F6" s="3530"/>
      <c r="G6" s="3529" t="s">
        <v>518</v>
      </c>
      <c r="H6" s="3530"/>
      <c r="I6" s="3529" t="s">
        <v>519</v>
      </c>
      <c r="J6" s="3530"/>
      <c r="K6" s="508" t="s">
        <v>520</v>
      </c>
      <c r="L6" s="2015"/>
      <c r="M6" s="2014"/>
      <c r="N6" s="2014"/>
      <c r="O6" s="2016"/>
      <c r="P6" s="3531" t="s">
        <v>521</v>
      </c>
      <c r="Q6" s="3532"/>
      <c r="R6" s="3517" t="s">
        <v>517</v>
      </c>
      <c r="S6" s="3518"/>
      <c r="T6" s="3517" t="s">
        <v>518</v>
      </c>
      <c r="U6" s="3518"/>
      <c r="V6" s="3537" t="s">
        <v>519</v>
      </c>
      <c r="W6" s="3537"/>
      <c r="X6" s="1501"/>
      <c r="Y6" s="3517" t="s">
        <v>521</v>
      </c>
      <c r="Z6" s="3518"/>
      <c r="AA6" s="3512" t="s">
        <v>517</v>
      </c>
      <c r="AB6" s="3513" t="s">
        <v>518</v>
      </c>
      <c r="AC6" s="3512" t="s">
        <v>519</v>
      </c>
    </row>
    <row r="7" spans="1:30" ht="75.75" customHeight="1">
      <c r="A7" s="509"/>
      <c r="B7" s="510"/>
      <c r="C7" s="3540" t="s">
        <v>2895</v>
      </c>
      <c r="D7" s="3541"/>
      <c r="E7" s="3540" t="str">
        <f>土地案例!A141</f>
        <v>北京市昌平区中关村生命科学园三期及北四村棚户区改造和环境整治项目CP00-1805-6001、6002地块R2二类居住用地、CP00-1805-6009地块A33基础教育用地(配建“公共租赁住房”)</v>
      </c>
      <c r="F7" s="3541"/>
      <c r="G7" s="3540" t="str">
        <f>土地案例!A146</f>
        <v>北京市昌平区东小口镇马连店1803-610地块R2二类居住用地</v>
      </c>
      <c r="H7" s="3541"/>
      <c r="I7" s="3540" t="str">
        <f>土地案例!A157</f>
        <v>北京市大兴区大兴新城核心区H组团DX00-0106-001a、001b地块R2二类居住用地、A334基础教育用地</v>
      </c>
      <c r="J7" s="3541"/>
      <c r="K7" s="508"/>
      <c r="L7" s="2015"/>
      <c r="M7" s="2014"/>
      <c r="N7" s="2014"/>
      <c r="O7" s="2016"/>
      <c r="P7" s="3533"/>
      <c r="Q7" s="3534"/>
      <c r="R7" s="3519"/>
      <c r="S7" s="3520"/>
      <c r="T7" s="3519"/>
      <c r="U7" s="3520"/>
      <c r="V7" s="3537"/>
      <c r="W7" s="3537"/>
      <c r="X7" s="1501"/>
      <c r="Y7" s="3519"/>
      <c r="Z7" s="3520"/>
      <c r="AA7" s="3513"/>
      <c r="AB7" s="3513"/>
      <c r="AC7" s="3513"/>
    </row>
    <row r="8" spans="1:30" ht="21" thickBot="1">
      <c r="A8" s="509"/>
      <c r="B8" s="510"/>
      <c r="C8" s="3542" t="s">
        <v>2899</v>
      </c>
      <c r="D8" s="3543"/>
      <c r="E8" s="3542" t="s">
        <v>2899</v>
      </c>
      <c r="F8" s="3543"/>
      <c r="G8" s="3538" t="s">
        <v>2899</v>
      </c>
      <c r="H8" s="3539"/>
      <c r="I8" s="3538" t="s">
        <v>2899</v>
      </c>
      <c r="J8" s="3539"/>
      <c r="K8" s="508" t="s">
        <v>522</v>
      </c>
      <c r="L8" s="2015"/>
      <c r="M8" s="2014"/>
      <c r="N8" s="2014"/>
      <c r="O8" s="2016"/>
      <c r="P8" s="3535"/>
      <c r="Q8" s="3536"/>
      <c r="R8" s="3519"/>
      <c r="S8" s="3520"/>
      <c r="T8" s="3521"/>
      <c r="U8" s="3522"/>
      <c r="V8" s="3537"/>
      <c r="W8" s="3537"/>
      <c r="X8" s="1501"/>
      <c r="Y8" s="3521"/>
      <c r="Z8" s="3522"/>
      <c r="AA8" s="3514"/>
      <c r="AB8" s="3514"/>
      <c r="AC8" s="3514"/>
    </row>
    <row r="9" spans="1:30" s="1202" customFormat="1" ht="21" thickBot="1">
      <c r="A9" s="2628"/>
      <c r="B9" s="3309" t="s">
        <v>523</v>
      </c>
      <c r="C9" s="2627">
        <f>'数据-取费表'!B2</f>
        <v>44405</v>
      </c>
      <c r="D9" s="514">
        <v>100</v>
      </c>
      <c r="E9" s="515" t="str">
        <f>土地案例!J141</f>
        <v>2021-05-11</v>
      </c>
      <c r="F9" s="516">
        <f>SUMIF(72:72,YEAR(E9)&amp;"-"&amp;INT((MONTH(E9)+2)/3),73:73)</f>
        <v>100</v>
      </c>
      <c r="G9" s="517" t="str">
        <f>土地案例!J146</f>
        <v>2021-05-11</v>
      </c>
      <c r="H9" s="514">
        <f>SUMIF(72:72,YEAR(G9)&amp;"-"&amp;INT((MONTH(G9)+2)/3),73:73)</f>
        <v>100</v>
      </c>
      <c r="I9" s="517" t="str">
        <f>土地案例!J157</f>
        <v>2021-05-11</v>
      </c>
      <c r="J9" s="514">
        <f>SUMIF(72:72,YEAR(I9)&amp;"-"&amp;INT((MONTH(I9)+2)/3),73:73)</f>
        <v>100</v>
      </c>
      <c r="K9" s="518"/>
      <c r="L9" s="2017"/>
      <c r="M9" s="2014"/>
      <c r="N9" s="2014"/>
      <c r="O9" s="2018"/>
      <c r="P9" s="3515" t="s">
        <v>524</v>
      </c>
      <c r="Q9" s="3524"/>
      <c r="R9" s="1502" t="s">
        <v>8</v>
      </c>
      <c r="S9" s="1503">
        <f t="shared" ref="S9:S17" si="0">F9</f>
        <v>100</v>
      </c>
      <c r="T9" s="1502" t="s">
        <v>8</v>
      </c>
      <c r="U9" s="1503">
        <f t="shared" ref="U9:U17" si="1">H9</f>
        <v>100</v>
      </c>
      <c r="V9" s="1502" t="s">
        <v>8</v>
      </c>
      <c r="W9" s="1503">
        <f t="shared" ref="W9:W17" si="2">J9</f>
        <v>100</v>
      </c>
      <c r="X9" s="1504"/>
      <c r="Y9" s="3515" t="s">
        <v>524</v>
      </c>
      <c r="Z9" s="3516"/>
      <c r="AA9" s="1505">
        <f>D9/F9</f>
        <v>1</v>
      </c>
      <c r="AB9" s="1505">
        <f>D9/H9</f>
        <v>1</v>
      </c>
      <c r="AC9" s="1505">
        <f>D9/J9</f>
        <v>1</v>
      </c>
    </row>
    <row r="10" spans="1:30" s="1202" customFormat="1" ht="21" thickBot="1">
      <c r="A10" s="2629"/>
      <c r="B10" s="2636" t="s">
        <v>525</v>
      </c>
      <c r="C10" s="845" t="s">
        <v>526</v>
      </c>
      <c r="D10" s="514">
        <v>100</v>
      </c>
      <c r="E10" s="3287" t="s">
        <v>3131</v>
      </c>
      <c r="F10" s="516">
        <f>SUMIF(75:75,E10,76:76)-SUMIF(75:75,C10,76:76)+100</f>
        <v>100</v>
      </c>
      <c r="G10" s="3287" t="s">
        <v>3131</v>
      </c>
      <c r="H10" s="514">
        <f>SUMIF(75:75,G10,76:76)-SUMIF(75:75,C10,76:76)+100</f>
        <v>100</v>
      </c>
      <c r="I10" s="3287" t="s">
        <v>3132</v>
      </c>
      <c r="J10" s="514">
        <f>SUMIF(75:75,I10,76:76)-SUMIF(75:75,C10,76:76)+100</f>
        <v>100</v>
      </c>
      <c r="K10" s="518"/>
      <c r="L10" s="2017"/>
      <c r="M10" s="2014"/>
      <c r="N10" s="2014"/>
      <c r="O10" s="2018"/>
      <c r="P10" s="3515" t="s">
        <v>527</v>
      </c>
      <c r="Q10" s="3516"/>
      <c r="R10" s="1502" t="s">
        <v>8</v>
      </c>
      <c r="S10" s="1503">
        <f t="shared" si="0"/>
        <v>100</v>
      </c>
      <c r="T10" s="1502" t="s">
        <v>8</v>
      </c>
      <c r="U10" s="1503">
        <f t="shared" si="1"/>
        <v>100</v>
      </c>
      <c r="V10" s="1502" t="s">
        <v>8</v>
      </c>
      <c r="W10" s="1503">
        <f t="shared" si="2"/>
        <v>100</v>
      </c>
      <c r="X10" s="1504"/>
      <c r="Y10" s="3515" t="s">
        <v>527</v>
      </c>
      <c r="Z10" s="3516"/>
      <c r="AA10" s="1505">
        <f t="shared" ref="AA10:AA47" si="3">D10/F10</f>
        <v>1</v>
      </c>
      <c r="AB10" s="1505">
        <f t="shared" ref="AB10:AB47" si="4">D10/H10</f>
        <v>1</v>
      </c>
      <c r="AC10" s="1505">
        <f t="shared" ref="AC10:AC47" si="5">D10/J10</f>
        <v>1</v>
      </c>
    </row>
    <row r="11" spans="1:30" s="1202" customFormat="1" ht="20.25">
      <c r="A11" s="2630"/>
      <c r="B11" s="2637" t="s">
        <v>2736</v>
      </c>
      <c r="C11" s="3288" t="s">
        <v>3133</v>
      </c>
      <c r="D11" s="252">
        <v>100</v>
      </c>
      <c r="E11" s="3289" t="s">
        <v>3134</v>
      </c>
      <c r="F11" s="252">
        <f>SUMIF(77:77,E11,78:78)-SUMIF(77:77,C11,78:78)+100</f>
        <v>100</v>
      </c>
      <c r="G11" s="3289" t="s">
        <v>3135</v>
      </c>
      <c r="H11" s="252">
        <f>SUMIF(77:77,G11,78:78)-SUMIF(77:77,C11,78:78)+100</f>
        <v>100</v>
      </c>
      <c r="I11" s="3289" t="s">
        <v>3135</v>
      </c>
      <c r="J11" s="252">
        <f>SUMIF(77:77,I11,78:78)-SUMIF(77:77,C11,78:78)+100</f>
        <v>100</v>
      </c>
      <c r="K11" s="518"/>
      <c r="L11" s="2017"/>
      <c r="M11" s="2014"/>
      <c r="N11" s="2014"/>
      <c r="O11" s="2019"/>
      <c r="P11" s="3523" t="s">
        <v>529</v>
      </c>
      <c r="Q11" s="1133" t="str">
        <f t="shared" ref="Q11:Q17" si="6">B11</f>
        <v>用途</v>
      </c>
      <c r="R11" s="1502" t="s">
        <v>8</v>
      </c>
      <c r="S11" s="1503">
        <f t="shared" si="0"/>
        <v>100</v>
      </c>
      <c r="T11" s="1502" t="s">
        <v>8</v>
      </c>
      <c r="U11" s="1503">
        <f t="shared" si="1"/>
        <v>100</v>
      </c>
      <c r="V11" s="1502" t="s">
        <v>8</v>
      </c>
      <c r="W11" s="1503">
        <f t="shared" si="2"/>
        <v>100</v>
      </c>
      <c r="X11" s="1504"/>
      <c r="Y11" s="3474" t="s">
        <v>530</v>
      </c>
      <c r="Z11" s="1132" t="str">
        <f t="shared" ref="Z11:Z17" si="7">Q11</f>
        <v>用途</v>
      </c>
      <c r="AA11" s="1505">
        <f t="shared" si="3"/>
        <v>1</v>
      </c>
      <c r="AB11" s="1505">
        <f t="shared" si="4"/>
        <v>1</v>
      </c>
      <c r="AC11" s="1505">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3"/>
      <c r="Q12" s="1133" t="str">
        <f t="shared" si="6"/>
        <v>土地使用年限（年）</v>
      </c>
      <c r="R12" s="1502" t="s">
        <v>8</v>
      </c>
      <c r="S12" s="1503">
        <f t="shared" si="0"/>
        <v>100</v>
      </c>
      <c r="T12" s="1502" t="s">
        <v>8</v>
      </c>
      <c r="U12" s="1503">
        <f t="shared" si="1"/>
        <v>100</v>
      </c>
      <c r="V12" s="1502" t="s">
        <v>8</v>
      </c>
      <c r="W12" s="1503">
        <f t="shared" si="2"/>
        <v>100</v>
      </c>
      <c r="X12" s="1504"/>
      <c r="Y12" s="3474"/>
      <c r="Z12" s="1132" t="str">
        <f t="shared" si="7"/>
        <v>土地使用年限（年）</v>
      </c>
      <c r="AA12" s="1505">
        <f t="shared" si="3"/>
        <v>1</v>
      </c>
      <c r="AB12" s="1505">
        <f t="shared" si="4"/>
        <v>1</v>
      </c>
      <c r="AC12" s="1505">
        <f t="shared" si="5"/>
        <v>1</v>
      </c>
    </row>
    <row r="13" spans="1:30" ht="20.25">
      <c r="A13" s="2632"/>
      <c r="B13" s="2636" t="s">
        <v>2738</v>
      </c>
      <c r="C13" s="528">
        <v>2.2999999999999998</v>
      </c>
      <c r="D13" s="253">
        <v>100</v>
      </c>
      <c r="E13" s="527">
        <v>2.2000000000000002</v>
      </c>
      <c r="F13" s="253">
        <f>LOOKUP(E13,82:82,83:83)-LOOKUP(C13,82:82,83:83)+100</f>
        <v>100</v>
      </c>
      <c r="G13" s="528">
        <v>2.8</v>
      </c>
      <c r="H13" s="253">
        <f>LOOKUP(G13,82:82,83:83)-LOOKUP(C13,82:82,83:83)+100</f>
        <v>98</v>
      </c>
      <c r="I13" s="527">
        <v>2</v>
      </c>
      <c r="J13" s="253">
        <f>LOOKUP(I13,82:82,83:83)-LOOKUP(C13,82:82,83:83)+100</f>
        <v>100</v>
      </c>
      <c r="K13" s="529">
        <v>2</v>
      </c>
      <c r="L13" s="2022"/>
      <c r="M13" s="2014"/>
      <c r="N13" s="2014"/>
      <c r="O13" s="2023"/>
      <c r="P13" s="3523"/>
      <c r="Q13" s="1133" t="str">
        <f t="shared" si="6"/>
        <v>容积率</v>
      </c>
      <c r="R13" s="1502" t="s">
        <v>8</v>
      </c>
      <c r="S13" s="1503">
        <f t="shared" si="0"/>
        <v>100</v>
      </c>
      <c r="T13" s="1502" t="s">
        <v>8</v>
      </c>
      <c r="U13" s="1503">
        <f t="shared" si="1"/>
        <v>98</v>
      </c>
      <c r="V13" s="1502" t="s">
        <v>8</v>
      </c>
      <c r="W13" s="1503">
        <f t="shared" si="2"/>
        <v>100</v>
      </c>
      <c r="X13" s="1504"/>
      <c r="Y13" s="3474"/>
      <c r="Z13" s="1132" t="str">
        <f t="shared" si="7"/>
        <v>容积率</v>
      </c>
      <c r="AA13" s="1505">
        <f t="shared" si="3"/>
        <v>1</v>
      </c>
      <c r="AB13" s="1505">
        <f t="shared" si="4"/>
        <v>1.0204081632653061</v>
      </c>
      <c r="AC13" s="1505">
        <f t="shared" si="5"/>
        <v>1</v>
      </c>
    </row>
    <row r="14" spans="1:30" s="1202" customFormat="1" ht="20.25">
      <c r="A14" s="2629"/>
      <c r="B14" s="3310" t="s">
        <v>2739</v>
      </c>
      <c r="C14" s="2625"/>
      <c r="D14" s="532">
        <v>100</v>
      </c>
      <c r="E14" s="1325"/>
      <c r="F14" s="253">
        <f>SUMIF(84:84,E14,85:85)-SUMIF(84:84,C14,85:85)+100</f>
        <v>100</v>
      </c>
      <c r="G14" s="3315"/>
      <c r="H14" s="253">
        <f>SUMIF(84:84,G14,85:85)-SUMIF(84:84,C14,85:85)+100</f>
        <v>100</v>
      </c>
      <c r="I14" s="3316"/>
      <c r="J14" s="253">
        <f>SUMIF(84:84,I14,85:85)-SUMIF(84:84,C14,85:85)+100</f>
        <v>100</v>
      </c>
      <c r="K14" s="525"/>
      <c r="L14" s="2017"/>
      <c r="M14" s="2014"/>
      <c r="N14" s="2014"/>
      <c r="O14" s="2019"/>
      <c r="P14" s="3523"/>
      <c r="Q14" s="1133" t="str">
        <f t="shared" si="6"/>
        <v>配建</v>
      </c>
      <c r="R14" s="1502" t="s">
        <v>8</v>
      </c>
      <c r="S14" s="1503">
        <f t="shared" si="0"/>
        <v>100</v>
      </c>
      <c r="T14" s="1502" t="s">
        <v>8</v>
      </c>
      <c r="U14" s="1503">
        <f t="shared" si="1"/>
        <v>100</v>
      </c>
      <c r="V14" s="1502" t="s">
        <v>8</v>
      </c>
      <c r="W14" s="1503">
        <f t="shared" si="2"/>
        <v>100</v>
      </c>
      <c r="X14" s="1504"/>
      <c r="Y14" s="3474"/>
      <c r="Z14" s="1132" t="str">
        <f t="shared" si="7"/>
        <v>配建</v>
      </c>
      <c r="AA14" s="1505">
        <f>D14/F14</f>
        <v>1</v>
      </c>
      <c r="AB14" s="1505">
        <f>D14/H14</f>
        <v>1</v>
      </c>
      <c r="AC14" s="1505">
        <f>D14/J14</f>
        <v>1</v>
      </c>
    </row>
    <row r="15" spans="1:30" ht="20.25">
      <c r="A15" s="2633"/>
      <c r="B15" s="3311" t="s">
        <v>3180</v>
      </c>
      <c r="C15" s="3331" t="s">
        <v>3212</v>
      </c>
      <c r="D15" s="534">
        <v>100</v>
      </c>
      <c r="E15" s="3332">
        <v>62000</v>
      </c>
      <c r="F15" s="253">
        <f>SUMIF(86:86,E15,87:87)-SUMIF(86:86,C15,87:87)+100</f>
        <v>100</v>
      </c>
      <c r="G15" s="3333">
        <v>63000</v>
      </c>
      <c r="H15" s="534">
        <f>SUMIF(86:86,G15,87:87)-SUMIF(86:86,C15,87:87)+100</f>
        <v>100</v>
      </c>
      <c r="I15" s="3333">
        <v>57000</v>
      </c>
      <c r="J15" s="534">
        <f>SUMIF(86:86,I15,87:87)-SUMIF(86:86,C15,87:87)+100</f>
        <v>100</v>
      </c>
      <c r="K15" s="525"/>
      <c r="L15" s="2024"/>
      <c r="M15" s="2014"/>
      <c r="N15" s="2014"/>
      <c r="O15" s="2023"/>
      <c r="P15" s="3523"/>
      <c r="Q15" s="1133" t="str">
        <f t="shared" si="6"/>
        <v>房价限价</v>
      </c>
      <c r="R15" s="1502" t="s">
        <v>8</v>
      </c>
      <c r="S15" s="1503">
        <f t="shared" si="0"/>
        <v>100</v>
      </c>
      <c r="T15" s="1502" t="s">
        <v>8</v>
      </c>
      <c r="U15" s="1503">
        <f t="shared" si="1"/>
        <v>100</v>
      </c>
      <c r="V15" s="1502" t="s">
        <v>8</v>
      </c>
      <c r="W15" s="1503">
        <f t="shared" si="2"/>
        <v>100</v>
      </c>
      <c r="X15" s="1504"/>
      <c r="Y15" s="3474"/>
      <c r="Z15" s="1132" t="str">
        <f t="shared" si="7"/>
        <v>房价限价</v>
      </c>
      <c r="AA15" s="1505">
        <f>D15/F15</f>
        <v>1</v>
      </c>
      <c r="AB15" s="1505">
        <f>D15/H15</f>
        <v>1</v>
      </c>
      <c r="AC15" s="1505">
        <f>D15/J15</f>
        <v>1</v>
      </c>
    </row>
    <row r="16" spans="1:30" ht="21" thickBot="1">
      <c r="A16" s="2634"/>
      <c r="B16" s="3312" t="s">
        <v>3179</v>
      </c>
      <c r="C16" s="3323"/>
      <c r="D16" s="540">
        <v>100</v>
      </c>
      <c r="E16" s="3319"/>
      <c r="F16" s="540">
        <f>SUMIF(88:88,E16,89:89)-SUMIF(88:88,C16,89:89)+100</f>
        <v>100</v>
      </c>
      <c r="G16" s="3318"/>
      <c r="H16" s="540">
        <f>SUMIF(88:88,G16,89:89)-SUMIF(88:88,C16,89:89)+100</f>
        <v>100</v>
      </c>
      <c r="I16" s="3318"/>
      <c r="J16" s="540">
        <f>SUMIF(88:88,I16,89:89)-SUMIF(88:88,C16,89:89)+100</f>
        <v>100</v>
      </c>
      <c r="K16" s="525"/>
      <c r="L16" s="2024"/>
      <c r="M16" s="2014"/>
      <c r="N16" s="2014"/>
      <c r="O16" s="2023"/>
      <c r="P16" s="3523"/>
      <c r="Q16" s="1133" t="str">
        <f t="shared" si="6"/>
        <v>配建公租房占比</v>
      </c>
      <c r="R16" s="1502" t="s">
        <v>8</v>
      </c>
      <c r="S16" s="1503">
        <f t="shared" si="0"/>
        <v>100</v>
      </c>
      <c r="T16" s="1502" t="s">
        <v>8</v>
      </c>
      <c r="U16" s="1503">
        <f t="shared" si="1"/>
        <v>100</v>
      </c>
      <c r="V16" s="1502" t="s">
        <v>8</v>
      </c>
      <c r="W16" s="1503">
        <f t="shared" si="2"/>
        <v>100</v>
      </c>
      <c r="X16" s="1504"/>
      <c r="Y16" s="3474"/>
      <c r="Z16" s="1132" t="str">
        <f t="shared" si="7"/>
        <v>配建公租房占比</v>
      </c>
      <c r="AA16" s="1505">
        <f>D16/F16</f>
        <v>1</v>
      </c>
      <c r="AB16" s="1505">
        <f>D16/H16</f>
        <v>1</v>
      </c>
      <c r="AC16" s="1505">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105</v>
      </c>
      <c r="I17" s="546"/>
      <c r="J17" s="543">
        <f>SUMIF(90:90,I18,91:91)-SUMIF(90:90,C18,91:91)+100</f>
        <v>100</v>
      </c>
      <c r="K17" s="529">
        <v>5</v>
      </c>
      <c r="L17" s="2024"/>
      <c r="M17" s="2014"/>
      <c r="N17" s="2014"/>
      <c r="O17" s="2023"/>
      <c r="P17" s="3525" t="s">
        <v>534</v>
      </c>
      <c r="Q17" s="1506" t="str">
        <f t="shared" si="6"/>
        <v>居住社区成熟度</v>
      </c>
      <c r="R17" s="1507" t="s">
        <v>8</v>
      </c>
      <c r="S17" s="1508">
        <f t="shared" si="0"/>
        <v>100</v>
      </c>
      <c r="T17" s="1507" t="s">
        <v>8</v>
      </c>
      <c r="U17" s="1508">
        <f t="shared" si="1"/>
        <v>105</v>
      </c>
      <c r="V17" s="1507" t="s">
        <v>8</v>
      </c>
      <c r="W17" s="1508">
        <f t="shared" si="2"/>
        <v>100</v>
      </c>
      <c r="X17" s="1501"/>
      <c r="Y17" s="3525" t="s">
        <v>534</v>
      </c>
      <c r="Z17" s="1509" t="str">
        <f t="shared" si="7"/>
        <v>居住社区成熟度</v>
      </c>
      <c r="AA17" s="1510">
        <f t="shared" si="3"/>
        <v>1</v>
      </c>
      <c r="AB17" s="1510">
        <f t="shared" si="4"/>
        <v>0.95238095238095233</v>
      </c>
      <c r="AC17" s="1510">
        <f t="shared" si="5"/>
        <v>1</v>
      </c>
    </row>
    <row r="18" spans="1:29" ht="20.25">
      <c r="A18" s="526"/>
      <c r="B18" s="547"/>
      <c r="C18" s="3290" t="s">
        <v>3183</v>
      </c>
      <c r="D18" s="551"/>
      <c r="E18" s="3327" t="s">
        <v>3206</v>
      </c>
      <c r="F18" s="549"/>
      <c r="G18" s="3292" t="s">
        <v>3137</v>
      </c>
      <c r="H18" s="553"/>
      <c r="I18" s="3291" t="s">
        <v>3184</v>
      </c>
      <c r="J18" s="549"/>
      <c r="K18" s="525"/>
      <c r="L18" s="2024"/>
      <c r="M18" s="2014"/>
      <c r="N18" s="2014"/>
      <c r="O18" s="2023"/>
      <c r="P18" s="3526"/>
      <c r="Q18" s="1506"/>
      <c r="R18" s="1507"/>
      <c r="S18" s="1508"/>
      <c r="T18" s="1507"/>
      <c r="U18" s="1508"/>
      <c r="V18" s="1507"/>
      <c r="W18" s="1508"/>
      <c r="X18" s="1501"/>
      <c r="Y18" s="3526"/>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6"/>
      <c r="Q19" s="1506" t="str">
        <f>B19</f>
        <v>商业繁华度</v>
      </c>
      <c r="R19" s="1507" t="s">
        <v>8</v>
      </c>
      <c r="S19" s="1508">
        <f>F19</f>
        <v>100</v>
      </c>
      <c r="T19" s="1507" t="s">
        <v>8</v>
      </c>
      <c r="U19" s="1508">
        <f>H19</f>
        <v>100</v>
      </c>
      <c r="V19" s="1507" t="s">
        <v>8</v>
      </c>
      <c r="W19" s="1508">
        <f>J19</f>
        <v>100</v>
      </c>
      <c r="X19" s="1501"/>
      <c r="Y19" s="3526"/>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26"/>
      <c r="Q20" s="1506"/>
      <c r="R20" s="1507"/>
      <c r="S20" s="1508"/>
      <c r="T20" s="1507"/>
      <c r="U20" s="1508"/>
      <c r="V20" s="1507"/>
      <c r="W20" s="1508"/>
      <c r="X20" s="1501"/>
      <c r="Y20" s="3526"/>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6"/>
      <c r="Q21" s="1506" t="str">
        <f>B21</f>
        <v>办公集聚程度</v>
      </c>
      <c r="R21" s="1507" t="s">
        <v>8</v>
      </c>
      <c r="S21" s="1508">
        <f>F21</f>
        <v>100</v>
      </c>
      <c r="T21" s="1507" t="s">
        <v>8</v>
      </c>
      <c r="U21" s="1508">
        <f>H21</f>
        <v>100</v>
      </c>
      <c r="V21" s="1507" t="s">
        <v>8</v>
      </c>
      <c r="W21" s="1508">
        <f>J21</f>
        <v>100</v>
      </c>
      <c r="X21" s="1501"/>
      <c r="Y21" s="3526"/>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26"/>
      <c r="Q22" s="1506"/>
      <c r="R22" s="1507"/>
      <c r="S22" s="1508"/>
      <c r="T22" s="1507"/>
      <c r="U22" s="1508"/>
      <c r="V22" s="1507"/>
      <c r="W22" s="1508"/>
      <c r="X22" s="1501"/>
      <c r="Y22" s="352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96</v>
      </c>
      <c r="K23" s="529">
        <v>2</v>
      </c>
      <c r="L23" s="2024"/>
      <c r="M23" s="2014"/>
      <c r="N23" s="2014"/>
      <c r="O23" s="2023"/>
      <c r="P23" s="3526"/>
      <c r="Q23" s="1506" t="str">
        <f>B23</f>
        <v>交通便捷度</v>
      </c>
      <c r="R23" s="1507" t="s">
        <v>8</v>
      </c>
      <c r="S23" s="1508">
        <f>F23</f>
        <v>100</v>
      </c>
      <c r="T23" s="1507" t="s">
        <v>8</v>
      </c>
      <c r="U23" s="1508">
        <f>H23</f>
        <v>100</v>
      </c>
      <c r="V23" s="1507" t="s">
        <v>8</v>
      </c>
      <c r="W23" s="1508">
        <f>J23</f>
        <v>96</v>
      </c>
      <c r="X23" s="1501"/>
      <c r="Y23" s="3526"/>
      <c r="Z23" s="1509" t="str">
        <f>Q23</f>
        <v>交通便捷度</v>
      </c>
      <c r="AA23" s="1510">
        <f t="shared" si="3"/>
        <v>1</v>
      </c>
      <c r="AB23" s="1510">
        <f t="shared" si="4"/>
        <v>1</v>
      </c>
      <c r="AC23" s="1510">
        <f t="shared" si="5"/>
        <v>1.0416666666666667</v>
      </c>
    </row>
    <row r="24" spans="1:29" ht="20.25">
      <c r="A24" s="526"/>
      <c r="B24" s="572"/>
      <c r="C24" s="3329" t="s">
        <v>3136</v>
      </c>
      <c r="D24" s="551"/>
      <c r="E24" s="3291" t="s">
        <v>3139</v>
      </c>
      <c r="F24" s="549"/>
      <c r="G24" s="3292" t="s">
        <v>3137</v>
      </c>
      <c r="H24" s="549"/>
      <c r="I24" s="3291" t="s">
        <v>3207</v>
      </c>
      <c r="J24" s="549"/>
      <c r="K24" s="525"/>
      <c r="L24" s="2024"/>
      <c r="M24" s="2014"/>
      <c r="N24" s="2014"/>
      <c r="O24" s="2023"/>
      <c r="P24" s="3526"/>
      <c r="Q24" s="1506"/>
      <c r="R24" s="1507"/>
      <c r="S24" s="1508"/>
      <c r="T24" s="1507"/>
      <c r="U24" s="1508"/>
      <c r="V24" s="1507"/>
      <c r="W24" s="1508"/>
      <c r="X24" s="1501"/>
      <c r="Y24" s="352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102</v>
      </c>
      <c r="I25" s="558"/>
      <c r="J25" s="553">
        <f>SUMIF(98:98,I26,99:99)-SUMIF(98:98,C26,99:99)+100</f>
        <v>100</v>
      </c>
      <c r="K25" s="529">
        <v>2</v>
      </c>
      <c r="L25" s="2024"/>
      <c r="M25" s="2014"/>
      <c r="N25" s="2014"/>
      <c r="O25" s="2023"/>
      <c r="P25" s="3526"/>
      <c r="Q25" s="1506" t="str">
        <f t="shared" ref="Q25:Q39" si="8">B25</f>
        <v>区域土地利用方向</v>
      </c>
      <c r="R25" s="1507" t="s">
        <v>8</v>
      </c>
      <c r="S25" s="1508">
        <f>F25</f>
        <v>100</v>
      </c>
      <c r="T25" s="1507" t="s">
        <v>8</v>
      </c>
      <c r="U25" s="1508">
        <f>H25</f>
        <v>102</v>
      </c>
      <c r="V25" s="1507" t="s">
        <v>8</v>
      </c>
      <c r="W25" s="1508">
        <f>J25</f>
        <v>100</v>
      </c>
      <c r="X25" s="1501"/>
      <c r="Y25" s="3526"/>
      <c r="Z25" s="1509" t="str">
        <f>Q25</f>
        <v>区域土地利用方向</v>
      </c>
      <c r="AA25" s="1510">
        <f t="shared" si="3"/>
        <v>1</v>
      </c>
      <c r="AB25" s="1510">
        <f t="shared" si="4"/>
        <v>0.98039215686274506</v>
      </c>
      <c r="AC25" s="1510">
        <f t="shared" si="5"/>
        <v>1</v>
      </c>
    </row>
    <row r="26" spans="1:29" ht="20.25">
      <c r="A26" s="509"/>
      <c r="B26" s="993"/>
      <c r="C26" s="3329" t="s">
        <v>3206</v>
      </c>
      <c r="D26" s="551"/>
      <c r="E26" s="3327" t="s">
        <v>3206</v>
      </c>
      <c r="F26" s="549"/>
      <c r="G26" s="3292" t="s">
        <v>3139</v>
      </c>
      <c r="H26" s="549"/>
      <c r="I26" s="3327" t="s">
        <v>3206</v>
      </c>
      <c r="J26" s="549"/>
      <c r="K26" s="525"/>
      <c r="L26" s="2024"/>
      <c r="M26" s="2014"/>
      <c r="N26" s="2014"/>
      <c r="O26" s="2023"/>
      <c r="P26" s="3526"/>
      <c r="Q26" s="1506"/>
      <c r="R26" s="1507"/>
      <c r="S26" s="1508"/>
      <c r="T26" s="1507"/>
      <c r="U26" s="1508"/>
      <c r="V26" s="1507"/>
      <c r="W26" s="1508"/>
      <c r="X26" s="1501"/>
      <c r="Y26" s="352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26"/>
      <c r="Q27" s="1506" t="str">
        <f t="shared" si="8"/>
        <v>自然及人文环境状况</v>
      </c>
      <c r="R27" s="1507" t="s">
        <v>8</v>
      </c>
      <c r="S27" s="1508">
        <f>F27</f>
        <v>100</v>
      </c>
      <c r="T27" s="1507" t="s">
        <v>8</v>
      </c>
      <c r="U27" s="1508">
        <f>H27</f>
        <v>100</v>
      </c>
      <c r="V27" s="1507" t="s">
        <v>8</v>
      </c>
      <c r="W27" s="1508">
        <f>J27</f>
        <v>100</v>
      </c>
      <c r="X27" s="1501"/>
      <c r="Y27" s="3526"/>
      <c r="Z27" s="1509" t="str">
        <f>Q27</f>
        <v>自然及人文环境状况</v>
      </c>
      <c r="AA27" s="1510">
        <f t="shared" si="3"/>
        <v>1</v>
      </c>
      <c r="AB27" s="1510">
        <f t="shared" si="4"/>
        <v>1</v>
      </c>
      <c r="AC27" s="1510">
        <f t="shared" si="5"/>
        <v>1</v>
      </c>
    </row>
    <row r="28" spans="1:29" ht="20.25">
      <c r="A28" s="509"/>
      <c r="B28" s="560"/>
      <c r="C28" s="3290" t="s">
        <v>3139</v>
      </c>
      <c r="D28" s="551"/>
      <c r="E28" s="3293" t="s">
        <v>3139</v>
      </c>
      <c r="F28" s="549"/>
      <c r="G28" s="3290" t="s">
        <v>3138</v>
      </c>
      <c r="H28" s="549"/>
      <c r="I28" s="3293" t="s">
        <v>3138</v>
      </c>
      <c r="J28" s="549"/>
      <c r="K28" s="525"/>
      <c r="L28" s="2024"/>
      <c r="M28" s="2014"/>
      <c r="N28" s="2014"/>
      <c r="O28" s="2023"/>
      <c r="P28" s="3526"/>
      <c r="Q28" s="1506"/>
      <c r="R28" s="1507"/>
      <c r="S28" s="1508"/>
      <c r="T28" s="1507"/>
      <c r="U28" s="1508"/>
      <c r="V28" s="1507"/>
      <c r="W28" s="1508"/>
      <c r="X28" s="1501"/>
      <c r="Y28" s="3526"/>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100</v>
      </c>
      <c r="K29" s="529">
        <v>2</v>
      </c>
      <c r="L29" s="2017"/>
      <c r="M29" s="2014"/>
      <c r="N29" s="2014"/>
      <c r="O29" s="2019"/>
      <c r="P29" s="3526"/>
      <c r="Q29" s="1133" t="str">
        <f t="shared" si="8"/>
        <v>公共配套设施</v>
      </c>
      <c r="R29" s="1502" t="s">
        <v>8</v>
      </c>
      <c r="S29" s="1503">
        <f>F29</f>
        <v>100</v>
      </c>
      <c r="T29" s="1502" t="s">
        <v>8</v>
      </c>
      <c r="U29" s="1503">
        <f>H29</f>
        <v>102</v>
      </c>
      <c r="V29" s="1502" t="s">
        <v>8</v>
      </c>
      <c r="W29" s="1503">
        <f>J29</f>
        <v>100</v>
      </c>
      <c r="X29" s="1504"/>
      <c r="Y29" s="3526"/>
      <c r="Z29" s="1132" t="str">
        <f>Q29</f>
        <v>公共配套设施</v>
      </c>
      <c r="AA29" s="1510">
        <f>D29/F29</f>
        <v>1</v>
      </c>
      <c r="AB29" s="1510">
        <f>D29/H29</f>
        <v>0.98039215686274506</v>
      </c>
      <c r="AC29" s="1510">
        <f>D29/J29</f>
        <v>1</v>
      </c>
    </row>
    <row r="30" spans="1:29" s="1202" customFormat="1" ht="20.25">
      <c r="A30" s="571"/>
      <c r="B30" s="560"/>
      <c r="C30" s="3294" t="s">
        <v>3140</v>
      </c>
      <c r="D30" s="551"/>
      <c r="E30" s="3328" t="s">
        <v>3206</v>
      </c>
      <c r="F30" s="549"/>
      <c r="G30" s="3290" t="s">
        <v>3138</v>
      </c>
      <c r="H30" s="549"/>
      <c r="I30" s="3293" t="s">
        <v>3206</v>
      </c>
      <c r="J30" s="549"/>
      <c r="K30" s="525"/>
      <c r="L30" s="2017"/>
      <c r="M30" s="2014"/>
      <c r="N30" s="2014"/>
      <c r="O30" s="2019"/>
      <c r="P30" s="3526"/>
      <c r="Q30" s="1133"/>
      <c r="R30" s="1502"/>
      <c r="S30" s="1503"/>
      <c r="T30" s="1502"/>
      <c r="U30" s="1503"/>
      <c r="V30" s="1502"/>
      <c r="W30" s="1503"/>
      <c r="X30" s="1504"/>
      <c r="Y30" s="3526"/>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526"/>
      <c r="Q31" s="2428" t="str">
        <f t="shared" ref="Q31" si="9">B31</f>
        <v>基础设施水平</v>
      </c>
      <c r="R31" s="1502" t="s">
        <v>8</v>
      </c>
      <c r="S31" s="1503">
        <f>F31</f>
        <v>100</v>
      </c>
      <c r="T31" s="1502" t="s">
        <v>8</v>
      </c>
      <c r="U31" s="1503">
        <f>H31</f>
        <v>100</v>
      </c>
      <c r="V31" s="1502" t="s">
        <v>8</v>
      </c>
      <c r="W31" s="1503">
        <f>J31</f>
        <v>100</v>
      </c>
      <c r="X31" s="1504"/>
      <c r="Y31" s="3526"/>
      <c r="Z31" s="2427" t="str">
        <f>Q31</f>
        <v>基础设施水平</v>
      </c>
      <c r="AA31" s="1510">
        <f>D31/F31</f>
        <v>1</v>
      </c>
      <c r="AB31" s="1510">
        <f>D31/H31</f>
        <v>1</v>
      </c>
      <c r="AC31" s="1510">
        <f>D31/J31</f>
        <v>1</v>
      </c>
    </row>
    <row r="32" spans="1:29" s="1202" customFormat="1" ht="20.25">
      <c r="A32" s="571"/>
      <c r="B32" s="560"/>
      <c r="C32" s="3294" t="s">
        <v>3141</v>
      </c>
      <c r="D32" s="551"/>
      <c r="E32" s="3295" t="s">
        <v>3142</v>
      </c>
      <c r="F32" s="549"/>
      <c r="G32" s="3294" t="s">
        <v>3141</v>
      </c>
      <c r="H32" s="549"/>
      <c r="I32" s="3294" t="s">
        <v>3141</v>
      </c>
      <c r="J32" s="549"/>
      <c r="K32" s="525"/>
      <c r="L32" s="2017"/>
      <c r="M32" s="2014"/>
      <c r="N32" s="2014"/>
      <c r="O32" s="2019"/>
      <c r="P32" s="3526"/>
      <c r="Q32" s="2428"/>
      <c r="R32" s="1502"/>
      <c r="S32" s="1503"/>
      <c r="T32" s="1502"/>
      <c r="U32" s="1503"/>
      <c r="V32" s="1502"/>
      <c r="W32" s="1503"/>
      <c r="X32" s="1504"/>
      <c r="Y32" s="352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2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26"/>
      <c r="Q34" s="1506" t="str">
        <f t="shared" si="8"/>
        <v>毗邻道路的类型与等级</v>
      </c>
      <c r="R34" s="1507" t="s">
        <v>8</v>
      </c>
      <c r="S34" s="1508">
        <f t="shared" si="10"/>
        <v>100</v>
      </c>
      <c r="T34" s="1507" t="s">
        <v>8</v>
      </c>
      <c r="U34" s="1508">
        <f t="shared" si="11"/>
        <v>100</v>
      </c>
      <c r="V34" s="1507" t="s">
        <v>8</v>
      </c>
      <c r="W34" s="1508">
        <f t="shared" si="12"/>
        <v>100</v>
      </c>
      <c r="X34" s="1501"/>
      <c r="Y34" s="352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26"/>
      <c r="Q35" s="1506"/>
      <c r="R35" s="1507"/>
      <c r="S35" s="1508"/>
      <c r="T35" s="1507"/>
      <c r="U35" s="1508"/>
      <c r="V35" s="1507"/>
      <c r="W35" s="1508"/>
      <c r="X35" s="1501"/>
      <c r="Y35" s="3526"/>
      <c r="Z35" s="1509"/>
      <c r="AA35" s="1510">
        <v>1</v>
      </c>
      <c r="AB35" s="1510">
        <v>1</v>
      </c>
      <c r="AC35" s="1510">
        <v>1</v>
      </c>
    </row>
    <row r="36" spans="1:29" ht="20.25">
      <c r="A36" s="526"/>
      <c r="B36" s="576" t="s">
        <v>543</v>
      </c>
      <c r="C36" s="574" t="s">
        <v>1402</v>
      </c>
      <c r="D36" s="569">
        <v>100</v>
      </c>
      <c r="E36" s="577" t="s">
        <v>1400</v>
      </c>
      <c r="F36" s="534">
        <f>SUMIF(110:110,E36,111:111)-SUMIF(110:110,C36,111:111)+100</f>
        <v>102</v>
      </c>
      <c r="G36" s="574" t="s">
        <v>1402</v>
      </c>
      <c r="H36" s="534">
        <f>SUMIF(110:110,G36,111:111)-SUMIF(110:110,C36,111:111)+100</f>
        <v>100</v>
      </c>
      <c r="I36" s="577" t="s">
        <v>1404</v>
      </c>
      <c r="J36" s="534">
        <f>SUMIF(110:110,I36,111:111)-SUMIF(110:110,C36,111:111)+100</f>
        <v>98</v>
      </c>
      <c r="K36" s="578">
        <v>2</v>
      </c>
      <c r="L36" s="2024"/>
      <c r="M36" s="2014"/>
      <c r="N36" s="2014"/>
      <c r="O36" s="2023"/>
      <c r="P36" s="3526"/>
      <c r="Q36" s="1506" t="str">
        <f t="shared" si="8"/>
        <v>土地级别</v>
      </c>
      <c r="R36" s="1507" t="s">
        <v>8</v>
      </c>
      <c r="S36" s="1508">
        <f t="shared" si="10"/>
        <v>102</v>
      </c>
      <c r="T36" s="1507" t="s">
        <v>8</v>
      </c>
      <c r="U36" s="1508">
        <f t="shared" si="11"/>
        <v>100</v>
      </c>
      <c r="V36" s="1507" t="s">
        <v>8</v>
      </c>
      <c r="W36" s="1508">
        <f t="shared" si="12"/>
        <v>98</v>
      </c>
      <c r="X36" s="1501"/>
      <c r="Y36" s="3526"/>
      <c r="Z36" s="1509" t="str">
        <f t="shared" si="13"/>
        <v>土地级别</v>
      </c>
      <c r="AA36" s="1510">
        <f t="shared" si="3"/>
        <v>0.98039215686274506</v>
      </c>
      <c r="AB36" s="1510">
        <f t="shared" si="4"/>
        <v>1</v>
      </c>
      <c r="AC36" s="1510">
        <f t="shared" si="5"/>
        <v>1.0204081632653061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6"/>
      <c r="Q37" s="1506">
        <f t="shared" si="8"/>
        <v>111</v>
      </c>
      <c r="R37" s="1507" t="s">
        <v>8</v>
      </c>
      <c r="S37" s="1508">
        <f t="shared" si="10"/>
        <v>100</v>
      </c>
      <c r="T37" s="1507" t="s">
        <v>8</v>
      </c>
      <c r="U37" s="1508">
        <f t="shared" si="11"/>
        <v>100</v>
      </c>
      <c r="V37" s="1507" t="s">
        <v>8</v>
      </c>
      <c r="W37" s="1508">
        <f t="shared" si="12"/>
        <v>100</v>
      </c>
      <c r="X37" s="1501"/>
      <c r="Y37" s="352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7" t="s">
        <v>544</v>
      </c>
      <c r="Q38" s="1506">
        <f t="shared" si="8"/>
        <v>111</v>
      </c>
      <c r="R38" s="1507" t="s">
        <v>8</v>
      </c>
      <c r="S38" s="1508">
        <f t="shared" si="10"/>
        <v>100</v>
      </c>
      <c r="T38" s="1507" t="s">
        <v>8</v>
      </c>
      <c r="U38" s="1508">
        <f t="shared" si="11"/>
        <v>100</v>
      </c>
      <c r="V38" s="1507" t="s">
        <v>8</v>
      </c>
      <c r="W38" s="1508">
        <f t="shared" si="12"/>
        <v>100</v>
      </c>
      <c r="X38" s="1501"/>
      <c r="Y38" s="352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8"/>
      <c r="Q39" s="1506">
        <f t="shared" si="8"/>
        <v>111</v>
      </c>
      <c r="R39" s="1511" t="s">
        <v>8</v>
      </c>
      <c r="S39" s="1512">
        <f t="shared" si="10"/>
        <v>100</v>
      </c>
      <c r="T39" s="1511" t="s">
        <v>8</v>
      </c>
      <c r="U39" s="1512">
        <f t="shared" si="11"/>
        <v>100</v>
      </c>
      <c r="V39" s="1511" t="s">
        <v>8</v>
      </c>
      <c r="W39" s="1512">
        <f t="shared" si="12"/>
        <v>100</v>
      </c>
      <c r="X39" s="1513"/>
      <c r="Y39" s="3528"/>
      <c r="Z39" s="1514">
        <f t="shared" si="13"/>
        <v>111</v>
      </c>
      <c r="AA39" s="1510">
        <f t="shared" si="3"/>
        <v>1</v>
      </c>
      <c r="AB39" s="1510">
        <f t="shared" si="4"/>
        <v>1</v>
      </c>
      <c r="AC39" s="1510">
        <f t="shared" si="5"/>
        <v>1</v>
      </c>
    </row>
    <row r="40" spans="1:29" ht="20.25">
      <c r="A40" s="2624" t="s">
        <v>2735</v>
      </c>
      <c r="B40" s="589" t="s">
        <v>546</v>
      </c>
      <c r="C40" s="590">
        <f>'数据-基础表'!A3</f>
        <v>46514.49</v>
      </c>
      <c r="D40" s="591">
        <v>100</v>
      </c>
      <c r="E40" s="590">
        <f>土地案例!D141</f>
        <v>67586.429999999993</v>
      </c>
      <c r="F40" s="591">
        <f>LOOKUP(E40,119:119,120:120)-LOOKUP(C40,119:119,120:120)+100</f>
        <v>102</v>
      </c>
      <c r="G40" s="590">
        <f>土地案例!D146</f>
        <v>31537.81</v>
      </c>
      <c r="H40" s="591">
        <f>LOOKUP(G40,119:119,120:120)-LOOKUP(C40,119:119,120:120)+100</f>
        <v>98</v>
      </c>
      <c r="I40" s="592">
        <f>土地案例!D157</f>
        <v>94973.86</v>
      </c>
      <c r="J40" s="591">
        <f>LOOKUP(I40,119:119,120:120)-LOOKUP(C40,119:119,120:120)+100</f>
        <v>104</v>
      </c>
      <c r="K40" s="575"/>
      <c r="L40" s="2024"/>
      <c r="M40" s="2014"/>
      <c r="N40" s="2014"/>
      <c r="O40" s="2023"/>
      <c r="P40" s="3528"/>
      <c r="Q40" s="1506" t="str">
        <f>B40</f>
        <v>宗地面积</v>
      </c>
      <c r="R40" s="1507" t="s">
        <v>8</v>
      </c>
      <c r="S40" s="1508">
        <f t="shared" si="10"/>
        <v>102</v>
      </c>
      <c r="T40" s="1507" t="s">
        <v>8</v>
      </c>
      <c r="U40" s="1508">
        <f t="shared" si="11"/>
        <v>98</v>
      </c>
      <c r="V40" s="1507" t="s">
        <v>8</v>
      </c>
      <c r="W40" s="1508">
        <f t="shared" si="12"/>
        <v>104</v>
      </c>
      <c r="X40" s="1501"/>
      <c r="Y40" s="3528"/>
      <c r="Z40" s="1509" t="str">
        <f t="shared" si="13"/>
        <v>宗地面积</v>
      </c>
      <c r="AA40" s="1510">
        <f t="shared" si="3"/>
        <v>0.98039215686274506</v>
      </c>
      <c r="AB40" s="1510">
        <f t="shared" si="4"/>
        <v>1.0204081632653061</v>
      </c>
      <c r="AC40" s="1510">
        <f t="shared" si="5"/>
        <v>0.96153846153846156</v>
      </c>
    </row>
    <row r="41" spans="1:29" ht="20.25">
      <c r="A41" s="588"/>
      <c r="B41" s="521" t="s">
        <v>547</v>
      </c>
      <c r="C41" s="3305" t="s">
        <v>3181</v>
      </c>
      <c r="D41" s="534">
        <v>100</v>
      </c>
      <c r="E41" s="3305" t="s">
        <v>3182</v>
      </c>
      <c r="F41" s="534">
        <f>SUMIF(121:121,E41,122:122)-SUMIF(121:121,C41,122:122)+100</f>
        <v>100</v>
      </c>
      <c r="G41" s="3305" t="s">
        <v>3182</v>
      </c>
      <c r="H41" s="534">
        <f>SUMIF(121:121,G41,122:122)-SUMIF(121:121,C41,122:122)+100</f>
        <v>100</v>
      </c>
      <c r="I41" s="3305" t="s">
        <v>3181</v>
      </c>
      <c r="J41" s="534">
        <f>SUMIF(121:121,I41,122:122)-SUMIF(121:121,C41,122:122)+100</f>
        <v>100</v>
      </c>
      <c r="K41" s="578">
        <v>2</v>
      </c>
      <c r="L41" s="2024"/>
      <c r="M41" s="2014"/>
      <c r="N41" s="2014"/>
      <c r="O41" s="2023"/>
      <c r="P41" s="3528"/>
      <c r="Q41" s="1506" t="str">
        <f t="shared" ref="Q41:Q47" si="14">B41</f>
        <v>宗地形状</v>
      </c>
      <c r="R41" s="1507" t="s">
        <v>8</v>
      </c>
      <c r="S41" s="1508">
        <f t="shared" si="10"/>
        <v>100</v>
      </c>
      <c r="T41" s="1507" t="s">
        <v>8</v>
      </c>
      <c r="U41" s="1508">
        <f t="shared" si="11"/>
        <v>100</v>
      </c>
      <c r="V41" s="1507" t="s">
        <v>8</v>
      </c>
      <c r="W41" s="1508">
        <f t="shared" si="12"/>
        <v>100</v>
      </c>
      <c r="X41" s="1501"/>
      <c r="Y41" s="352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4"/>
      <c r="M42" s="2014"/>
      <c r="N42" s="2014"/>
      <c r="O42" s="2023"/>
      <c r="P42" s="3528"/>
      <c r="Q42" s="1506" t="str">
        <f t="shared" si="14"/>
        <v>临街宽度及深度</v>
      </c>
      <c r="R42" s="1507" t="s">
        <v>8</v>
      </c>
      <c r="S42" s="1508">
        <f t="shared" si="10"/>
        <v>100</v>
      </c>
      <c r="T42" s="1507" t="s">
        <v>8</v>
      </c>
      <c r="U42" s="1508">
        <f t="shared" si="11"/>
        <v>100</v>
      </c>
      <c r="V42" s="1507" t="s">
        <v>8</v>
      </c>
      <c r="W42" s="1508">
        <f t="shared" si="12"/>
        <v>100</v>
      </c>
      <c r="X42" s="1501"/>
      <c r="Y42" s="3528"/>
      <c r="Z42" s="1509" t="str">
        <f t="shared" si="13"/>
        <v>临街宽度及深度</v>
      </c>
      <c r="AA42" s="1510">
        <f t="shared" si="3"/>
        <v>1</v>
      </c>
      <c r="AB42" s="1510">
        <f t="shared" si="4"/>
        <v>1</v>
      </c>
      <c r="AC42" s="1510">
        <f t="shared" si="5"/>
        <v>1</v>
      </c>
    </row>
    <row r="43" spans="1:29" s="1202" customFormat="1" ht="20.25">
      <c r="A43" s="594"/>
      <c r="B43" s="1809" t="s">
        <v>2409</v>
      </c>
      <c r="C43" s="3296" t="s">
        <v>3143</v>
      </c>
      <c r="D43" s="253">
        <v>100</v>
      </c>
      <c r="E43" s="3296" t="s">
        <v>3144</v>
      </c>
      <c r="F43" s="534">
        <f>SUMIF(125:125,E43,126:126)-SUMIF(125:125,C43,126:126)+100</f>
        <v>100</v>
      </c>
      <c r="G43" s="3296" t="s">
        <v>3145</v>
      </c>
      <c r="H43" s="534">
        <f>SUMIF(125:125,G43,126:126)-SUMIF(125:125,C43,126:126)+100</f>
        <v>102</v>
      </c>
      <c r="I43" s="3296" t="s">
        <v>3143</v>
      </c>
      <c r="J43" s="534">
        <f>SUMIF(125:125,I43,126:126)-SUMIF(125:125,C43,126:126)+100</f>
        <v>100</v>
      </c>
      <c r="K43" s="578">
        <v>2</v>
      </c>
      <c r="L43" s="2017"/>
      <c r="M43" s="2014"/>
      <c r="N43" s="2014"/>
      <c r="O43" s="2019"/>
      <c r="P43" s="3528"/>
      <c r="Q43" s="1506" t="str">
        <f t="shared" si="14"/>
        <v>宗地开发程度</v>
      </c>
      <c r="R43" s="1502" t="s">
        <v>8</v>
      </c>
      <c r="S43" s="1503">
        <f t="shared" si="10"/>
        <v>100</v>
      </c>
      <c r="T43" s="1502" t="s">
        <v>8</v>
      </c>
      <c r="U43" s="1503">
        <f t="shared" si="11"/>
        <v>102</v>
      </c>
      <c r="V43" s="1502" t="s">
        <v>8</v>
      </c>
      <c r="W43" s="1503">
        <f t="shared" si="12"/>
        <v>100</v>
      </c>
      <c r="X43" s="1504"/>
      <c r="Y43" s="3528"/>
      <c r="Z43" s="1132" t="str">
        <f t="shared" si="13"/>
        <v>宗地开发程度</v>
      </c>
      <c r="AA43" s="1505">
        <f t="shared" si="3"/>
        <v>1</v>
      </c>
      <c r="AB43" s="1505">
        <f t="shared" si="4"/>
        <v>0.98039215686274506</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4"/>
      <c r="M44" s="2014"/>
      <c r="N44" s="2014"/>
      <c r="O44" s="2023"/>
      <c r="P44" s="3528" t="s">
        <v>544</v>
      </c>
      <c r="Q44" s="1506" t="str">
        <f t="shared" si="14"/>
        <v>工程地质条件</v>
      </c>
      <c r="R44" s="1507" t="s">
        <v>8</v>
      </c>
      <c r="S44" s="1508">
        <f t="shared" si="10"/>
        <v>100</v>
      </c>
      <c r="T44" s="1507" t="s">
        <v>8</v>
      </c>
      <c r="U44" s="1508">
        <f t="shared" si="11"/>
        <v>100</v>
      </c>
      <c r="V44" s="1507" t="s">
        <v>8</v>
      </c>
      <c r="W44" s="1508">
        <f t="shared" si="12"/>
        <v>100</v>
      </c>
      <c r="X44" s="1501"/>
      <c r="Y44" s="352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8"/>
      <c r="Q45" s="1506">
        <f t="shared" si="14"/>
        <v>111</v>
      </c>
      <c r="R45" s="1507" t="s">
        <v>8</v>
      </c>
      <c r="S45" s="1508">
        <f t="shared" si="10"/>
        <v>100</v>
      </c>
      <c r="T45" s="1507" t="s">
        <v>8</v>
      </c>
      <c r="U45" s="1508">
        <f t="shared" si="11"/>
        <v>100</v>
      </c>
      <c r="V45" s="1507" t="s">
        <v>8</v>
      </c>
      <c r="W45" s="1508">
        <f t="shared" si="12"/>
        <v>100</v>
      </c>
      <c r="X45" s="1501"/>
      <c r="Y45" s="352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8"/>
      <c r="Q46" s="1506">
        <f t="shared" si="14"/>
        <v>111</v>
      </c>
      <c r="R46" s="1507" t="s">
        <v>8</v>
      </c>
      <c r="S46" s="1508">
        <f t="shared" si="10"/>
        <v>100</v>
      </c>
      <c r="T46" s="1507" t="s">
        <v>8</v>
      </c>
      <c r="U46" s="1508">
        <f t="shared" si="11"/>
        <v>100</v>
      </c>
      <c r="V46" s="1507" t="s">
        <v>8</v>
      </c>
      <c r="W46" s="1508">
        <f t="shared" si="12"/>
        <v>100</v>
      </c>
      <c r="X46" s="1501"/>
      <c r="Y46" s="352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8"/>
      <c r="Q47" s="1506">
        <f t="shared" si="14"/>
        <v>111</v>
      </c>
      <c r="R47" s="1511" t="s">
        <v>8</v>
      </c>
      <c r="S47" s="1512">
        <f t="shared" si="10"/>
        <v>100</v>
      </c>
      <c r="T47" s="1511" t="s">
        <v>8</v>
      </c>
      <c r="U47" s="1512">
        <f t="shared" si="11"/>
        <v>100</v>
      </c>
      <c r="V47" s="1511" t="s">
        <v>8</v>
      </c>
      <c r="W47" s="1512">
        <f t="shared" si="12"/>
        <v>100</v>
      </c>
      <c r="X47" s="1513"/>
      <c r="Y47" s="3528"/>
      <c r="Z47" s="1514">
        <f t="shared" si="13"/>
        <v>111</v>
      </c>
      <c r="AA47" s="1510">
        <f t="shared" si="3"/>
        <v>1</v>
      </c>
      <c r="AB47" s="1510">
        <f t="shared" si="4"/>
        <v>1</v>
      </c>
      <c r="AC47" s="1510">
        <f t="shared" si="5"/>
        <v>1</v>
      </c>
    </row>
    <row r="48" spans="1:29" ht="20.25">
      <c r="A48" s="601" t="s">
        <v>550</v>
      </c>
      <c r="B48" s="602" t="s">
        <v>3161</v>
      </c>
      <c r="C48" s="603" t="s">
        <v>1</v>
      </c>
      <c r="D48" s="604"/>
      <c r="E48" s="3326">
        <v>38767</v>
      </c>
      <c r="F48" s="606"/>
      <c r="G48" s="607">
        <v>54449</v>
      </c>
      <c r="H48" s="608"/>
      <c r="I48" s="605">
        <v>32569</v>
      </c>
      <c r="J48" s="608"/>
      <c r="K48" s="1293"/>
      <c r="L48" s="2026"/>
      <c r="M48" s="2014"/>
      <c r="N48" s="2014"/>
      <c r="O48" s="2027"/>
      <c r="P48" s="3523" t="str">
        <f>A48</f>
        <v>成交单价</v>
      </c>
      <c r="Q48" s="3523"/>
      <c r="R48" s="3537">
        <f>E48</f>
        <v>38767</v>
      </c>
      <c r="S48" s="3537"/>
      <c r="T48" s="3537">
        <f>G48</f>
        <v>54449</v>
      </c>
      <c r="U48" s="3537"/>
      <c r="V48" s="3537">
        <f>I48</f>
        <v>32569</v>
      </c>
      <c r="W48" s="3537"/>
      <c r="X48" s="1496"/>
      <c r="Y48" s="1515"/>
      <c r="Z48" s="1496"/>
      <c r="AA48" s="1496"/>
      <c r="AB48" s="1496"/>
      <c r="AC48" s="1496"/>
    </row>
    <row r="49" spans="1:29" ht="21" thickBot="1">
      <c r="A49" s="609" t="s">
        <v>2673</v>
      </c>
      <c r="B49" s="610"/>
      <c r="C49" s="611">
        <f>R50</f>
        <v>38396</v>
      </c>
      <c r="D49" s="3011" t="s">
        <v>2970</v>
      </c>
      <c r="E49" s="611">
        <f>R49</f>
        <v>37262</v>
      </c>
      <c r="F49" s="3012">
        <v>0.4</v>
      </c>
      <c r="G49" s="612">
        <f>T49</f>
        <v>50880</v>
      </c>
      <c r="H49" s="3012">
        <v>0.2</v>
      </c>
      <c r="I49" s="611">
        <f>V49</f>
        <v>33287</v>
      </c>
      <c r="J49" s="3012">
        <v>0.4</v>
      </c>
      <c r="K49" s="3013">
        <f>F49+H49+J49</f>
        <v>1</v>
      </c>
      <c r="L49" s="2026"/>
      <c r="M49" s="2014"/>
      <c r="N49" s="2014"/>
      <c r="O49" s="2027"/>
      <c r="P49" s="3523" t="str">
        <f>A49</f>
        <v>比较价格（元/平方米）</v>
      </c>
      <c r="Q49" s="3523"/>
      <c r="R49" s="3547">
        <f>ROUND(PRODUCT(R48,AA9:AA47),0)</f>
        <v>37262</v>
      </c>
      <c r="S49" s="3547"/>
      <c r="T49" s="3547">
        <f>ROUND(PRODUCT(T48,AB9:AB47),0)</f>
        <v>50880</v>
      </c>
      <c r="U49" s="3547"/>
      <c r="V49" s="3547">
        <f>ROUND(PRODUCT(V48,AC9:AC47),0)</f>
        <v>33287</v>
      </c>
      <c r="W49" s="3547"/>
      <c r="X49" s="1496"/>
      <c r="Y49" s="1496"/>
      <c r="Z49" s="1496"/>
      <c r="AA49" s="1496"/>
      <c r="AB49" s="1496"/>
      <c r="AC49" s="1496"/>
    </row>
    <row r="50" spans="1:29" ht="21" thickBot="1">
      <c r="A50" s="613" t="s">
        <v>2901</v>
      </c>
      <c r="B50" s="614"/>
      <c r="C50" s="615">
        <f>R50</f>
        <v>38396</v>
      </c>
      <c r="D50" s="615"/>
      <c r="E50" s="615"/>
      <c r="F50" s="615"/>
      <c r="G50" s="615"/>
      <c r="H50" s="615"/>
      <c r="I50" s="615"/>
      <c r="J50" s="615"/>
      <c r="K50" s="1294"/>
      <c r="L50" s="2026"/>
      <c r="M50" s="2014"/>
      <c r="N50" s="2014"/>
      <c r="O50" s="2027"/>
      <c r="P50" s="3544" t="str">
        <f>A50</f>
        <v>估价对象XX用房的比较价格（楼面单价，元/平方米）</v>
      </c>
      <c r="Q50" s="3545"/>
      <c r="R50" s="3546">
        <f>ROUND(IF(D49="简单平均",AVERAGE(R49:W49),R49*F49+T49*H49+V49*J49),0)</f>
        <v>38396</v>
      </c>
      <c r="S50" s="3546"/>
      <c r="T50" s="3546"/>
      <c r="U50" s="3546"/>
      <c r="V50" s="3546"/>
      <c r="W50" s="3546"/>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4.0389673125436065E-2</v>
      </c>
      <c r="F53" s="619" t="str">
        <f>IF(OR(E53&gt;=0.3,E53&lt;=-0.3),"超过30%","")</f>
        <v/>
      </c>
      <c r="G53" s="618">
        <f>IF(G48&lt;G49,G49/G48-1,G48/G49-1)</f>
        <v>7.0145440251572433E-2</v>
      </c>
      <c r="H53" s="619" t="str">
        <f>IF(OR(G53&gt;=0.3,G53&lt;=-0.3),"超过30%","")</f>
        <v/>
      </c>
      <c r="I53" s="618">
        <f>IF(I48&lt;I49,I49/I48-1,I48/I49-1)</f>
        <v>2.2045503392796872E-2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0.36546615855294928</v>
      </c>
      <c r="F54" s="619" t="str">
        <f>IF(OR(E54&gt;=0.2,E54&lt;=-0.2),"超过20%","")</f>
        <v>超过20%</v>
      </c>
      <c r="G54" s="618">
        <f>IF(G49&lt;I49,I49/G49-1,G49/I49-1)</f>
        <v>0.52852464926247489</v>
      </c>
      <c r="H54" s="619" t="str">
        <f>IF(OR(G54&gt;=0.2,G54&lt;=-0.2),"超过20%","")</f>
        <v>超过20%</v>
      </c>
      <c r="I54" s="618">
        <f>IF(I49&lt;E49,E49/I49-1,I49/E49-1)</f>
        <v>0.11941598822363075</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0.40451930765857558</v>
      </c>
      <c r="F55" s="619" t="str">
        <f>IF(OR(E55&gt;=0.3,E55&lt;=-0.3),"超过30%","")</f>
        <v>超过30%</v>
      </c>
      <c r="G55" s="618">
        <f>IF(G48&lt;I48,I48/G48-1,G48/I48-1)</f>
        <v>0.67180447664957477</v>
      </c>
      <c r="H55" s="619" t="str">
        <f>IF(OR(G55&gt;=0.3,G55&lt;=-0.3),"超过30%","")</f>
        <v>超过30%</v>
      </c>
      <c r="I55" s="618">
        <f>IF(I48&lt;E48,E48/I48-1,I48/E48-1)</f>
        <v>0.19030366299241619</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7" t="s">
        <v>2269</v>
      </c>
      <c r="H57" s="350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38396</v>
      </c>
      <c r="C58" s="627">
        <v>1</v>
      </c>
      <c r="D58" s="2108">
        <v>1</v>
      </c>
      <c r="E58" s="627">
        <f>'数据-汇总表'!E8+'数据-汇总表'!E9</f>
        <v>103024.827</v>
      </c>
      <c r="F58" s="628">
        <f t="shared" ref="F58:F67" si="15">ROUND(B58*E58/10000,0)</f>
        <v>395574</v>
      </c>
      <c r="G58" s="3509"/>
      <c r="H58" s="3510"/>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1" t="s">
        <v>2270</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1"/>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1"/>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1"/>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103024.827</v>
      </c>
      <c r="F68" s="636">
        <f>IF(B48="楼面地价",SUM(F58:F67),ROUND(C50*E68/10000,0))</f>
        <v>395574</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北京市平均增长率1.70%</v>
      </c>
      <c r="C73" s="882">
        <v>100</v>
      </c>
      <c r="D73" s="722">
        <v>100</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1.5（含）-2</v>
      </c>
      <c r="D81" s="674" t="str">
        <f t="shared" ref="D81:L81" si="20">D82&amp;"（含）"&amp;"-"&amp;E82</f>
        <v>2（含）-2.5</v>
      </c>
      <c r="E81" s="674" t="str">
        <f t="shared" si="20"/>
        <v>2.5（含）-3</v>
      </c>
      <c r="F81" s="674" t="str">
        <f t="shared" si="20"/>
        <v>3（含）-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1.5</v>
      </c>
      <c r="D82" s="535">
        <v>2</v>
      </c>
      <c r="E82" s="535">
        <v>2.5</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3317" t="s">
        <v>3185</v>
      </c>
      <c r="D84" s="1326" t="s">
        <v>3186</v>
      </c>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v>100</v>
      </c>
      <c r="D85" s="663">
        <v>95</v>
      </c>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t="str">
        <f>B15</f>
        <v>房价限价</v>
      </c>
      <c r="C86" s="3317" t="s">
        <v>3187</v>
      </c>
      <c r="D86" s="3317" t="s">
        <v>3188</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v>100</v>
      </c>
      <c r="D87" s="684">
        <v>90</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t="str">
        <f>B16</f>
        <v>配建公租房占比</v>
      </c>
      <c r="C88" s="3324">
        <v>0</v>
      </c>
      <c r="D88" s="3324" t="s">
        <v>3199</v>
      </c>
      <c r="E88" s="653" t="s">
        <v>3201</v>
      </c>
      <c r="F88" s="653" t="s">
        <v>3202</v>
      </c>
      <c r="G88" s="653" t="s">
        <v>3200</v>
      </c>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v>100</v>
      </c>
      <c r="D89" s="692">
        <v>99</v>
      </c>
      <c r="E89" s="692">
        <v>98</v>
      </c>
      <c r="F89" s="692">
        <v>97</v>
      </c>
      <c r="G89" s="692">
        <v>96</v>
      </c>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95</v>
      </c>
      <c r="E91" s="671">
        <f>D91-$K17</f>
        <v>90</v>
      </c>
      <c r="F91" s="671">
        <f>E91-$K17</f>
        <v>85</v>
      </c>
      <c r="G91" s="671">
        <f>F91-$K17</f>
        <v>80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3330" t="s">
        <v>3208</v>
      </c>
      <c r="D110" s="3330" t="s">
        <v>3209</v>
      </c>
      <c r="E110" s="3330" t="s">
        <v>3210</v>
      </c>
      <c r="F110" s="3330" t="s">
        <v>3211</v>
      </c>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98</v>
      </c>
      <c r="E111" s="671">
        <f t="shared" ref="E111:M111" si="24">D111-$K36</f>
        <v>96</v>
      </c>
      <c r="F111" s="671">
        <f t="shared" si="24"/>
        <v>94</v>
      </c>
      <c r="G111" s="671">
        <f t="shared" si="24"/>
        <v>92</v>
      </c>
      <c r="H111" s="671">
        <f t="shared" si="24"/>
        <v>90</v>
      </c>
      <c r="I111" s="671">
        <f t="shared" si="24"/>
        <v>88</v>
      </c>
      <c r="J111" s="671">
        <f t="shared" si="24"/>
        <v>86</v>
      </c>
      <c r="K111" s="671">
        <f t="shared" si="24"/>
        <v>84</v>
      </c>
      <c r="L111" s="671">
        <f t="shared" si="24"/>
        <v>82</v>
      </c>
      <c r="M111" s="671">
        <f t="shared" si="24"/>
        <v>80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7" t="str">
        <f t="shared" si="25"/>
        <v>(含)-</v>
      </c>
      <c r="K118" s="2777" t="str">
        <f t="shared" si="25"/>
        <v>(含)-</v>
      </c>
      <c r="L118" s="2778" t="str">
        <f t="shared" si="25"/>
        <v>(含)-</v>
      </c>
      <c r="M118" s="2779"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102</v>
      </c>
      <c r="E120" s="718">
        <v>104</v>
      </c>
      <c r="F120" s="718">
        <v>106</v>
      </c>
      <c r="G120" s="718">
        <v>108</v>
      </c>
      <c r="H120" s="718">
        <v>110</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3141</v>
      </c>
      <c r="D125" s="1326" t="s">
        <v>3145</v>
      </c>
      <c r="E125" s="1326" t="s">
        <v>3143</v>
      </c>
      <c r="F125" s="1326" t="s">
        <v>3146</v>
      </c>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34" t="str">
        <f>项目基本情况!B1</f>
        <v>北京市出让国有建设用地使用权抵押价格预评估</v>
      </c>
      <c r="C37" s="3334"/>
      <c r="D37" s="3334"/>
      <c r="E37" s="3334"/>
      <c r="F37" s="3334"/>
      <c r="G37" s="3334"/>
      <c r="H37" s="3334"/>
      <c r="I37" s="3334"/>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R170"/>
  <sheetViews>
    <sheetView zoomScale="70" zoomScaleNormal="70" workbookViewId="0">
      <selection activeCell="Q45" sqref="Q45"/>
    </sheetView>
  </sheetViews>
  <sheetFormatPr defaultRowHeight="13.5"/>
  <cols>
    <col min="1" max="1" width="23.125" customWidth="1"/>
    <col min="12" max="12" width="0" hidden="1" customWidth="1"/>
    <col min="16" max="16" width="0" hidden="1" customWidth="1"/>
  </cols>
  <sheetData>
    <row r="15" spans="13:18">
      <c r="N15" s="3245" t="s">
        <v>3195</v>
      </c>
      <c r="O15" s="3245" t="s">
        <v>3203</v>
      </c>
      <c r="Q15" s="3245" t="s">
        <v>3204</v>
      </c>
      <c r="R15" s="3245" t="s">
        <v>3205</v>
      </c>
    </row>
    <row r="16" spans="13:18">
      <c r="M16" s="3245" t="s">
        <v>3196</v>
      </c>
      <c r="N16">
        <v>1000</v>
      </c>
      <c r="O16">
        <v>4000</v>
      </c>
      <c r="Q16">
        <f>O16*N16/10000</f>
        <v>400</v>
      </c>
      <c r="R16">
        <v>8000</v>
      </c>
    </row>
    <row r="17" spans="13:17">
      <c r="M17" s="3245" t="s">
        <v>3197</v>
      </c>
      <c r="N17" s="3325">
        <f>N16/192900</f>
        <v>5.184033177812338E-3</v>
      </c>
      <c r="Q17">
        <f>4500*191900/10000+Q16</f>
        <v>86755</v>
      </c>
    </row>
    <row r="18" spans="13:17">
      <c r="M18" s="3245" t="s">
        <v>3198</v>
      </c>
      <c r="N18" s="3325">
        <f>32569.05/32400.21-1</f>
        <v>5.2110773356097706E-3</v>
      </c>
      <c r="Q18" s="3325">
        <f>Q16/Q17</f>
        <v>4.6106852630972278E-3</v>
      </c>
    </row>
    <row r="23" spans="13:17">
      <c r="O23">
        <f>625000+Q16</f>
        <v>625400</v>
      </c>
    </row>
    <row r="24" spans="13:17">
      <c r="O24" s="3325">
        <f>O23/625000-1</f>
        <v>6.3999999999997392E-4</v>
      </c>
    </row>
    <row r="26" spans="13:17">
      <c r="N26">
        <f>625000*10000/(192900-1000)</f>
        <v>32569.046378322044</v>
      </c>
    </row>
    <row r="64" spans="14:18">
      <c r="N64" s="3245" t="s">
        <v>3195</v>
      </c>
      <c r="O64" s="3245" t="s">
        <v>3203</v>
      </c>
      <c r="Q64" s="3245" t="s">
        <v>3204</v>
      </c>
      <c r="R64" s="3245" t="s">
        <v>3205</v>
      </c>
    </row>
    <row r="65" spans="13:18">
      <c r="M65" s="3245" t="s">
        <v>3196</v>
      </c>
      <c r="N65">
        <v>14100</v>
      </c>
      <c r="O65">
        <v>4000</v>
      </c>
      <c r="Q65">
        <f>O65*N65/10000</f>
        <v>5640</v>
      </c>
      <c r="R65">
        <v>9000</v>
      </c>
    </row>
    <row r="66" spans="13:18">
      <c r="M66" s="3245" t="s">
        <v>3197</v>
      </c>
      <c r="N66" s="3325">
        <f>N65/142817</f>
        <v>9.8727742495641271E-2</v>
      </c>
      <c r="Q66">
        <f>4500*(142817-N65)/10000+Q65</f>
        <v>63562.65</v>
      </c>
    </row>
    <row r="67" spans="13:18">
      <c r="M67" s="3245" t="s">
        <v>3198</v>
      </c>
      <c r="N67" s="3325">
        <f>47331.33/33483.87-1</f>
        <v>0.41355613912011946</v>
      </c>
      <c r="Q67" s="3325">
        <f>Q65/Q66</f>
        <v>8.873135402630318E-2</v>
      </c>
    </row>
    <row r="72" spans="13:18">
      <c r="O72">
        <f>499000+5640</f>
        <v>504640</v>
      </c>
    </row>
    <row r="73" spans="13:18">
      <c r="O73" s="3325">
        <f>O72/499000-1</f>
        <v>1.1302605210420813E-2</v>
      </c>
    </row>
    <row r="82" spans="14:17">
      <c r="Q82">
        <f>499000</f>
        <v>499000</v>
      </c>
    </row>
    <row r="83" spans="14:17">
      <c r="Q83">
        <f>Q82*10000/128717</f>
        <v>38767.218005391675</v>
      </c>
    </row>
    <row r="84" spans="14:17">
      <c r="N84">
        <v>6210</v>
      </c>
    </row>
    <row r="85" spans="14:17">
      <c r="N85">
        <f>149027-N84</f>
        <v>142817</v>
      </c>
    </row>
    <row r="86" spans="14:17">
      <c r="N86">
        <f>499000/N85*10000</f>
        <v>34939.818088882974</v>
      </c>
    </row>
    <row r="87" spans="14:17">
      <c r="N87">
        <v>33483.870000000003</v>
      </c>
    </row>
    <row r="88" spans="14:17">
      <c r="N88">
        <f>N86/N87-1</f>
        <v>4.3482073275370237E-2</v>
      </c>
    </row>
    <row r="113" spans="14:18">
      <c r="O113" s="3245" t="s">
        <v>3195</v>
      </c>
      <c r="Q113" s="3245" t="s">
        <v>3203</v>
      </c>
      <c r="R113" s="3245" t="s">
        <v>3204</v>
      </c>
    </row>
    <row r="114" spans="14:18">
      <c r="N114" s="3245" t="s">
        <v>3196</v>
      </c>
      <c r="O114">
        <v>20500</v>
      </c>
      <c r="Q114">
        <v>4000</v>
      </c>
      <c r="R114">
        <f>O114*Q114/10000</f>
        <v>8200</v>
      </c>
    </row>
    <row r="115" spans="14:18">
      <c r="N115" s="3245" t="s">
        <v>3197</v>
      </c>
      <c r="O115" s="3325">
        <f>O114/88306</f>
        <v>0.23214730595882499</v>
      </c>
      <c r="R115">
        <f>4500*(88306-20500)/10000+R114</f>
        <v>38712.699999999997</v>
      </c>
    </row>
    <row r="116" spans="14:18">
      <c r="N116" s="3245" t="s">
        <v>3198</v>
      </c>
      <c r="O116" s="3325">
        <f>53240.13/40880.57-1</f>
        <v>0.30233335787637006</v>
      </c>
      <c r="R116" s="3325">
        <f>R114/R115</f>
        <v>0.21181679397200404</v>
      </c>
    </row>
    <row r="118" spans="14:18">
      <c r="R118">
        <f>361000+R114</f>
        <v>369200</v>
      </c>
    </row>
    <row r="119" spans="14:18">
      <c r="R119">
        <f>R118/361000</f>
        <v>1.0227146814404433</v>
      </c>
    </row>
    <row r="125" spans="14:18">
      <c r="O125">
        <f>361000+R114</f>
        <v>369200</v>
      </c>
      <c r="R125">
        <f>O125*10000/(88306-20500)</f>
        <v>54449.458749963131</v>
      </c>
    </row>
    <row r="126" spans="14:18">
      <c r="O126" s="3325">
        <f>O125/361000-1</f>
        <v>2.2714681440443307E-2</v>
      </c>
    </row>
    <row r="140" spans="1:16">
      <c r="A140" s="3285" t="s">
        <v>3008</v>
      </c>
      <c r="B140" s="3285" t="s">
        <v>3009</v>
      </c>
      <c r="C140" s="3285" t="s">
        <v>3097</v>
      </c>
      <c r="D140" s="3285" t="s">
        <v>3098</v>
      </c>
      <c r="E140" s="3285" t="s">
        <v>3099</v>
      </c>
      <c r="F140" s="3285" t="s">
        <v>2021</v>
      </c>
      <c r="G140" s="3285" t="s">
        <v>3010</v>
      </c>
      <c r="H140" s="3285" t="s">
        <v>3100</v>
      </c>
      <c r="I140" s="3285" t="s">
        <v>3101</v>
      </c>
      <c r="J140" s="3285" t="s">
        <v>3102</v>
      </c>
      <c r="K140" s="3285" t="s">
        <v>3011</v>
      </c>
      <c r="L140" s="3285" t="s">
        <v>3103</v>
      </c>
      <c r="M140" s="3285" t="s">
        <v>3104</v>
      </c>
      <c r="N140" s="3285" t="s">
        <v>3105</v>
      </c>
      <c r="O140" s="3285" t="s">
        <v>3012</v>
      </c>
      <c r="P140" s="3285" t="s">
        <v>3106</v>
      </c>
    </row>
    <row r="141" spans="1:16" s="3286" customFormat="1">
      <c r="A141" s="3284" t="s">
        <v>3013</v>
      </c>
      <c r="B141" s="3284" t="s">
        <v>1934</v>
      </c>
      <c r="C141" s="3284" t="s">
        <v>3014</v>
      </c>
      <c r="D141" s="3284">
        <v>67586.429999999993</v>
      </c>
      <c r="E141" s="3284">
        <v>149027</v>
      </c>
      <c r="F141" s="3284" t="s">
        <v>3015</v>
      </c>
      <c r="G141" s="3284" t="s">
        <v>3016</v>
      </c>
      <c r="H141" s="3284" t="s">
        <v>3107</v>
      </c>
      <c r="I141" s="3284" t="s">
        <v>3108</v>
      </c>
      <c r="J141" s="3284" t="s">
        <v>3109</v>
      </c>
      <c r="K141" s="3284" t="s">
        <v>3018</v>
      </c>
      <c r="L141" s="3284">
        <v>475000</v>
      </c>
      <c r="M141" s="3284">
        <v>499000</v>
      </c>
      <c r="N141" s="3284">
        <v>33483.870000000003</v>
      </c>
      <c r="O141" s="3284">
        <v>5.05</v>
      </c>
      <c r="P141" s="3284" t="s">
        <v>3110</v>
      </c>
    </row>
    <row r="142" spans="1:16">
      <c r="A142" s="3285" t="s">
        <v>3019</v>
      </c>
      <c r="B142" s="3285" t="s">
        <v>1934</v>
      </c>
      <c r="C142" s="3285" t="s">
        <v>3020</v>
      </c>
      <c r="D142" s="3285">
        <v>58351.58</v>
      </c>
      <c r="E142" s="3285">
        <v>116703</v>
      </c>
      <c r="F142" s="3285" t="s">
        <v>3021</v>
      </c>
      <c r="G142" s="3285" t="s">
        <v>3016</v>
      </c>
      <c r="H142" s="3285" t="s">
        <v>3111</v>
      </c>
      <c r="I142" s="3285" t="s">
        <v>3108</v>
      </c>
      <c r="J142" s="3285" t="s">
        <v>3112</v>
      </c>
      <c r="K142" s="3285" t="s">
        <v>3022</v>
      </c>
      <c r="L142" s="3285">
        <v>151200</v>
      </c>
      <c r="M142" s="3285">
        <v>173800</v>
      </c>
      <c r="N142" s="3285">
        <v>14892.5</v>
      </c>
      <c r="O142" s="3285">
        <v>14.95</v>
      </c>
      <c r="P142" s="3285" t="s">
        <v>3113</v>
      </c>
    </row>
    <row r="143" spans="1:16">
      <c r="A143" s="3285" t="s">
        <v>3023</v>
      </c>
      <c r="B143" s="3285" t="s">
        <v>1934</v>
      </c>
      <c r="C143" s="3285" t="s">
        <v>3014</v>
      </c>
      <c r="D143" s="3285">
        <v>104979.3</v>
      </c>
      <c r="E143" s="3285">
        <v>177256.92</v>
      </c>
      <c r="F143" s="3285" t="s">
        <v>3024</v>
      </c>
      <c r="G143" s="3285" t="s">
        <v>3016</v>
      </c>
      <c r="H143" s="3285" t="s">
        <v>3114</v>
      </c>
      <c r="I143" s="3285" t="s">
        <v>3108</v>
      </c>
      <c r="J143" s="3285" t="s">
        <v>3109</v>
      </c>
      <c r="K143" s="3285" t="s">
        <v>3025</v>
      </c>
      <c r="L143" s="3285">
        <v>447000</v>
      </c>
      <c r="M143" s="3285">
        <v>451600</v>
      </c>
      <c r="N143" s="3285">
        <v>25477.13</v>
      </c>
      <c r="O143" s="3285">
        <v>1.03</v>
      </c>
      <c r="P143" s="3285" t="s">
        <v>3113</v>
      </c>
    </row>
    <row r="144" spans="1:16">
      <c r="A144" s="3285" t="s">
        <v>3026</v>
      </c>
      <c r="B144" s="3285" t="s">
        <v>1934</v>
      </c>
      <c r="C144" s="3285" t="s">
        <v>3014</v>
      </c>
      <c r="D144" s="3285">
        <v>23471.66</v>
      </c>
      <c r="E144" s="3285">
        <v>70415</v>
      </c>
      <c r="F144" s="3285" t="s">
        <v>3027</v>
      </c>
      <c r="G144" s="3285" t="s">
        <v>3016</v>
      </c>
      <c r="H144" s="3285" t="s">
        <v>3115</v>
      </c>
      <c r="I144" s="3285" t="s">
        <v>3108</v>
      </c>
      <c r="J144" s="3285" t="s">
        <v>3116</v>
      </c>
      <c r="K144" s="3285" t="s">
        <v>3028</v>
      </c>
      <c r="L144" s="3285">
        <v>243500</v>
      </c>
      <c r="M144" s="3285">
        <v>280000</v>
      </c>
      <c r="N144" s="3285">
        <v>39764.25</v>
      </c>
      <c r="O144" s="3285">
        <v>14.99</v>
      </c>
      <c r="P144" s="3285" t="s">
        <v>3113</v>
      </c>
    </row>
    <row r="145" spans="1:16">
      <c r="A145" s="3285" t="s">
        <v>3029</v>
      </c>
      <c r="B145" s="3285" t="s">
        <v>1934</v>
      </c>
      <c r="C145" s="3285" t="s">
        <v>3014</v>
      </c>
      <c r="D145" s="3285">
        <v>124063.23</v>
      </c>
      <c r="E145" s="3285">
        <v>240662.81</v>
      </c>
      <c r="F145" s="3285" t="s">
        <v>3030</v>
      </c>
      <c r="G145" s="3285" t="s">
        <v>3016</v>
      </c>
      <c r="H145" s="3285" t="s">
        <v>3117</v>
      </c>
      <c r="I145" s="3285" t="s">
        <v>3108</v>
      </c>
      <c r="J145" s="3285" t="s">
        <v>3109</v>
      </c>
      <c r="K145" s="3285" t="s">
        <v>3031</v>
      </c>
      <c r="L145" s="3285">
        <v>358000</v>
      </c>
      <c r="M145" s="3285">
        <v>411500</v>
      </c>
      <c r="N145" s="3285">
        <v>17098.61</v>
      </c>
      <c r="O145" s="3285">
        <v>14.94</v>
      </c>
      <c r="P145" s="3285" t="s">
        <v>3110</v>
      </c>
    </row>
    <row r="146" spans="1:16" s="3286" customFormat="1">
      <c r="A146" s="3284" t="s">
        <v>3032</v>
      </c>
      <c r="B146" s="3284" t="s">
        <v>1934</v>
      </c>
      <c r="C146" s="3284" t="s">
        <v>3020</v>
      </c>
      <c r="D146" s="3284">
        <v>31537.81</v>
      </c>
      <c r="E146" s="3284">
        <v>88306</v>
      </c>
      <c r="F146" s="3284" t="s">
        <v>3033</v>
      </c>
      <c r="G146" s="3284" t="s">
        <v>3016</v>
      </c>
      <c r="H146" s="3284" t="s">
        <v>3111</v>
      </c>
      <c r="I146" s="3284" t="s">
        <v>3108</v>
      </c>
      <c r="J146" s="3284" t="s">
        <v>3109</v>
      </c>
      <c r="K146" s="3284" t="s">
        <v>3018</v>
      </c>
      <c r="L146" s="3284">
        <v>343000</v>
      </c>
      <c r="M146" s="3284">
        <v>361000</v>
      </c>
      <c r="N146" s="3284">
        <v>40880.559999999998</v>
      </c>
      <c r="O146" s="3284">
        <v>5.25</v>
      </c>
      <c r="P146" s="3284" t="s">
        <v>3118</v>
      </c>
    </row>
    <row r="147" spans="1:16">
      <c r="A147" s="3285" t="s">
        <v>3034</v>
      </c>
      <c r="B147" s="3285" t="s">
        <v>1934</v>
      </c>
      <c r="C147" s="3285" t="s">
        <v>3020</v>
      </c>
      <c r="D147" s="3285">
        <v>57020.91</v>
      </c>
      <c r="E147" s="3285">
        <v>92371</v>
      </c>
      <c r="F147" s="3285" t="s">
        <v>3035</v>
      </c>
      <c r="G147" s="3285" t="s">
        <v>3016</v>
      </c>
      <c r="H147" s="3285" t="s">
        <v>3111</v>
      </c>
      <c r="I147" s="3285" t="s">
        <v>3108</v>
      </c>
      <c r="J147" s="3285" t="s">
        <v>3119</v>
      </c>
      <c r="K147" s="3285" t="s">
        <v>3036</v>
      </c>
      <c r="L147" s="3285">
        <v>621000</v>
      </c>
      <c r="M147" s="3285">
        <v>637000</v>
      </c>
      <c r="N147" s="3285">
        <v>68961.03</v>
      </c>
      <c r="O147" s="3285">
        <v>2.58</v>
      </c>
      <c r="P147" s="3285" t="s">
        <v>3110</v>
      </c>
    </row>
    <row r="148" spans="1:16">
      <c r="A148" s="3285" t="s">
        <v>3037</v>
      </c>
      <c r="B148" s="3285" t="s">
        <v>1934</v>
      </c>
      <c r="C148" s="3285" t="s">
        <v>3014</v>
      </c>
      <c r="D148" s="3285">
        <v>85059.12</v>
      </c>
      <c r="E148" s="3285">
        <v>242377.36</v>
      </c>
      <c r="F148" s="3285" t="s">
        <v>3033</v>
      </c>
      <c r="G148" s="3285" t="s">
        <v>3016</v>
      </c>
      <c r="H148" s="3285" t="s">
        <v>3115</v>
      </c>
      <c r="I148" s="3285" t="s">
        <v>3108</v>
      </c>
      <c r="J148" s="3285" t="s">
        <v>3119</v>
      </c>
      <c r="K148" s="3285" t="s">
        <v>3038</v>
      </c>
      <c r="L148" s="3285">
        <v>593000</v>
      </c>
      <c r="M148" s="3285">
        <v>682000</v>
      </c>
      <c r="N148" s="3285">
        <v>28137.93</v>
      </c>
      <c r="O148" s="3285">
        <v>15.01</v>
      </c>
      <c r="P148" s="3285" t="s">
        <v>3110</v>
      </c>
    </row>
    <row r="149" spans="1:16">
      <c r="A149" s="3285" t="s">
        <v>3039</v>
      </c>
      <c r="B149" s="3285" t="s">
        <v>1934</v>
      </c>
      <c r="C149" s="3285" t="s">
        <v>3020</v>
      </c>
      <c r="D149" s="3285">
        <v>16028.4</v>
      </c>
      <c r="E149" s="3285">
        <v>25645.439999999999</v>
      </c>
      <c r="F149" s="3285" t="s">
        <v>3035</v>
      </c>
      <c r="G149" s="3285" t="s">
        <v>3016</v>
      </c>
      <c r="H149" s="3285" t="s">
        <v>3111</v>
      </c>
      <c r="I149" s="3285" t="s">
        <v>3108</v>
      </c>
      <c r="J149" s="3285" t="s">
        <v>3109</v>
      </c>
      <c r="K149" s="3285" t="s">
        <v>3040</v>
      </c>
      <c r="L149" s="3285">
        <v>55500</v>
      </c>
      <c r="M149" s="3285">
        <v>66600</v>
      </c>
      <c r="N149" s="3285">
        <v>25969.52</v>
      </c>
      <c r="O149" s="3285">
        <v>20</v>
      </c>
      <c r="P149" s="3285" t="s">
        <v>3113</v>
      </c>
    </row>
    <row r="150" spans="1:16">
      <c r="A150" s="3285" t="s">
        <v>3041</v>
      </c>
      <c r="B150" s="3285" t="s">
        <v>1934</v>
      </c>
      <c r="C150" s="3285" t="s">
        <v>3020</v>
      </c>
      <c r="D150" s="3285">
        <v>32382.01</v>
      </c>
      <c r="E150" s="3285">
        <v>80955</v>
      </c>
      <c r="F150" s="3285" t="s">
        <v>3042</v>
      </c>
      <c r="G150" s="3285" t="s">
        <v>3016</v>
      </c>
      <c r="H150" s="3285" t="s">
        <v>3111</v>
      </c>
      <c r="I150" s="3285" t="s">
        <v>3108</v>
      </c>
      <c r="J150" s="3285" t="s">
        <v>3120</v>
      </c>
      <c r="K150" s="3285" t="s">
        <v>3043</v>
      </c>
      <c r="L150" s="3285">
        <v>300000</v>
      </c>
      <c r="M150" s="3285">
        <v>315000</v>
      </c>
      <c r="N150" s="3285">
        <v>38910.51</v>
      </c>
      <c r="O150" s="3285">
        <v>5</v>
      </c>
      <c r="P150" s="3285" t="s">
        <v>3118</v>
      </c>
    </row>
    <row r="151" spans="1:16">
      <c r="A151" s="3285" t="s">
        <v>3044</v>
      </c>
      <c r="B151" s="3285" t="s">
        <v>1934</v>
      </c>
      <c r="C151" s="3285" t="s">
        <v>3014</v>
      </c>
      <c r="D151" s="3285">
        <v>44474.33</v>
      </c>
      <c r="E151" s="3285">
        <v>95931.32</v>
      </c>
      <c r="F151" s="3285" t="s">
        <v>3045</v>
      </c>
      <c r="G151" s="3285" t="s">
        <v>3016</v>
      </c>
      <c r="H151" s="3285" t="s">
        <v>3121</v>
      </c>
      <c r="I151" s="3285" t="s">
        <v>3108</v>
      </c>
      <c r="J151" s="3285" t="s">
        <v>3116</v>
      </c>
      <c r="K151" s="3285" t="s">
        <v>3046</v>
      </c>
      <c r="L151" s="3285">
        <v>179200</v>
      </c>
      <c r="M151" s="3285">
        <v>224000</v>
      </c>
      <c r="N151" s="3285">
        <v>23350.04</v>
      </c>
      <c r="O151" s="3285">
        <v>25</v>
      </c>
      <c r="P151" s="3285" t="s">
        <v>3118</v>
      </c>
    </row>
    <row r="152" spans="1:16">
      <c r="A152" s="3285" t="s">
        <v>3047</v>
      </c>
      <c r="B152" s="3285" t="s">
        <v>1934</v>
      </c>
      <c r="C152" s="3285" t="s">
        <v>3020</v>
      </c>
      <c r="D152" s="3285">
        <v>41186.94</v>
      </c>
      <c r="E152" s="3285">
        <v>102967</v>
      </c>
      <c r="F152" s="3285" t="s">
        <v>3048</v>
      </c>
      <c r="G152" s="3285" t="s">
        <v>3016</v>
      </c>
      <c r="H152" s="3285" t="s">
        <v>3111</v>
      </c>
      <c r="I152" s="3285" t="s">
        <v>3108</v>
      </c>
      <c r="J152" s="3285" t="s">
        <v>3122</v>
      </c>
      <c r="K152" s="3285" t="s">
        <v>3049</v>
      </c>
      <c r="L152" s="3285">
        <v>443000</v>
      </c>
      <c r="M152" s="3285">
        <v>509400</v>
      </c>
      <c r="N152" s="3285">
        <v>49472.160000000003</v>
      </c>
      <c r="O152" s="3285">
        <v>14.99</v>
      </c>
      <c r="P152" s="3285" t="s">
        <v>3113</v>
      </c>
    </row>
    <row r="153" spans="1:16">
      <c r="A153" s="3285" t="s">
        <v>3050</v>
      </c>
      <c r="B153" s="3285" t="s">
        <v>1934</v>
      </c>
      <c r="C153" s="3285" t="s">
        <v>3020</v>
      </c>
      <c r="D153" s="3285">
        <v>74400.31</v>
      </c>
      <c r="E153" s="3285">
        <v>171120.71</v>
      </c>
      <c r="F153" s="3285" t="s">
        <v>3051</v>
      </c>
      <c r="G153" s="3285" t="s">
        <v>3016</v>
      </c>
      <c r="H153" s="3285" t="s">
        <v>3111</v>
      </c>
      <c r="I153" s="3285" t="s">
        <v>3108</v>
      </c>
      <c r="J153" s="3285" t="s">
        <v>3109</v>
      </c>
      <c r="K153" s="3285" t="s">
        <v>3052</v>
      </c>
      <c r="L153" s="3285">
        <v>590000</v>
      </c>
      <c r="M153" s="3285">
        <v>620000</v>
      </c>
      <c r="N153" s="3285">
        <v>36231.730000000003</v>
      </c>
      <c r="O153" s="3285">
        <v>5.08</v>
      </c>
      <c r="P153" s="3285" t="s">
        <v>3113</v>
      </c>
    </row>
    <row r="154" spans="1:16">
      <c r="A154" s="3285" t="s">
        <v>3053</v>
      </c>
      <c r="B154" s="3285" t="s">
        <v>1934</v>
      </c>
      <c r="C154" s="3285" t="s">
        <v>3020</v>
      </c>
      <c r="D154" s="3285">
        <v>48808.67</v>
      </c>
      <c r="E154" s="3285">
        <v>122022</v>
      </c>
      <c r="F154" s="3285" t="s">
        <v>3042</v>
      </c>
      <c r="G154" s="3285" t="s">
        <v>3016</v>
      </c>
      <c r="H154" s="3285" t="s">
        <v>3111</v>
      </c>
      <c r="I154" s="3285" t="s">
        <v>3108</v>
      </c>
      <c r="J154" s="3285" t="s">
        <v>3116</v>
      </c>
      <c r="K154" s="3285" t="s">
        <v>3054</v>
      </c>
      <c r="L154" s="3285">
        <v>519000</v>
      </c>
      <c r="M154" s="3285">
        <v>545000</v>
      </c>
      <c r="N154" s="3285">
        <v>44664.08</v>
      </c>
      <c r="O154" s="3285">
        <v>5.01</v>
      </c>
      <c r="P154" s="3285" t="s">
        <v>3118</v>
      </c>
    </row>
    <row r="155" spans="1:16">
      <c r="A155" s="3285" t="s">
        <v>3055</v>
      </c>
      <c r="B155" s="3285" t="s">
        <v>1934</v>
      </c>
      <c r="C155" s="3285" t="s">
        <v>3020</v>
      </c>
      <c r="D155" s="3285">
        <v>38953.300000000003</v>
      </c>
      <c r="E155" s="3285">
        <v>50639</v>
      </c>
      <c r="F155" s="3285" t="s">
        <v>3056</v>
      </c>
      <c r="G155" s="3285" t="s">
        <v>3016</v>
      </c>
      <c r="H155" s="3285" t="s">
        <v>3111</v>
      </c>
      <c r="I155" s="3285" t="s">
        <v>3108</v>
      </c>
      <c r="J155" s="3285" t="s">
        <v>3122</v>
      </c>
      <c r="K155" s="3285" t="s">
        <v>3057</v>
      </c>
      <c r="L155" s="3285">
        <v>258300</v>
      </c>
      <c r="M155" s="3285">
        <v>268300</v>
      </c>
      <c r="N155" s="3285">
        <v>52982.87</v>
      </c>
      <c r="O155" s="3285">
        <v>3.87</v>
      </c>
      <c r="P155" s="3285" t="s">
        <v>3113</v>
      </c>
    </row>
    <row r="156" spans="1:16">
      <c r="A156" s="3285" t="s">
        <v>3058</v>
      </c>
      <c r="B156" s="3285" t="s">
        <v>1934</v>
      </c>
      <c r="C156" s="3285" t="s">
        <v>3020</v>
      </c>
      <c r="D156" s="3285">
        <v>17102.490000000002</v>
      </c>
      <c r="E156" s="3285">
        <v>47887</v>
      </c>
      <c r="F156" s="3285" t="s">
        <v>3033</v>
      </c>
      <c r="G156" s="3285" t="s">
        <v>3016</v>
      </c>
      <c r="H156" s="3285" t="s">
        <v>3111</v>
      </c>
      <c r="I156" s="3285" t="s">
        <v>3108</v>
      </c>
      <c r="J156" s="3285" t="s">
        <v>3122</v>
      </c>
      <c r="K156" s="3285" t="s">
        <v>3059</v>
      </c>
      <c r="L156" s="3285">
        <v>217000</v>
      </c>
      <c r="M156" s="3285">
        <v>228000</v>
      </c>
      <c r="N156" s="3285">
        <v>47612.08</v>
      </c>
      <c r="O156" s="3285">
        <v>5.07</v>
      </c>
      <c r="P156" s="3285" t="s">
        <v>3110</v>
      </c>
    </row>
    <row r="157" spans="1:16" s="3286" customFormat="1">
      <c r="A157" s="3284" t="s">
        <v>3060</v>
      </c>
      <c r="B157" s="3284" t="s">
        <v>1934</v>
      </c>
      <c r="C157" s="3284" t="s">
        <v>3014</v>
      </c>
      <c r="D157" s="3284">
        <v>94973.86</v>
      </c>
      <c r="E157" s="3284">
        <v>192900</v>
      </c>
      <c r="F157" s="3284" t="s">
        <v>3021</v>
      </c>
      <c r="G157" s="3284" t="s">
        <v>3016</v>
      </c>
      <c r="H157" s="3284" t="s">
        <v>3123</v>
      </c>
      <c r="I157" s="3284" t="s">
        <v>3108</v>
      </c>
      <c r="J157" s="3284" t="s">
        <v>3109</v>
      </c>
      <c r="K157" s="3284" t="s">
        <v>3059</v>
      </c>
      <c r="L157" s="3284">
        <v>595000</v>
      </c>
      <c r="M157" s="3284">
        <v>625000</v>
      </c>
      <c r="N157" s="3284">
        <v>32400.2</v>
      </c>
      <c r="O157" s="3284">
        <v>5.04</v>
      </c>
      <c r="P157" s="3284" t="s">
        <v>3113</v>
      </c>
    </row>
    <row r="158" spans="1:16">
      <c r="A158" s="3285" t="s">
        <v>3061</v>
      </c>
      <c r="B158" s="3285" t="s">
        <v>1934</v>
      </c>
      <c r="C158" s="3285" t="s">
        <v>3014</v>
      </c>
      <c r="D158" s="3285">
        <v>38598.46</v>
      </c>
      <c r="E158" s="3285">
        <v>82574</v>
      </c>
      <c r="F158" s="3285" t="s">
        <v>3062</v>
      </c>
      <c r="G158" s="3285" t="s">
        <v>3016</v>
      </c>
      <c r="H158" s="3285" t="s">
        <v>3124</v>
      </c>
      <c r="I158" s="3285" t="s">
        <v>3108</v>
      </c>
      <c r="J158" s="3285" t="s">
        <v>3109</v>
      </c>
      <c r="K158" s="3285" t="s">
        <v>3063</v>
      </c>
      <c r="L158" s="3285">
        <v>142000</v>
      </c>
      <c r="M158" s="3285">
        <v>163000</v>
      </c>
      <c r="N158" s="3285">
        <v>19739.86</v>
      </c>
      <c r="O158" s="3285">
        <v>14.79</v>
      </c>
      <c r="P158" s="3285" t="s">
        <v>3110</v>
      </c>
    </row>
    <row r="159" spans="1:16">
      <c r="A159" s="3285" t="s">
        <v>3064</v>
      </c>
      <c r="B159" s="3285" t="s">
        <v>1934</v>
      </c>
      <c r="C159" s="3285" t="s">
        <v>3014</v>
      </c>
      <c r="D159" s="3285">
        <v>115536.75</v>
      </c>
      <c r="E159" s="3285">
        <v>211725</v>
      </c>
      <c r="F159" s="3285" t="s">
        <v>3065</v>
      </c>
      <c r="G159" s="3285" t="s">
        <v>3016</v>
      </c>
      <c r="H159" s="3285" t="s">
        <v>3125</v>
      </c>
      <c r="I159" s="3285" t="s">
        <v>3108</v>
      </c>
      <c r="J159" s="3285" t="s">
        <v>3017</v>
      </c>
      <c r="K159" s="3285" t="s">
        <v>3066</v>
      </c>
      <c r="L159" s="3285">
        <v>457000</v>
      </c>
      <c r="M159" s="3285">
        <v>457000</v>
      </c>
      <c r="N159" s="3285">
        <v>21584.59</v>
      </c>
      <c r="O159" s="3285">
        <v>0</v>
      </c>
      <c r="P159" s="3285" t="s">
        <v>3113</v>
      </c>
    </row>
    <row r="160" spans="1:16">
      <c r="A160" s="3285" t="s">
        <v>3067</v>
      </c>
      <c r="B160" s="3285" t="s">
        <v>1934</v>
      </c>
      <c r="C160" s="3285" t="s">
        <v>3014</v>
      </c>
      <c r="D160" s="3285">
        <v>108243.94</v>
      </c>
      <c r="E160" s="3285">
        <v>262360.75</v>
      </c>
      <c r="F160" s="3285" t="s">
        <v>3068</v>
      </c>
      <c r="G160" s="3285" t="s">
        <v>3016</v>
      </c>
      <c r="H160" s="3285" t="s">
        <v>3126</v>
      </c>
      <c r="I160" s="3285" t="s">
        <v>3108</v>
      </c>
      <c r="J160" s="3285" t="s">
        <v>3017</v>
      </c>
      <c r="K160" s="3285" t="s">
        <v>3069</v>
      </c>
      <c r="L160" s="3285">
        <v>452000</v>
      </c>
      <c r="M160" s="3285">
        <v>452000</v>
      </c>
      <c r="N160" s="3285">
        <v>17228.18</v>
      </c>
      <c r="O160" s="3285">
        <v>0</v>
      </c>
      <c r="P160" s="3285" t="s">
        <v>3110</v>
      </c>
    </row>
    <row r="161" spans="1:16">
      <c r="A161" s="3285" t="s">
        <v>3070</v>
      </c>
      <c r="B161" s="3285" t="s">
        <v>1934</v>
      </c>
      <c r="C161" s="3285" t="s">
        <v>3014</v>
      </c>
      <c r="D161" s="3285">
        <v>52916.1</v>
      </c>
      <c r="E161" s="3285">
        <v>51938.27</v>
      </c>
      <c r="F161" s="3285" t="s">
        <v>3071</v>
      </c>
      <c r="G161" s="3285" t="s">
        <v>3016</v>
      </c>
      <c r="H161" s="3285" t="s">
        <v>3127</v>
      </c>
      <c r="I161" s="3285" t="s">
        <v>3108</v>
      </c>
      <c r="J161" s="3285" t="s">
        <v>3017</v>
      </c>
      <c r="K161" s="3285" t="s">
        <v>3072</v>
      </c>
      <c r="L161" s="3285">
        <v>153000</v>
      </c>
      <c r="M161" s="3285">
        <v>153000</v>
      </c>
      <c r="N161" s="3285">
        <v>29458.04</v>
      </c>
      <c r="O161" s="3285">
        <v>0</v>
      </c>
      <c r="P161" s="3285" t="s">
        <v>3128</v>
      </c>
    </row>
    <row r="162" spans="1:16">
      <c r="A162" s="3285" t="s">
        <v>3073</v>
      </c>
      <c r="B162" s="3285" t="s">
        <v>1934</v>
      </c>
      <c r="C162" s="3285" t="s">
        <v>3020</v>
      </c>
      <c r="D162" s="3285">
        <v>90083.7</v>
      </c>
      <c r="E162" s="3285">
        <v>126117.18</v>
      </c>
      <c r="F162" s="3285" t="s">
        <v>3074</v>
      </c>
      <c r="G162" s="3285" t="s">
        <v>3016</v>
      </c>
      <c r="H162" s="3285" t="s">
        <v>3111</v>
      </c>
      <c r="I162" s="3285" t="s">
        <v>3108</v>
      </c>
      <c r="J162" s="3285" t="s">
        <v>3109</v>
      </c>
      <c r="K162" s="3285" t="s">
        <v>3075</v>
      </c>
      <c r="L162" s="3285">
        <v>367000</v>
      </c>
      <c r="M162" s="3285">
        <v>371000</v>
      </c>
      <c r="N162" s="3285">
        <v>29417.09</v>
      </c>
      <c r="O162" s="3285">
        <v>1.0900000000000001</v>
      </c>
      <c r="P162" s="3285" t="s">
        <v>3113</v>
      </c>
    </row>
    <row r="163" spans="1:16">
      <c r="A163" s="3285" t="s">
        <v>3076</v>
      </c>
      <c r="B163" s="3285" t="s">
        <v>1934</v>
      </c>
      <c r="C163" s="3285" t="s">
        <v>3020</v>
      </c>
      <c r="D163" s="3285">
        <v>34118.69</v>
      </c>
      <c r="E163" s="3285">
        <v>85297</v>
      </c>
      <c r="F163" s="3285" t="s">
        <v>3048</v>
      </c>
      <c r="G163" s="3285" t="s">
        <v>3016</v>
      </c>
      <c r="H163" s="3285" t="s">
        <v>3111</v>
      </c>
      <c r="I163" s="3285" t="s">
        <v>3108</v>
      </c>
      <c r="J163" s="3285" t="s">
        <v>3122</v>
      </c>
      <c r="K163" s="3285" t="s">
        <v>3077</v>
      </c>
      <c r="L163" s="3285">
        <v>367000</v>
      </c>
      <c r="M163" s="3285">
        <v>422000</v>
      </c>
      <c r="N163" s="3285">
        <v>49474.19</v>
      </c>
      <c r="O163" s="3285">
        <v>14.99</v>
      </c>
      <c r="P163" s="3285" t="s">
        <v>3128</v>
      </c>
    </row>
    <row r="164" spans="1:16">
      <c r="A164" s="3285" t="s">
        <v>3078</v>
      </c>
      <c r="B164" s="3285" t="s">
        <v>1934</v>
      </c>
      <c r="C164" s="3285" t="s">
        <v>3020</v>
      </c>
      <c r="D164" s="3285">
        <v>16867.490000000002</v>
      </c>
      <c r="E164" s="3285">
        <v>32048.23</v>
      </c>
      <c r="F164" s="3285" t="s">
        <v>3079</v>
      </c>
      <c r="G164" s="3285" t="s">
        <v>3016</v>
      </c>
      <c r="H164" s="3285" t="s">
        <v>3111</v>
      </c>
      <c r="I164" s="3285">
        <v>202101</v>
      </c>
      <c r="J164" s="3285" t="s">
        <v>3119</v>
      </c>
      <c r="K164" s="3285" t="s">
        <v>3080</v>
      </c>
      <c r="L164" s="3285">
        <v>38100</v>
      </c>
      <c r="M164" s="3285">
        <v>41900</v>
      </c>
      <c r="N164" s="3285">
        <v>13074.04</v>
      </c>
      <c r="O164" s="3285">
        <v>9.9700000000000006</v>
      </c>
      <c r="P164" s="3285" t="s">
        <v>3113</v>
      </c>
    </row>
    <row r="165" spans="1:16">
      <c r="A165" s="3285" t="s">
        <v>3081</v>
      </c>
      <c r="B165" s="3285" t="s">
        <v>1934</v>
      </c>
      <c r="C165" s="3285" t="s">
        <v>3014</v>
      </c>
      <c r="D165" s="3285">
        <v>32742.57</v>
      </c>
      <c r="E165" s="3285">
        <v>73016</v>
      </c>
      <c r="F165" s="3285" t="s">
        <v>3082</v>
      </c>
      <c r="G165" s="3285" t="s">
        <v>3016</v>
      </c>
      <c r="H165" s="3285" t="s">
        <v>3129</v>
      </c>
      <c r="I165" s="3285" t="s">
        <v>3108</v>
      </c>
      <c r="J165" s="3285" t="s">
        <v>3116</v>
      </c>
      <c r="K165" s="3285" t="s">
        <v>3083</v>
      </c>
      <c r="L165" s="3285">
        <v>294500</v>
      </c>
      <c r="M165" s="3285">
        <v>309500</v>
      </c>
      <c r="N165" s="3285">
        <v>42387.97</v>
      </c>
      <c r="O165" s="3285">
        <v>5.09</v>
      </c>
      <c r="P165" s="3285" t="s">
        <v>3118</v>
      </c>
    </row>
    <row r="166" spans="1:16">
      <c r="A166" s="3285" t="s">
        <v>3084</v>
      </c>
      <c r="B166" s="3285" t="s">
        <v>1934</v>
      </c>
      <c r="C166" s="3285" t="s">
        <v>3020</v>
      </c>
      <c r="D166" s="3285">
        <v>48407.51</v>
      </c>
      <c r="E166" s="3285">
        <v>96815.01</v>
      </c>
      <c r="F166" s="3285" t="s">
        <v>3021</v>
      </c>
      <c r="G166" s="3285" t="s">
        <v>3016</v>
      </c>
      <c r="H166" s="3285" t="s">
        <v>3111</v>
      </c>
      <c r="I166" s="3285" t="s">
        <v>3108</v>
      </c>
      <c r="J166" s="3285" t="s">
        <v>3017</v>
      </c>
      <c r="K166" s="3285" t="s">
        <v>3085</v>
      </c>
      <c r="L166" s="3285">
        <v>145800</v>
      </c>
      <c r="M166" s="3285">
        <v>145800</v>
      </c>
      <c r="N166" s="3285">
        <v>15059.64</v>
      </c>
      <c r="O166" s="3285">
        <v>0</v>
      </c>
      <c r="P166" s="3285" t="s">
        <v>3128</v>
      </c>
    </row>
    <row r="167" spans="1:16">
      <c r="A167" s="3285" t="s">
        <v>3086</v>
      </c>
      <c r="B167" s="3285" t="s">
        <v>1934</v>
      </c>
      <c r="C167" s="3285" t="s">
        <v>3020</v>
      </c>
      <c r="D167" s="3285">
        <v>52686.19</v>
      </c>
      <c r="E167" s="3285">
        <v>83160</v>
      </c>
      <c r="F167" s="3285" t="s">
        <v>3035</v>
      </c>
      <c r="G167" s="3285" t="s">
        <v>3016</v>
      </c>
      <c r="H167" s="3285" t="s">
        <v>3111</v>
      </c>
      <c r="I167" s="3285" t="s">
        <v>3108</v>
      </c>
      <c r="J167" s="3285" t="s">
        <v>3119</v>
      </c>
      <c r="K167" s="3285" t="s">
        <v>3087</v>
      </c>
      <c r="L167" s="3285">
        <v>559000</v>
      </c>
      <c r="M167" s="3285">
        <v>573000</v>
      </c>
      <c r="N167" s="3285">
        <v>68903.320000000007</v>
      </c>
      <c r="O167" s="3285">
        <v>2.5</v>
      </c>
      <c r="P167" s="3285" t="s">
        <v>3110</v>
      </c>
    </row>
    <row r="168" spans="1:16">
      <c r="A168" s="3285" t="s">
        <v>3088</v>
      </c>
      <c r="B168" s="3285" t="s">
        <v>1934</v>
      </c>
      <c r="C168" s="3285" t="s">
        <v>3020</v>
      </c>
      <c r="D168" s="3285">
        <v>57008.47</v>
      </c>
      <c r="E168" s="3285">
        <v>74111</v>
      </c>
      <c r="F168" s="3285" t="s">
        <v>3056</v>
      </c>
      <c r="G168" s="3285" t="s">
        <v>3016</v>
      </c>
      <c r="H168" s="3285" t="s">
        <v>3111</v>
      </c>
      <c r="I168" s="3285" t="s">
        <v>3108</v>
      </c>
      <c r="J168" s="3285" t="s">
        <v>3122</v>
      </c>
      <c r="K168" s="3285" t="s">
        <v>3089</v>
      </c>
      <c r="L168" s="3285">
        <v>378000</v>
      </c>
      <c r="M168" s="3285">
        <v>392700</v>
      </c>
      <c r="N168" s="3285">
        <v>52988.08</v>
      </c>
      <c r="O168" s="3285">
        <v>3.89</v>
      </c>
      <c r="P168" s="3285" t="s">
        <v>3110</v>
      </c>
    </row>
    <row r="169" spans="1:16">
      <c r="A169" s="3285" t="s">
        <v>3090</v>
      </c>
      <c r="B169" s="3285" t="s">
        <v>1934</v>
      </c>
      <c r="C169" s="3285" t="s">
        <v>3014</v>
      </c>
      <c r="D169" s="3285">
        <v>41608.92</v>
      </c>
      <c r="E169" s="3285">
        <v>110813.27</v>
      </c>
      <c r="F169" s="3285" t="s">
        <v>3091</v>
      </c>
      <c r="G169" s="3285" t="s">
        <v>3016</v>
      </c>
      <c r="H169" s="3285" t="s">
        <v>3130</v>
      </c>
      <c r="I169" s="3285" t="s">
        <v>3108</v>
      </c>
      <c r="J169" s="3285" t="s">
        <v>3109</v>
      </c>
      <c r="K169" s="3285" t="s">
        <v>3092</v>
      </c>
      <c r="L169" s="3285">
        <v>616000</v>
      </c>
      <c r="M169" s="3285">
        <v>644000</v>
      </c>
      <c r="N169" s="3285">
        <v>58115.77</v>
      </c>
      <c r="O169" s="3285">
        <v>4.55</v>
      </c>
      <c r="P169" s="3285" t="s">
        <v>3113</v>
      </c>
    </row>
    <row r="170" spans="1:16">
      <c r="A170" s="3285" t="s">
        <v>3093</v>
      </c>
      <c r="B170" s="3285" t="s">
        <v>1934</v>
      </c>
      <c r="C170" s="3285" t="s">
        <v>3014</v>
      </c>
      <c r="D170" s="3285">
        <v>40514.839999999997</v>
      </c>
      <c r="E170" s="3285">
        <v>92680</v>
      </c>
      <c r="F170" s="3285" t="s">
        <v>3082</v>
      </c>
      <c r="G170" s="3285" t="s">
        <v>3094</v>
      </c>
      <c r="H170" s="3285" t="s">
        <v>3123</v>
      </c>
      <c r="I170" s="3285" t="s">
        <v>3108</v>
      </c>
      <c r="J170" s="3285" t="s">
        <v>3095</v>
      </c>
      <c r="K170" s="3285" t="s">
        <v>3096</v>
      </c>
      <c r="L170" s="3285" t="s">
        <v>2797</v>
      </c>
      <c r="M170" s="3285">
        <v>75000</v>
      </c>
      <c r="N170" s="3285">
        <v>8092.35</v>
      </c>
      <c r="O170" s="3285" t="s">
        <v>2797</v>
      </c>
      <c r="P170" s="3285" t="s">
        <v>3113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6" sqref="N3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431218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40307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92706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6180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664067</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914</v>
      </c>
      <c r="D7" s="430" t="s">
        <v>3158</v>
      </c>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64457</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103024.827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39">
        <f>'不动产比较法-住宅'!B2</f>
        <v>664067</v>
      </c>
      <c r="D10" s="2739"/>
      <c r="E10" s="2739"/>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4">
        <f ca="1">IF(B1="",'数据-取费表'!P16,INDIRECT("'数据-取费表'!p"&amp;$K$1)+INDIRECT("'数据-取费表'!t"&amp;$K$1))</f>
        <v>43270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1298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2164</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2140</v>
      </c>
      <c r="D16" s="2561">
        <f ca="1">IF(B1="",'数据-汇总表'!E3,INDIRECT("'数据-取费表'!K"&amp;$K$1)+INDIRECT("'数据-取费表'!S"&amp;$K$1))</f>
        <v>106983.327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649</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49521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535</v>
      </c>
      <c r="D19" s="2571">
        <f ca="1">D16</f>
        <v>106983.327</v>
      </c>
      <c r="E19" s="2525">
        <f>'数据-取费表'!B32</f>
        <v>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1727</v>
      </c>
      <c r="D20" s="2571"/>
      <c r="E20" s="2525"/>
      <c r="F20" s="2572"/>
      <c r="G20" s="2773"/>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1648</v>
      </c>
      <c r="D21" s="2561">
        <f ca="1">IF(B1="",'数据-汇总表'!E5,IF(INDIRECT("'数据-取费表'!c"&amp;$K$1)="住宅",INDIRECT("'数据-取费表'!k"&amp;$K$1),0))</f>
        <v>103024.827</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79</v>
      </c>
      <c r="D22" s="2561">
        <f ca="1">IF(B1="",'数据-汇总表'!E6,IF(INDIRECT("'数据-取费表'!c"&amp;$K$1)="住宅",INDIRECT("'数据-取费表'!s"&amp;$K$1),INDIRECT("'数据-取费表'!k"&amp;$K$1)+INDIRECT("'数据-取费表'!s"&amp;$K$1)))</f>
        <v>3958.5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5" t="s">
        <v>2813</v>
      </c>
      <c r="C23" s="2569">
        <f ca="1">ROUND((C18+C19+C20)*F23,0)</f>
        <v>1036</v>
      </c>
      <c r="D23" s="462"/>
      <c r="E23" s="462"/>
      <c r="F23" s="2573">
        <f>'数据-取费表'!B37</f>
        <v>0.02</v>
      </c>
      <c r="G23" s="2529" t="s">
        <v>2415</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5" t="s">
        <v>2816</v>
      </c>
      <c r="C24" s="2569">
        <f>ROUND(C6*F24,0)</f>
        <v>13281</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5"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6" t="s">
        <v>2815</v>
      </c>
      <c r="C26" s="2574">
        <f ca="1">C28</f>
        <v>2875</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1847</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1848</v>
      </c>
      <c r="B28" s="2575" t="s">
        <v>2817</v>
      </c>
      <c r="C28" s="2577">
        <f ca="1">ROUND(IF('数据-取费表'!B22&lt;=1,(C18+C19+C20+C23+C24)*F26*'数据-取费表'!B24/2,(C18+C19+C20+C23+C24)*(POWER((1+F26),'数据-取费表'!B24/2)-1)),0)</f>
        <v>2875</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ROUND(C6*F29/(1+'数据-取费表'!C42),0)</f>
        <v>35417</v>
      </c>
      <c r="D29" s="462"/>
      <c r="E29" s="462"/>
      <c r="F29" s="2747">
        <f>'数据-取费表'!B41</f>
        <v>5.6000000000000001E-2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1854</v>
      </c>
      <c r="B30" s="2579" t="s">
        <v>494</v>
      </c>
      <c r="C30" s="2574">
        <f ca="1">C31</f>
        <v>104392</v>
      </c>
      <c r="D30" s="471">
        <f ca="1">C32</f>
        <v>0.1205</v>
      </c>
      <c r="E30" s="463" t="s">
        <v>489</v>
      </c>
      <c r="F30" s="465"/>
      <c r="G30" s="2537" t="s">
        <v>2934</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1847</v>
      </c>
      <c r="B31" s="2575"/>
      <c r="C31" s="444">
        <f ca="1">C18+C19+C20+C23+C24+C26+C29</f>
        <v>104392</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1848</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4" t="s">
        <v>2812</v>
      </c>
      <c r="B33" s="2742" t="s">
        <v>2810</v>
      </c>
      <c r="C33" s="472">
        <f ca="1">C35</f>
        <v>9915</v>
      </c>
      <c r="D33" s="461">
        <f ca="1">C34</f>
        <v>0.15440000000000001</v>
      </c>
      <c r="E33" s="463" t="s">
        <v>489</v>
      </c>
      <c r="F33" s="473">
        <f ca="1">IF(B1="",'数据-取费表'!Q16,INDIRECT("'数据-取费表'!q"&amp;$K$1))</f>
        <v>0.15</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1848</v>
      </c>
      <c r="B35" s="2743" t="s">
        <v>2818</v>
      </c>
      <c r="C35" s="1556">
        <f ca="1">ROUND((C18+C19+C20+C23+C24)*F33,0)</f>
        <v>9915</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1835</v>
      </c>
      <c r="B36" s="2543"/>
      <c r="C36" s="2582">
        <f ca="1">ROUND((C6-C30-C33)/(1+D30+D33),0)</f>
        <v>431218</v>
      </c>
      <c r="D36" s="2543"/>
      <c r="E36" s="2543"/>
      <c r="F36" s="2543"/>
      <c r="G36" s="2542" t="s">
        <v>2819</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1839</v>
      </c>
      <c r="B13" s="443" t="s">
        <v>473</v>
      </c>
      <c r="C13" s="444">
        <f ca="1">IF(B1="",'数据-取费表'!M16,INDIRECT("'数据-取费表'!M"&amp;$K$1)+INDIRECT("'数据-取费表'!t"&amp;$K$1))</f>
        <v>43270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1298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2164</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2140</v>
      </c>
      <c r="D16" s="445">
        <f ca="1">IF(B1="",'数据-汇总表'!E3,INDIRECT("'数据-取费表'!K"&amp;$K$1)+INDIRECT("'数据-取费表'!S"&amp;$K$1))</f>
        <v>106983.327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649</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49521</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1845</v>
      </c>
      <c r="B19" s="453" t="s">
        <v>487</v>
      </c>
      <c r="C19" s="454">
        <f ca="1">ROUND(C18*F19,0)</f>
        <v>990</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1849</v>
      </c>
      <c r="B21" s="455" t="s">
        <v>488</v>
      </c>
      <c r="C21" s="464">
        <f ca="1">C22</f>
        <v>2197</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2" customFormat="1" ht="13.5" customHeight="1">
      <c r="A22" s="1561" t="s">
        <v>1839</v>
      </c>
      <c r="B22" s="1281" t="s">
        <v>2419</v>
      </c>
      <c r="C22" s="481">
        <f ca="1">ROUND(IF('数据-取费表'!B22&lt;=1,(C18+C19)*F21*'数据-取费表'!B20/2,(C18+C19)*(POWER((1+F21),'数据-取费表'!B20/2)-1)),0)</f>
        <v>2197</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1840</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1850</v>
      </c>
      <c r="B24" s="2742" t="s">
        <v>2811</v>
      </c>
      <c r="C24" s="472">
        <f ca="1">C25</f>
        <v>7577</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1839</v>
      </c>
      <c r="B25" s="1281" t="s">
        <v>2420</v>
      </c>
      <c r="C25" s="484">
        <f ca="1">ROUND((C18+C19)*F24,0)</f>
        <v>7577</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1858</v>
      </c>
      <c r="B27" s="453" t="s">
        <v>505</v>
      </c>
      <c r="C27" s="2741">
        <f>ROUND(F27/(1+'数据-取费表'!C42),4)</f>
        <v>5.33E-2</v>
      </c>
      <c r="D27" s="456" t="s">
        <v>2809</v>
      </c>
      <c r="E27" s="456"/>
      <c r="F27" s="460">
        <f>'数据-取费表'!B41</f>
        <v>5.6000000000000001E-2</v>
      </c>
      <c r="G27" s="1874"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1859</v>
      </c>
      <c r="B28" s="470" t="s">
        <v>506</v>
      </c>
      <c r="C28" s="464">
        <f ca="1">ROUND((C18+C19+C21+C24)/(1-C20-D21-D24-C27),0)</f>
        <v>65328</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2935</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1676</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29" t="s">
        <v>516</v>
      </c>
      <c r="D6" s="3530"/>
      <c r="E6" s="3554" t="s">
        <v>517</v>
      </c>
      <c r="F6" s="3555"/>
      <c r="G6" s="3529" t="s">
        <v>518</v>
      </c>
      <c r="H6" s="3530"/>
      <c r="I6" s="3529" t="s">
        <v>519</v>
      </c>
      <c r="J6" s="3530"/>
      <c r="K6" s="508" t="s">
        <v>520</v>
      </c>
      <c r="L6" s="2015"/>
      <c r="M6" s="2016"/>
      <c r="N6" s="2016"/>
      <c r="O6" s="2016"/>
      <c r="P6" s="3531" t="s">
        <v>521</v>
      </c>
      <c r="Q6" s="3532"/>
      <c r="R6" s="3517" t="s">
        <v>517</v>
      </c>
      <c r="S6" s="3518"/>
      <c r="T6" s="3517" t="s">
        <v>518</v>
      </c>
      <c r="U6" s="3518"/>
      <c r="V6" s="3537" t="s">
        <v>519</v>
      </c>
      <c r="W6" s="3537"/>
      <c r="X6" s="1501"/>
      <c r="Y6" s="3517" t="s">
        <v>521</v>
      </c>
      <c r="Z6" s="3518"/>
      <c r="AA6" s="3512" t="s">
        <v>517</v>
      </c>
      <c r="AB6" s="3513" t="s">
        <v>518</v>
      </c>
      <c r="AC6" s="3512" t="s">
        <v>519</v>
      </c>
    </row>
    <row r="7" spans="1:29" ht="15">
      <c r="A7" s="509"/>
      <c r="B7" s="510"/>
      <c r="C7" s="3540" t="s">
        <v>2895</v>
      </c>
      <c r="D7" s="3541"/>
      <c r="E7" s="3556" t="s">
        <v>2896</v>
      </c>
      <c r="F7" s="3557"/>
      <c r="G7" s="3540" t="s">
        <v>2897</v>
      </c>
      <c r="H7" s="3541"/>
      <c r="I7" s="3540" t="s">
        <v>2898</v>
      </c>
      <c r="J7" s="3541"/>
      <c r="K7" s="508"/>
      <c r="L7" s="2015"/>
      <c r="M7" s="2016"/>
      <c r="N7" s="2016"/>
      <c r="O7" s="2016"/>
      <c r="P7" s="3533"/>
      <c r="Q7" s="3534"/>
      <c r="R7" s="3519"/>
      <c r="S7" s="3520"/>
      <c r="T7" s="3519"/>
      <c r="U7" s="3520"/>
      <c r="V7" s="3537"/>
      <c r="W7" s="3537"/>
      <c r="X7" s="1501"/>
      <c r="Y7" s="3519"/>
      <c r="Z7" s="3520"/>
      <c r="AA7" s="3513"/>
      <c r="AB7" s="3513"/>
      <c r="AC7" s="3513"/>
    </row>
    <row r="8" spans="1:29" ht="15.75" thickBot="1">
      <c r="A8" s="511"/>
      <c r="B8" s="512"/>
      <c r="C8" s="3538" t="s">
        <v>2899</v>
      </c>
      <c r="D8" s="3539"/>
      <c r="E8" s="3558" t="s">
        <v>2899</v>
      </c>
      <c r="F8" s="3559"/>
      <c r="G8" s="3538" t="s">
        <v>2899</v>
      </c>
      <c r="H8" s="3539"/>
      <c r="I8" s="3538" t="s">
        <v>2899</v>
      </c>
      <c r="J8" s="3539"/>
      <c r="K8" s="508" t="s">
        <v>522</v>
      </c>
      <c r="L8" s="2015"/>
      <c r="M8" s="2016"/>
      <c r="N8" s="2016"/>
      <c r="O8" s="2016"/>
      <c r="P8" s="3535"/>
      <c r="Q8" s="3536"/>
      <c r="R8" s="3519"/>
      <c r="S8" s="3520"/>
      <c r="T8" s="3521"/>
      <c r="U8" s="3522"/>
      <c r="V8" s="3537"/>
      <c r="W8" s="3537"/>
      <c r="X8" s="1501"/>
      <c r="Y8" s="3521"/>
      <c r="Z8" s="3522"/>
      <c r="AA8" s="3514"/>
      <c r="AB8" s="3514"/>
      <c r="AC8" s="3514"/>
    </row>
    <row r="9" spans="1:29" s="1202" customFormat="1" ht="15.75" thickBot="1">
      <c r="A9" s="2628"/>
      <c r="B9" s="2635" t="s">
        <v>523</v>
      </c>
      <c r="C9" s="513">
        <f>'数据-取费表'!B2</f>
        <v>44405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5" t="s">
        <v>524</v>
      </c>
      <c r="Q9" s="3524"/>
      <c r="R9" s="1502" t="s">
        <v>8</v>
      </c>
      <c r="S9" s="1503">
        <f t="shared" ref="S9:S17" si="0">F9</f>
        <v>0</v>
      </c>
      <c r="T9" s="1502" t="s">
        <v>8</v>
      </c>
      <c r="U9" s="1503">
        <f t="shared" ref="U9:U17" si="1">H9</f>
        <v>0</v>
      </c>
      <c r="V9" s="1502" t="s">
        <v>8</v>
      </c>
      <c r="W9" s="1503">
        <f t="shared" ref="W9:W17" si="2">J9</f>
        <v>0</v>
      </c>
      <c r="X9" s="1504"/>
      <c r="Y9" s="3515" t="s">
        <v>524</v>
      </c>
      <c r="Z9" s="3516"/>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5" t="s">
        <v>527</v>
      </c>
      <c r="Q10" s="3516"/>
      <c r="R10" s="1502" t="s">
        <v>8</v>
      </c>
      <c r="S10" s="1503">
        <f t="shared" si="0"/>
        <v>0</v>
      </c>
      <c r="T10" s="1502" t="s">
        <v>8</v>
      </c>
      <c r="U10" s="1503">
        <f t="shared" si="1"/>
        <v>0</v>
      </c>
      <c r="V10" s="1502" t="s">
        <v>8</v>
      </c>
      <c r="W10" s="1503">
        <f t="shared" si="2"/>
        <v>0</v>
      </c>
      <c r="X10" s="1504"/>
      <c r="Y10" s="3515" t="s">
        <v>527</v>
      </c>
      <c r="Z10" s="3516"/>
      <c r="AA10" s="1505" t="e">
        <f t="shared" ref="AA10:AA42" si="3">D10/F10</f>
        <v>#DIV/0!</v>
      </c>
      <c r="AB10" s="1505" t="e">
        <f t="shared" ref="AB10:AB42" si="4">D10/H10</f>
        <v>#DIV/0!</v>
      </c>
      <c r="AC10" s="1505"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3" t="s">
        <v>529</v>
      </c>
      <c r="Q11" s="1133" t="str">
        <f t="shared" ref="Q11:Q17" si="6">B11</f>
        <v>用途</v>
      </c>
      <c r="R11" s="1502" t="s">
        <v>8</v>
      </c>
      <c r="S11" s="1503">
        <f t="shared" si="0"/>
        <v>100</v>
      </c>
      <c r="T11" s="1502" t="s">
        <v>8</v>
      </c>
      <c r="U11" s="1503">
        <f t="shared" si="1"/>
        <v>100</v>
      </c>
      <c r="V11" s="1502" t="s">
        <v>8</v>
      </c>
      <c r="W11" s="1503">
        <f t="shared" si="2"/>
        <v>100</v>
      </c>
      <c r="X11" s="1504"/>
      <c r="Y11" s="3474" t="s">
        <v>530</v>
      </c>
      <c r="Z11" s="1132" t="str">
        <f t="shared" ref="Z11:Z17" si="7">Q11</f>
        <v>用途</v>
      </c>
      <c r="AA11" s="1505">
        <f t="shared" si="3"/>
        <v>1</v>
      </c>
      <c r="AB11" s="1505">
        <f t="shared" si="4"/>
        <v>1</v>
      </c>
      <c r="AC11" s="1505">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3"/>
      <c r="Q12" s="1133" t="str">
        <f t="shared" si="6"/>
        <v>土地使用年限（年）</v>
      </c>
      <c r="R12" s="1502" t="s">
        <v>8</v>
      </c>
      <c r="S12" s="1503">
        <f t="shared" si="0"/>
        <v>100</v>
      </c>
      <c r="T12" s="1502" t="s">
        <v>8</v>
      </c>
      <c r="U12" s="1503">
        <f t="shared" si="1"/>
        <v>100</v>
      </c>
      <c r="V12" s="1502" t="s">
        <v>8</v>
      </c>
      <c r="W12" s="1503">
        <f t="shared" si="2"/>
        <v>100</v>
      </c>
      <c r="X12" s="1504"/>
      <c r="Y12" s="3474"/>
      <c r="Z12" s="1132" t="str">
        <f t="shared" si="7"/>
        <v>土地使用年限（年）</v>
      </c>
      <c r="AA12" s="1505">
        <f t="shared" si="3"/>
        <v>1</v>
      </c>
      <c r="AB12" s="1505">
        <f t="shared" si="4"/>
        <v>1</v>
      </c>
      <c r="AC12" s="1505">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3"/>
      <c r="Q13" s="1133" t="str">
        <f t="shared" si="6"/>
        <v>容积率</v>
      </c>
      <c r="R13" s="1502" t="s">
        <v>8</v>
      </c>
      <c r="S13" s="1503" t="e">
        <f t="shared" si="0"/>
        <v>#N/A</v>
      </c>
      <c r="T13" s="1502" t="s">
        <v>8</v>
      </c>
      <c r="U13" s="1503" t="e">
        <f t="shared" si="1"/>
        <v>#N/A</v>
      </c>
      <c r="V13" s="1502" t="s">
        <v>8</v>
      </c>
      <c r="W13" s="1503" t="e">
        <f t="shared" si="2"/>
        <v>#N/A</v>
      </c>
      <c r="X13" s="1504"/>
      <c r="Y13" s="3474"/>
      <c r="Z13" s="1132" t="str">
        <f t="shared" si="7"/>
        <v>容积率</v>
      </c>
      <c r="AA13" s="1505" t="e">
        <f t="shared" si="3"/>
        <v>#N/A</v>
      </c>
      <c r="AB13" s="1505" t="e">
        <f t="shared" si="4"/>
        <v>#N/A</v>
      </c>
      <c r="AC13" s="1505" t="e">
        <f t="shared" si="5"/>
        <v>#N/A</v>
      </c>
    </row>
    <row r="14" spans="1:29" s="1202" customFormat="1" ht="15">
      <c r="A14" s="2633"/>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D14/F14</f>
        <v>1</v>
      </c>
      <c r="AB14" s="1505">
        <f>D14/H14</f>
        <v>1</v>
      </c>
      <c r="AC14" s="1505">
        <f>D14/J14</f>
        <v>1</v>
      </c>
    </row>
    <row r="15" spans="1:29" ht="15">
      <c r="A15" s="2633"/>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3"/>
      <c r="Q15" s="1133">
        <f t="shared" si="6"/>
        <v>111</v>
      </c>
      <c r="R15" s="1502" t="s">
        <v>8</v>
      </c>
      <c r="S15" s="1503">
        <f t="shared" si="0"/>
        <v>100</v>
      </c>
      <c r="T15" s="1502" t="s">
        <v>8</v>
      </c>
      <c r="U15" s="1503">
        <f t="shared" si="1"/>
        <v>100</v>
      </c>
      <c r="V15" s="1502" t="s">
        <v>8</v>
      </c>
      <c r="W15" s="1503">
        <f t="shared" si="2"/>
        <v>100</v>
      </c>
      <c r="X15" s="1504"/>
      <c r="Y15" s="3474"/>
      <c r="Z15" s="1132">
        <f t="shared" si="7"/>
        <v>111</v>
      </c>
      <c r="AA15" s="1505">
        <f t="shared" si="3"/>
        <v>1</v>
      </c>
      <c r="AB15" s="1505">
        <f t="shared" si="4"/>
        <v>1</v>
      </c>
      <c r="AC15" s="1505">
        <f t="shared" si="5"/>
        <v>1</v>
      </c>
    </row>
    <row r="16" spans="1:29" ht="15.75" thickBot="1">
      <c r="A16" s="2634"/>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3"/>
      <c r="Q16" s="1133">
        <f t="shared" si="6"/>
        <v>111</v>
      </c>
      <c r="R16" s="1502" t="s">
        <v>8</v>
      </c>
      <c r="S16" s="1503">
        <f t="shared" si="0"/>
        <v>100</v>
      </c>
      <c r="T16" s="1502" t="s">
        <v>8</v>
      </c>
      <c r="U16" s="1503">
        <f t="shared" si="1"/>
        <v>100</v>
      </c>
      <c r="V16" s="1502" t="s">
        <v>8</v>
      </c>
      <c r="W16" s="1503">
        <f t="shared" si="2"/>
        <v>100</v>
      </c>
      <c r="X16" s="1504"/>
      <c r="Y16" s="3474"/>
      <c r="Z16" s="1132">
        <f t="shared" si="7"/>
        <v>111</v>
      </c>
      <c r="AA16" s="1505">
        <f t="shared" si="3"/>
        <v>1</v>
      </c>
      <c r="AB16" s="1505">
        <f t="shared" si="4"/>
        <v>1</v>
      </c>
      <c r="AC16" s="1505">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5" t="s">
        <v>534</v>
      </c>
      <c r="Q17" s="1506" t="str">
        <f t="shared" si="6"/>
        <v>产业集聚程度</v>
      </c>
      <c r="R17" s="1507" t="s">
        <v>8</v>
      </c>
      <c r="S17" s="1508">
        <f t="shared" si="0"/>
        <v>100</v>
      </c>
      <c r="T17" s="1507" t="s">
        <v>8</v>
      </c>
      <c r="U17" s="1508">
        <f t="shared" si="1"/>
        <v>100</v>
      </c>
      <c r="V17" s="1507" t="s">
        <v>8</v>
      </c>
      <c r="W17" s="1508">
        <f t="shared" si="2"/>
        <v>100</v>
      </c>
      <c r="X17" s="1501"/>
      <c r="Y17" s="352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26"/>
      <c r="Q18" s="1506"/>
      <c r="R18" s="1507"/>
      <c r="S18" s="1508"/>
      <c r="T18" s="1507"/>
      <c r="U18" s="1508"/>
      <c r="V18" s="1507"/>
      <c r="W18" s="1508"/>
      <c r="X18" s="1501"/>
      <c r="Y18" s="352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6"/>
      <c r="Q19" s="1506" t="str">
        <f>B19</f>
        <v>交通便捷度</v>
      </c>
      <c r="R19" s="1507" t="s">
        <v>8</v>
      </c>
      <c r="S19" s="1508">
        <f>F19</f>
        <v>100</v>
      </c>
      <c r="T19" s="1507" t="s">
        <v>8</v>
      </c>
      <c r="U19" s="1508">
        <f>H19</f>
        <v>100</v>
      </c>
      <c r="V19" s="1507" t="s">
        <v>8</v>
      </c>
      <c r="W19" s="1508">
        <f>J19</f>
        <v>100</v>
      </c>
      <c r="X19" s="1501"/>
      <c r="Y19" s="352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26"/>
      <c r="Q21" s="1506" t="str">
        <f t="shared" ref="Q21:Q35" si="8">B21</f>
        <v>区域土地利用方向</v>
      </c>
      <c r="R21" s="1507" t="s">
        <v>8</v>
      </c>
      <c r="S21" s="1508">
        <f>F21</f>
        <v>100</v>
      </c>
      <c r="T21" s="1507" t="s">
        <v>8</v>
      </c>
      <c r="U21" s="1508">
        <f>H21</f>
        <v>100</v>
      </c>
      <c r="V21" s="1507" t="s">
        <v>8</v>
      </c>
      <c r="W21" s="1508">
        <f>J21</f>
        <v>100</v>
      </c>
      <c r="X21" s="1501"/>
      <c r="Y21" s="352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26"/>
      <c r="Q22" s="1506"/>
      <c r="R22" s="1507"/>
      <c r="S22" s="1508"/>
      <c r="T22" s="1507"/>
      <c r="U22" s="1508"/>
      <c r="V22" s="1507"/>
      <c r="W22" s="1508"/>
      <c r="X22" s="1501"/>
      <c r="Y22" s="352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6"/>
      <c r="Q23" s="1506" t="str">
        <f t="shared" si="8"/>
        <v>环境状况</v>
      </c>
      <c r="R23" s="1507" t="s">
        <v>8</v>
      </c>
      <c r="S23" s="1508">
        <f>F23</f>
        <v>100</v>
      </c>
      <c r="T23" s="1507" t="s">
        <v>8</v>
      </c>
      <c r="U23" s="1508">
        <f>H23</f>
        <v>100</v>
      </c>
      <c r="V23" s="1507" t="s">
        <v>8</v>
      </c>
      <c r="W23" s="1508">
        <f>J23</f>
        <v>100</v>
      </c>
      <c r="X23" s="1501"/>
      <c r="Y23" s="352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26"/>
      <c r="Q24" s="1506"/>
      <c r="R24" s="1507"/>
      <c r="S24" s="1508"/>
      <c r="T24" s="1507"/>
      <c r="U24" s="1508"/>
      <c r="V24" s="1507"/>
      <c r="W24" s="1508"/>
      <c r="X24" s="1501"/>
      <c r="Y24" s="3526"/>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6"/>
      <c r="Q25" s="1133" t="str">
        <f t="shared" si="8"/>
        <v>公共配套设施</v>
      </c>
      <c r="R25" s="1502" t="s">
        <v>8</v>
      </c>
      <c r="S25" s="1503">
        <f>F25</f>
        <v>100</v>
      </c>
      <c r="T25" s="1502" t="s">
        <v>8</v>
      </c>
      <c r="U25" s="1503">
        <f>H25</f>
        <v>100</v>
      </c>
      <c r="V25" s="1502" t="s">
        <v>8</v>
      </c>
      <c r="W25" s="1503">
        <f>J25</f>
        <v>100</v>
      </c>
      <c r="X25" s="1504"/>
      <c r="Y25" s="352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26"/>
      <c r="Q26" s="1133"/>
      <c r="R26" s="1502"/>
      <c r="S26" s="1503"/>
      <c r="T26" s="1502"/>
      <c r="U26" s="1503"/>
      <c r="V26" s="1502"/>
      <c r="W26" s="1503"/>
      <c r="X26" s="1504"/>
      <c r="Y26" s="3526"/>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6"/>
      <c r="Q27" s="2428" t="str">
        <f t="shared" ref="Q27" si="9">B27</f>
        <v>基础设施水平</v>
      </c>
      <c r="R27" s="1502" t="s">
        <v>8</v>
      </c>
      <c r="S27" s="1503">
        <f>F27</f>
        <v>100</v>
      </c>
      <c r="T27" s="1502" t="s">
        <v>8</v>
      </c>
      <c r="U27" s="1503">
        <f>H27</f>
        <v>100</v>
      </c>
      <c r="V27" s="1502" t="s">
        <v>8</v>
      </c>
      <c r="W27" s="1503">
        <f>J27</f>
        <v>100</v>
      </c>
      <c r="X27" s="1504"/>
      <c r="Y27" s="352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26"/>
      <c r="Q28" s="2428"/>
      <c r="R28" s="1502"/>
      <c r="S28" s="1503"/>
      <c r="T28" s="1502"/>
      <c r="U28" s="1503"/>
      <c r="V28" s="1502"/>
      <c r="W28" s="1503"/>
      <c r="X28" s="1504"/>
      <c r="Y28" s="352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6"/>
      <c r="Q30" s="1506" t="str">
        <f t="shared" si="8"/>
        <v>毗邻道路的类型与等级</v>
      </c>
      <c r="R30" s="1507" t="s">
        <v>8</v>
      </c>
      <c r="S30" s="1508">
        <f t="shared" si="10"/>
        <v>100</v>
      </c>
      <c r="T30" s="1507" t="s">
        <v>8</v>
      </c>
      <c r="U30" s="1508">
        <f t="shared" si="11"/>
        <v>100</v>
      </c>
      <c r="V30" s="1507" t="s">
        <v>8</v>
      </c>
      <c r="W30" s="1508">
        <f t="shared" si="12"/>
        <v>100</v>
      </c>
      <c r="X30" s="1501"/>
      <c r="Y30" s="352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26"/>
      <c r="Q31" s="1506"/>
      <c r="R31" s="1507"/>
      <c r="S31" s="1508"/>
      <c r="T31" s="1507"/>
      <c r="U31" s="1508"/>
      <c r="V31" s="1507"/>
      <c r="W31" s="1508"/>
      <c r="X31" s="1501"/>
      <c r="Y31" s="352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6"/>
      <c r="Q32" s="1506" t="str">
        <f t="shared" si="8"/>
        <v>土地级别</v>
      </c>
      <c r="R32" s="1507" t="s">
        <v>8</v>
      </c>
      <c r="S32" s="1508">
        <f t="shared" si="10"/>
        <v>100</v>
      </c>
      <c r="T32" s="1507" t="s">
        <v>8</v>
      </c>
      <c r="U32" s="1508">
        <f t="shared" si="11"/>
        <v>100</v>
      </c>
      <c r="V32" s="1507" t="s">
        <v>8</v>
      </c>
      <c r="W32" s="1508">
        <f t="shared" si="12"/>
        <v>100</v>
      </c>
      <c r="X32" s="1501"/>
      <c r="Y32" s="352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6"/>
      <c r="Q33" s="1506">
        <f t="shared" si="8"/>
        <v>111</v>
      </c>
      <c r="R33" s="1507" t="s">
        <v>8</v>
      </c>
      <c r="S33" s="1508">
        <f t="shared" si="10"/>
        <v>100</v>
      </c>
      <c r="T33" s="1507" t="s">
        <v>8</v>
      </c>
      <c r="U33" s="1508">
        <f t="shared" si="11"/>
        <v>100</v>
      </c>
      <c r="V33" s="1507" t="s">
        <v>8</v>
      </c>
      <c r="W33" s="1508">
        <f t="shared" si="12"/>
        <v>100</v>
      </c>
      <c r="X33" s="1501"/>
      <c r="Y33" s="352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7" t="s">
        <v>544</v>
      </c>
      <c r="Q34" s="1506">
        <f t="shared" si="8"/>
        <v>111</v>
      </c>
      <c r="R34" s="1507" t="s">
        <v>8</v>
      </c>
      <c r="S34" s="1508">
        <f t="shared" si="10"/>
        <v>100</v>
      </c>
      <c r="T34" s="1507" t="s">
        <v>8</v>
      </c>
      <c r="U34" s="1508">
        <f t="shared" si="11"/>
        <v>100</v>
      </c>
      <c r="V34" s="1507" t="s">
        <v>8</v>
      </c>
      <c r="W34" s="1508">
        <f t="shared" si="12"/>
        <v>100</v>
      </c>
      <c r="X34" s="1501"/>
      <c r="Y34" s="352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8"/>
      <c r="Q35" s="1506">
        <f t="shared" si="8"/>
        <v>111</v>
      </c>
      <c r="R35" s="1511" t="s">
        <v>8</v>
      </c>
      <c r="S35" s="1512">
        <f t="shared" si="10"/>
        <v>100</v>
      </c>
      <c r="T35" s="1511" t="s">
        <v>8</v>
      </c>
      <c r="U35" s="1512">
        <f t="shared" si="11"/>
        <v>100</v>
      </c>
      <c r="V35" s="1511" t="s">
        <v>8</v>
      </c>
      <c r="W35" s="1512">
        <f t="shared" si="12"/>
        <v>100</v>
      </c>
      <c r="X35" s="1513"/>
      <c r="Y35" s="3528"/>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8"/>
      <c r="Q36" s="1506" t="str">
        <f>B36</f>
        <v>宗地面积</v>
      </c>
      <c r="R36" s="1507" t="s">
        <v>8</v>
      </c>
      <c r="S36" s="1508" t="e">
        <f t="shared" si="10"/>
        <v>#N/A</v>
      </c>
      <c r="T36" s="1507" t="s">
        <v>8</v>
      </c>
      <c r="U36" s="1508" t="e">
        <f t="shared" si="11"/>
        <v>#N/A</v>
      </c>
      <c r="V36" s="1507" t="s">
        <v>8</v>
      </c>
      <c r="W36" s="1508" t="e">
        <f t="shared" si="12"/>
        <v>#N/A</v>
      </c>
      <c r="X36" s="1501"/>
      <c r="Y36" s="352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8"/>
      <c r="Q37" s="1506" t="str">
        <f t="shared" ref="Q37:Q42" si="14">B37</f>
        <v>宗地形状</v>
      </c>
      <c r="R37" s="1507" t="s">
        <v>8</v>
      </c>
      <c r="S37" s="1508">
        <f t="shared" si="10"/>
        <v>100</v>
      </c>
      <c r="T37" s="1507" t="s">
        <v>8</v>
      </c>
      <c r="U37" s="1508">
        <f t="shared" si="11"/>
        <v>100</v>
      </c>
      <c r="V37" s="1507" t="s">
        <v>8</v>
      </c>
      <c r="W37" s="1508">
        <f t="shared" si="12"/>
        <v>100</v>
      </c>
      <c r="X37" s="1501"/>
      <c r="Y37" s="352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8"/>
      <c r="Q38" s="1506" t="str">
        <f t="shared" si="14"/>
        <v>宗地开发程度</v>
      </c>
      <c r="R38" s="1502" t="s">
        <v>8</v>
      </c>
      <c r="S38" s="1503">
        <f t="shared" si="10"/>
        <v>100</v>
      </c>
      <c r="T38" s="1502" t="s">
        <v>8</v>
      </c>
      <c r="U38" s="1503">
        <f t="shared" si="11"/>
        <v>100</v>
      </c>
      <c r="V38" s="1502" t="s">
        <v>8</v>
      </c>
      <c r="W38" s="1503">
        <f t="shared" si="12"/>
        <v>100</v>
      </c>
      <c r="X38" s="1504"/>
      <c r="Y38" s="352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8" t="s">
        <v>595</v>
      </c>
      <c r="Q39" s="1506" t="str">
        <f t="shared" si="14"/>
        <v>工程地质条件</v>
      </c>
      <c r="R39" s="1507" t="s">
        <v>8</v>
      </c>
      <c r="S39" s="1508">
        <f t="shared" si="10"/>
        <v>100</v>
      </c>
      <c r="T39" s="1507" t="s">
        <v>8</v>
      </c>
      <c r="U39" s="1508">
        <f t="shared" si="11"/>
        <v>100</v>
      </c>
      <c r="V39" s="1507" t="s">
        <v>8</v>
      </c>
      <c r="W39" s="1508">
        <f t="shared" si="12"/>
        <v>100</v>
      </c>
      <c r="X39" s="1501"/>
      <c r="Y39" s="352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8"/>
      <c r="Q40" s="1506">
        <f t="shared" si="14"/>
        <v>111</v>
      </c>
      <c r="R40" s="1507" t="s">
        <v>8</v>
      </c>
      <c r="S40" s="1508">
        <f t="shared" si="10"/>
        <v>100</v>
      </c>
      <c r="T40" s="1507" t="s">
        <v>8</v>
      </c>
      <c r="U40" s="1508">
        <f t="shared" si="11"/>
        <v>100</v>
      </c>
      <c r="V40" s="1507" t="s">
        <v>8</v>
      </c>
      <c r="W40" s="1508">
        <f t="shared" si="12"/>
        <v>100</v>
      </c>
      <c r="X40" s="1501"/>
      <c r="Y40" s="352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8"/>
      <c r="Q41" s="1506">
        <f t="shared" si="14"/>
        <v>111</v>
      </c>
      <c r="R41" s="1507" t="s">
        <v>8</v>
      </c>
      <c r="S41" s="1508">
        <f t="shared" si="10"/>
        <v>100</v>
      </c>
      <c r="T41" s="1507" t="s">
        <v>8</v>
      </c>
      <c r="U41" s="1508">
        <f t="shared" si="11"/>
        <v>100</v>
      </c>
      <c r="V41" s="1507" t="s">
        <v>8</v>
      </c>
      <c r="W41" s="1508">
        <f t="shared" si="12"/>
        <v>100</v>
      </c>
      <c r="X41" s="1501"/>
      <c r="Y41" s="352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8"/>
      <c r="Q42" s="1506">
        <f t="shared" si="14"/>
        <v>111</v>
      </c>
      <c r="R42" s="1511" t="s">
        <v>8</v>
      </c>
      <c r="S42" s="1512">
        <f t="shared" si="10"/>
        <v>100</v>
      </c>
      <c r="T42" s="1511" t="s">
        <v>8</v>
      </c>
      <c r="U42" s="1512">
        <f t="shared" si="11"/>
        <v>100</v>
      </c>
      <c r="V42" s="1511" t="s">
        <v>8</v>
      </c>
      <c r="W42" s="1512">
        <f t="shared" si="12"/>
        <v>100</v>
      </c>
      <c r="X42" s="1513"/>
      <c r="Y42" s="3528"/>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6"/>
      <c r="M43" s="2016"/>
      <c r="N43" s="2016"/>
      <c r="O43" s="2027"/>
      <c r="P43" s="3523" t="str">
        <f>A43</f>
        <v>成交单价</v>
      </c>
      <c r="Q43" s="3523"/>
      <c r="R43" s="3537">
        <f>E43</f>
        <v>0</v>
      </c>
      <c r="S43" s="3537"/>
      <c r="T43" s="3537">
        <f>G43</f>
        <v>0</v>
      </c>
      <c r="U43" s="3537"/>
      <c r="V43" s="3537">
        <f>I43</f>
        <v>0</v>
      </c>
      <c r="W43" s="3537"/>
      <c r="X43" s="1496"/>
      <c r="Y43" s="1515"/>
      <c r="Z43" s="1496"/>
      <c r="AA43" s="1496"/>
      <c r="AB43" s="1496"/>
      <c r="AC43" s="1496"/>
    </row>
    <row r="44" spans="1:29" ht="15.75" thickBot="1">
      <c r="A44" s="609" t="s">
        <v>2673</v>
      </c>
      <c r="B44" s="610"/>
      <c r="C44" s="611" t="e">
        <f>R45</f>
        <v>#DIV/0!</v>
      </c>
      <c r="D44" s="3011" t="s">
        <v>2969</v>
      </c>
      <c r="E44" s="611" t="e">
        <f>R44</f>
        <v>#DIV/0!</v>
      </c>
      <c r="F44" s="3012"/>
      <c r="G44" s="612" t="e">
        <f>T44</f>
        <v>#DIV/0!</v>
      </c>
      <c r="H44" s="3012"/>
      <c r="I44" s="611" t="e">
        <f>V44</f>
        <v>#DIV/0!</v>
      </c>
      <c r="J44" s="3012"/>
      <c r="K44" s="3013">
        <f>F44+H44+J44</f>
        <v>0</v>
      </c>
      <c r="L44" s="2026"/>
      <c r="M44" s="2016"/>
      <c r="N44" s="2016"/>
      <c r="O44" s="2027"/>
      <c r="P44" s="3523" t="str">
        <f>A44</f>
        <v>比较价格（元/平方米）</v>
      </c>
      <c r="Q44" s="3523"/>
      <c r="R44" s="3547" t="e">
        <f>ROUND(PRODUCT(R43,AA9:AA42),0)</f>
        <v>#DIV/0!</v>
      </c>
      <c r="S44" s="3547"/>
      <c r="T44" s="3547" t="e">
        <f>ROUND(PRODUCT(T43,AB9:AB42),0)</f>
        <v>#DIV/0!</v>
      </c>
      <c r="U44" s="3547"/>
      <c r="V44" s="3547" t="e">
        <f>ROUND(PRODUCT(V43,AC9:AC42),0)</f>
        <v>#DIV/0!</v>
      </c>
      <c r="W44" s="3547"/>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6"/>
      <c r="M45" s="2016"/>
      <c r="N45" s="2016"/>
      <c r="O45" s="2027"/>
      <c r="P45" s="3544" t="str">
        <f>A45</f>
        <v>估价对象XX用房的比较价格（楼面单价，元/平方米）</v>
      </c>
      <c r="Q45" s="3545"/>
      <c r="R45" s="3553" t="e">
        <f>ROUND(IF(D44="简单平均",AVERAGE(R44:W44),R44*F44+T44*H44+V44*J44),0)</f>
        <v>#DIV/0!</v>
      </c>
      <c r="S45" s="3553"/>
      <c r="T45" s="3553"/>
      <c r="U45" s="3553"/>
      <c r="V45" s="3553"/>
      <c r="W45" s="3553"/>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48" t="s">
        <v>2272</v>
      </c>
      <c r="H52" s="3549"/>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103024.827</v>
      </c>
      <c r="F53" s="1864" t="e">
        <f t="shared" ref="F53:F62" si="15">ROUND(B53*E53/10000,0)</f>
        <v>#DIV/0!</v>
      </c>
      <c r="G53" s="3550"/>
      <c r="H53" s="3551"/>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52" t="s">
        <v>2273</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52"/>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52"/>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52"/>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46514.49</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北京市平均增长率1.24%</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1" t="s">
        <v>2741</v>
      </c>
      <c r="S1" s="2651" t="s">
        <v>2742</v>
      </c>
      <c r="T1" s="2651" t="s">
        <v>2763</v>
      </c>
      <c r="U1" s="2651" t="s">
        <v>2764</v>
      </c>
      <c r="V1" s="2651"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9"/>
      <c r="L2" s="1799" t="s">
        <v>2228</v>
      </c>
      <c r="M2" s="1800">
        <f>SUMPRODUCT((区片价!B10:B28=I2)*(区片价!C3:F3=E2)*(区片价!C10:F28))</f>
        <v>0</v>
      </c>
      <c r="N2" s="1801">
        <f>SUMPRODUCT((因素修正幅度!B10:B28=I2)*(因素修正幅度!C3:F3=E2)*(因素修正幅度!C10:F28))</f>
        <v>0</v>
      </c>
      <c r="O2" s="3229"/>
      <c r="P2" s="2070"/>
      <c r="Q2" s="2070"/>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4</v>
      </c>
      <c r="H3" s="1362" t="s">
        <v>920</v>
      </c>
      <c r="I3" s="1026">
        <v>8</v>
      </c>
      <c r="J3" s="1358" t="s">
        <v>921</v>
      </c>
      <c r="K3" s="3229"/>
      <c r="L3" s="1799" t="s">
        <v>2229</v>
      </c>
      <c r="M3" s="1800">
        <f>SUMPRODUCT((区片价!B29:B48=I2)*(区片价!C3:F3=E2)*(区片价!C29:F48))</f>
        <v>0</v>
      </c>
      <c r="N3" s="1801">
        <f>SUMPRODUCT((因素修正幅度!B29:B48=I2)*(因素修正幅度!C3:F3=E2)*(因素修正幅度!C29:F48))</f>
        <v>0</v>
      </c>
      <c r="O3" s="3229"/>
      <c r="P3" s="2070"/>
      <c r="Q3" s="2070"/>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0"/>
      <c r="L4" s="1799" t="s">
        <v>2230</v>
      </c>
      <c r="M4" s="1800">
        <f>SUMPRODUCT((区片价!B49:B75=I2)*(区片价!C3:F3=E2)*(区片价!C49:F75))</f>
        <v>0</v>
      </c>
      <c r="N4" s="1801">
        <f>SUMPRODUCT((因素修正幅度!B49:B75=I2)*(因素修正幅度!C3:F3=E2)*(因素修正幅度!C49:F75))</f>
        <v>0</v>
      </c>
      <c r="O4" s="3230"/>
      <c r="P4" s="2070"/>
      <c r="Q4" s="2070"/>
      <c r="R4" s="2652">
        <v>3</v>
      </c>
      <c r="S4" s="2652">
        <f>ROUND(IF(G3&gt;1,IF(R4&lt;7,SUMPRODUCT((B93:B98=R4)*(C92:N92=G2)*(C93:N98)),SUMIF(C92:N92,G2,C100:N100)),IF(R4&lt;7,SUMPRODUCT((B102:B107=R4)*(C92:N92=G2)*(C102:N107)),SUMIF(C92:N92,G2,C109:N109))),4)</f>
        <v>0</v>
      </c>
      <c r="T4" s="2652" t="e">
        <f t="shared" si="0"/>
        <v>#DIV/0!</v>
      </c>
      <c r="U4" s="2641"/>
      <c r="V4" s="2652"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0" t="e">
        <f>ROUND(C6+C16,0)</f>
        <v>#DIV/0!</v>
      </c>
      <c r="E5" s="2790"/>
      <c r="F5" s="1364"/>
      <c r="G5" s="1365"/>
      <c r="H5" s="1365"/>
      <c r="I5" s="1365"/>
      <c r="J5" s="1366"/>
      <c r="K5" s="3231"/>
      <c r="L5" s="1799" t="s">
        <v>2231</v>
      </c>
      <c r="M5" s="1800">
        <f>SUMPRODUCT((区片价!B76:B109=I2)*(区片价!C3:F3=E2)*(区片价!C76:F109))</f>
        <v>0</v>
      </c>
      <c r="N5" s="1801">
        <f>SUMPRODUCT((因素修正幅度!B76:B109=I2)*(因素修正幅度!C3:F3=E2)*(因素修正幅度!C76:F109))</f>
        <v>0</v>
      </c>
      <c r="O5" s="3231"/>
      <c r="P5" s="3234"/>
      <c r="Q5" s="2070"/>
      <c r="R5" s="2652">
        <v>4</v>
      </c>
      <c r="S5" s="2652">
        <f>ROUND(IF(G3&gt;1,IF(R5&lt;7,SUMPRODUCT((B93:B98=R5)*(C92:N92=G2)*(C93:N98)),SUMIF(C92:N92,G2,C100:N100)),IF(R5&lt;7,SUMPRODUCT((B102:B107=R5)*(C92:N92=G2)*(C102:N107)),SUMIF(C92:N92,G2,C109:N109))),4)</f>
        <v>0</v>
      </c>
      <c r="T5" s="2652" t="e">
        <f t="shared" si="0"/>
        <v>#DIV/0!</v>
      </c>
      <c r="U5" s="2641"/>
      <c r="V5" s="2652"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2"/>
      <c r="L6" s="1799" t="s">
        <v>2232</v>
      </c>
      <c r="M6" s="1800">
        <f>SUMPRODUCT((区片价!B110:B157=I2)*(区片价!C3:F3=E2)*(区片价!C110:F157))</f>
        <v>0</v>
      </c>
      <c r="N6" s="1801">
        <f>SUMPRODUCT((因素修正幅度!B110:B157=I2)*(因素修正幅度!C3:F3=E2)*(因素修正幅度!C110:F157))</f>
        <v>0</v>
      </c>
      <c r="O6" s="3232"/>
      <c r="P6" s="3235"/>
      <c r="Q6" s="2070"/>
      <c r="R6" s="2652">
        <v>5</v>
      </c>
      <c r="S6" s="2652">
        <f>ROUND(IF(G3&gt;1,IF(R6&lt;7,SUMPRODUCT((B93:B98=R6)*(C92:N92=G2)*(C93:N98)),SUMIF(C92:N92,G2,C100:N100)),IF(R6&lt;7,SUMPRODUCT((B102:B107=R6)*(C92:N92=G2)*(C102:N107)),SUMIF(C92:N92,G2,C109:N109))),4)</f>
        <v>0</v>
      </c>
      <c r="T6" s="2652" t="e">
        <f t="shared" si="0"/>
        <v>#DIV/0!</v>
      </c>
      <c r="U6" s="2641"/>
      <c r="V6" s="2652" t="e">
        <f t="shared" si="1"/>
        <v>#DIV/0!</v>
      </c>
      <c r="W6" s="2070"/>
      <c r="X6" s="2070"/>
      <c r="Y6" s="2070"/>
      <c r="Z6" s="2070"/>
      <c r="AA6" s="2070"/>
      <c r="AB6" s="2070"/>
      <c r="AC6" s="2072"/>
      <c r="AD6" s="1367"/>
      <c r="AE6" s="1367"/>
      <c r="AF6" s="1367"/>
      <c r="AG6" s="1367"/>
      <c r="AH6" s="1367"/>
      <c r="AI6" s="1367"/>
      <c r="AJ6" s="1368"/>
    </row>
    <row r="7" spans="1:39" ht="24">
      <c r="A7" s="3561" t="str">
        <f>IF(E2="商业",IF(C8="不临58条商业街","",2),"")</f>
        <v/>
      </c>
      <c r="B7" s="1375" t="s">
        <v>923</v>
      </c>
      <c r="C7" s="1029" t="e">
        <f>IF(C8="不临58条商业街",1,ROUND(1+(1.6*E8+1.2*E9+0.8*E10+0.4*E11)*C9,4))</f>
        <v>#DIV/0!</v>
      </c>
      <c r="D7" s="1376" t="s">
        <v>924</v>
      </c>
      <c r="E7" s="1030"/>
      <c r="F7" s="1377"/>
      <c r="G7" s="1378"/>
      <c r="H7" s="1378"/>
      <c r="I7" s="1378"/>
      <c r="J7" s="1379"/>
      <c r="K7" s="3232"/>
      <c r="L7" s="1799" t="s">
        <v>2233</v>
      </c>
      <c r="M7" s="1800">
        <f>SUMPRODUCT((区片价!B158:B205=I2)*(区片价!C3:F3=E2)*(区片价!C158:F205))</f>
        <v>0</v>
      </c>
      <c r="N7" s="1801">
        <f>SUMPRODUCT((因素修正幅度!B158:B205=I2)*(因素修正幅度!C3:F3=E2)*(因素修正幅度!C158:F205))</f>
        <v>0</v>
      </c>
      <c r="O7" s="3232"/>
      <c r="P7" s="3235"/>
      <c r="Q7" s="2070"/>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2744</v>
      </c>
      <c r="X7" s="2642">
        <f>G2</f>
        <v>0</v>
      </c>
      <c r="Y7" s="2642" t="s">
        <v>2745</v>
      </c>
      <c r="Z7" s="2643">
        <f>G3</f>
        <v>4</v>
      </c>
      <c r="AA7" s="2073"/>
      <c r="AB7" s="2073"/>
      <c r="AC7" s="2074"/>
      <c r="AD7" s="2644"/>
      <c r="AE7" s="2644"/>
      <c r="AF7" s="2644"/>
      <c r="AG7" s="2644"/>
      <c r="AH7" s="2644"/>
      <c r="AI7" s="2644"/>
      <c r="AJ7" s="2645"/>
    </row>
    <row r="8" spans="1:39" ht="15">
      <c r="A8" s="3562"/>
      <c r="B8" s="1362" t="s">
        <v>925</v>
      </c>
      <c r="C8" s="1468"/>
      <c r="D8" s="1031" t="s">
        <v>926</v>
      </c>
      <c r="E8" s="1032" t="e">
        <f>ROUND(C11/E7,4)</f>
        <v>#DIV/0!</v>
      </c>
      <c r="F8" s="1380" t="s">
        <v>927</v>
      </c>
      <c r="G8" s="1381"/>
      <c r="H8" s="1381"/>
      <c r="I8" s="1381"/>
      <c r="J8" s="1382"/>
      <c r="K8" s="3232"/>
      <c r="L8" s="1799" t="s">
        <v>2234</v>
      </c>
      <c r="M8" s="1800">
        <f>SUMPRODUCT((区片价!B206:B244=I2)*(区片价!C3:F3=E2)*(区片价!C206:F244))</f>
        <v>0</v>
      </c>
      <c r="N8" s="1801">
        <f>SUMPRODUCT((因素修正幅度!B206:B244=I2)*(因素修正幅度!C3:F3=E2)*(因素修正幅度!C206:F244))</f>
        <v>0</v>
      </c>
      <c r="O8" s="3232"/>
      <c r="P8" s="2070"/>
      <c r="Q8" s="2070"/>
      <c r="R8" s="2652">
        <v>7</v>
      </c>
      <c r="S8" s="2641"/>
      <c r="T8" s="2652" t="e">
        <f t="shared" si="0"/>
        <v>#DIV/0!</v>
      </c>
      <c r="U8" s="2641"/>
      <c r="V8" s="2652" t="e">
        <f t="shared" si="1"/>
        <v>#DIV/0!</v>
      </c>
      <c r="W8" s="3572" t="s">
        <v>2762</v>
      </c>
      <c r="X8" s="357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62"/>
      <c r="B9" s="1362" t="s">
        <v>928</v>
      </c>
      <c r="C9" s="1033">
        <f>SUMIF(修正!C59:C119,C8,修正!E59:E119)</f>
        <v>0</v>
      </c>
      <c r="D9" s="1034" t="s">
        <v>929</v>
      </c>
      <c r="E9" s="1034" t="e">
        <f>ROUND(C11/E7,4)</f>
        <v>#DIV/0!</v>
      </c>
      <c r="F9" s="1380" t="s">
        <v>930</v>
      </c>
      <c r="G9" s="1381"/>
      <c r="H9" s="1381"/>
      <c r="I9" s="1381"/>
      <c r="J9" s="1382"/>
      <c r="K9" s="3232"/>
      <c r="L9" s="1799" t="s">
        <v>2235</v>
      </c>
      <c r="M9" s="1800">
        <f>SUMPRODUCT((区片价!B245:B289=I2)*(区片价!C3:F3=E2)*(区片价!C245:F289))</f>
        <v>0</v>
      </c>
      <c r="N9" s="1801">
        <f>SUMPRODUCT((因素修正幅度!B245:B289=I2)*(因素修正幅度!C3:F3=E2)*(因素修正幅度!C245:F289))</f>
        <v>0</v>
      </c>
      <c r="O9" s="3232"/>
      <c r="P9" s="2070"/>
      <c r="Q9" s="2070"/>
      <c r="R9" s="2652">
        <v>8</v>
      </c>
      <c r="S9" s="2641"/>
      <c r="T9" s="2652" t="e">
        <f t="shared" si="0"/>
        <v>#DIV/0!</v>
      </c>
      <c r="U9" s="2641"/>
      <c r="V9" s="2652" t="e">
        <f t="shared" si="1"/>
        <v>#DIV/0!</v>
      </c>
      <c r="W9" s="3571" t="s">
        <v>2758</v>
      </c>
      <c r="X9" s="2646" t="s">
        <v>2759</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62"/>
      <c r="B10" s="1362" t="s">
        <v>931</v>
      </c>
      <c r="C10" s="1034">
        <f>SUMIF(修正!C59:C119,C8,修正!F59:F119)</f>
        <v>0</v>
      </c>
      <c r="D10" s="1034" t="s">
        <v>932</v>
      </c>
      <c r="E10" s="1034" t="e">
        <f>ROUND(C11/E7,4)</f>
        <v>#DIV/0!</v>
      </c>
      <c r="F10" s="1380" t="s">
        <v>933</v>
      </c>
      <c r="G10" s="1381"/>
      <c r="H10" s="1381"/>
      <c r="I10" s="1381"/>
      <c r="J10" s="1382"/>
      <c r="K10" s="3232"/>
      <c r="L10" s="1799" t="s">
        <v>2236</v>
      </c>
      <c r="M10" s="1800">
        <f>SUMPRODUCT((区片价!B290:B316=I2)*(区片价!C3:F3=E2)*(区片价!C290:F316))</f>
        <v>0</v>
      </c>
      <c r="N10" s="1801">
        <f>SUMPRODUCT((因素修正幅度!B290:B316=I2)*(因素修正幅度!C3:F3=E2)*(因素修正幅度!C290:F316))</f>
        <v>0</v>
      </c>
      <c r="O10" s="3232"/>
      <c r="P10" s="2070"/>
      <c r="Q10" s="2070"/>
      <c r="R10" s="2652">
        <v>9</v>
      </c>
      <c r="S10" s="2641"/>
      <c r="T10" s="2652" t="e">
        <f t="shared" si="0"/>
        <v>#DIV/0!</v>
      </c>
      <c r="U10" s="2641"/>
      <c r="V10" s="2652" t="e">
        <f t="shared" si="1"/>
        <v>#DIV/0!</v>
      </c>
      <c r="W10" s="357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62"/>
      <c r="B11" s="1383" t="s">
        <v>934</v>
      </c>
      <c r="C11" s="1035">
        <f>C10/4</f>
        <v>0</v>
      </c>
      <c r="D11" s="1035" t="s">
        <v>935</v>
      </c>
      <c r="E11" s="1035" t="e">
        <f>ROUND(C11/E7,4)</f>
        <v>#DIV/0!</v>
      </c>
      <c r="F11" s="1384" t="s">
        <v>936</v>
      </c>
      <c r="G11" s="1385"/>
      <c r="H11" s="1385"/>
      <c r="I11" s="1385"/>
      <c r="J11" s="1386"/>
      <c r="K11" s="3232"/>
      <c r="L11" s="1799" t="s">
        <v>2237</v>
      </c>
      <c r="M11" s="1800">
        <f>SUMPRODUCT((区片价!B317:B337=I2)*(区片价!C3:F3=E2)*(区片价!C317:F337))</f>
        <v>0</v>
      </c>
      <c r="N11" s="1801">
        <f>SUMPRODUCT((因素修正幅度!B317:B337=I2)*(因素修正幅度!C3:F3=E2)*(因素修正幅度!C317:F337))</f>
        <v>0</v>
      </c>
      <c r="O11" s="3232"/>
      <c r="P11" s="2070"/>
      <c r="Q11" s="2070"/>
      <c r="R11" s="2652">
        <v>10</v>
      </c>
      <c r="S11" s="2641"/>
      <c r="T11" s="2652" t="e">
        <f t="shared" si="0"/>
        <v>#DIV/0!</v>
      </c>
      <c r="U11" s="2641"/>
      <c r="V11" s="2652" t="e">
        <f t="shared" si="1"/>
        <v>#DIV/0!</v>
      </c>
      <c r="W11" s="3571" t="s">
        <v>2760</v>
      </c>
      <c r="X11" s="1034" t="s">
        <v>2745</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61" t="s">
        <v>1862</v>
      </c>
      <c r="B12" s="1387" t="s">
        <v>937</v>
      </c>
      <c r="C12" s="1029">
        <f>ROUND(C15*D15*E15*F15*G15*H15*I15*J15,4)</f>
        <v>1</v>
      </c>
      <c r="D12" s="1388" t="s">
        <v>938</v>
      </c>
      <c r="E12" s="1389"/>
      <c r="F12" s="1389"/>
      <c r="G12" s="1390"/>
      <c r="H12" s="1390"/>
      <c r="I12" s="1390"/>
      <c r="J12" s="1391"/>
      <c r="K12" s="3232"/>
      <c r="L12" s="1802" t="s">
        <v>2238</v>
      </c>
      <c r="M12" s="1803">
        <f>SUMPRODUCT((区片价!B338:B344=I2)*(区片价!C3:F3=E2)*(区片价!C338:F344))</f>
        <v>0</v>
      </c>
      <c r="N12" s="1804">
        <f>SUMPRODUCT((因素修正幅度!B338:B344=I2)*(因素修正幅度!C3:F3=E2)*(因素修正幅度!C338:F344))</f>
        <v>0</v>
      </c>
      <c r="O12" s="3232"/>
      <c r="P12" s="2070"/>
      <c r="Q12" s="2070"/>
      <c r="R12" s="2652">
        <v>11</v>
      </c>
      <c r="S12" s="2641"/>
      <c r="T12" s="2652" t="e">
        <f t="shared" si="0"/>
        <v>#DIV/0!</v>
      </c>
      <c r="U12" s="2641"/>
      <c r="V12" s="2652" t="e">
        <f t="shared" si="1"/>
        <v>#DIV/0!</v>
      </c>
      <c r="W12" s="3571"/>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63"/>
      <c r="B13" s="1392" t="s">
        <v>1687</v>
      </c>
      <c r="C13" s="1393" t="s">
        <v>1688</v>
      </c>
      <c r="D13" s="1071" t="s">
        <v>1689</v>
      </c>
      <c r="E13" s="1071" t="s">
        <v>1690</v>
      </c>
      <c r="F13" s="1394" t="s">
        <v>939</v>
      </c>
      <c r="G13" s="1395" t="s">
        <v>1633</v>
      </c>
      <c r="H13" s="1396" t="s">
        <v>1633</v>
      </c>
      <c r="I13" s="1397" t="s">
        <v>1633</v>
      </c>
      <c r="J13" s="1398" t="s">
        <v>1633</v>
      </c>
      <c r="K13" s="2840"/>
      <c r="L13" s="2840"/>
      <c r="M13" s="2840"/>
      <c r="N13" s="2840"/>
      <c r="O13" s="2840"/>
      <c r="P13" s="2070"/>
      <c r="Q13" s="2070"/>
      <c r="R13" s="2652">
        <v>12</v>
      </c>
      <c r="S13" s="2641"/>
      <c r="T13" s="2652" t="e">
        <f t="shared" si="0"/>
        <v>#DIV/0!</v>
      </c>
      <c r="U13" s="2641"/>
      <c r="V13" s="2652" t="e">
        <f t="shared" si="1"/>
        <v>#DIV/0!</v>
      </c>
      <c r="W13" s="3571"/>
      <c r="X13" s="2649"/>
      <c r="Y13" s="2648">
        <f>(-0.163*(Y12^2)-0.59*Y12+7617)*(10^(-4))/Y11</f>
        <v>0.19042500000000001</v>
      </c>
      <c r="Z13" s="2648">
        <f t="shared" ref="Z13:AJ13" si="5">(-0.163*(Z12^2)-0.59*Z12+7617)*(10^(-4))/Z11</f>
        <v>0.19042500000000001</v>
      </c>
      <c r="AA13" s="2648">
        <f t="shared" si="5"/>
        <v>0.19042500000000001</v>
      </c>
      <c r="AB13" s="2648">
        <f t="shared" si="5"/>
        <v>0.19042500000000001</v>
      </c>
      <c r="AC13" s="2648">
        <f t="shared" si="5"/>
        <v>0.19042500000000001</v>
      </c>
      <c r="AD13" s="2648">
        <f t="shared" si="5"/>
        <v>0.19042500000000001</v>
      </c>
      <c r="AE13" s="2648">
        <f t="shared" si="5"/>
        <v>0.19042500000000001</v>
      </c>
      <c r="AF13" s="2648">
        <f t="shared" si="5"/>
        <v>0.19042500000000001</v>
      </c>
      <c r="AG13" s="2648">
        <f t="shared" si="5"/>
        <v>0.19042500000000001</v>
      </c>
      <c r="AH13" s="2648">
        <f t="shared" si="5"/>
        <v>0.19042500000000001</v>
      </c>
      <c r="AI13" s="2648">
        <f t="shared" si="5"/>
        <v>0.19042500000000001</v>
      </c>
      <c r="AJ13" s="2648">
        <f t="shared" si="5"/>
        <v>0.19042500000000001</v>
      </c>
    </row>
    <row r="14" spans="1:39" ht="12.75" customHeight="1">
      <c r="A14" s="3563"/>
      <c r="B14" s="1399"/>
      <c r="C14" s="1400"/>
      <c r="D14" s="1401"/>
      <c r="E14" s="1401"/>
      <c r="F14" s="1402"/>
      <c r="G14" s="1403" t="s">
        <v>940</v>
      </c>
      <c r="H14" s="1404"/>
      <c r="I14" s="1405"/>
      <c r="J14" s="1406"/>
      <c r="K14" s="3233"/>
      <c r="L14" s="3233"/>
      <c r="M14" s="3233"/>
      <c r="N14" s="3233"/>
      <c r="O14" s="3233"/>
      <c r="P14" s="2070"/>
      <c r="Q14" s="2070"/>
      <c r="R14" s="2652">
        <v>13</v>
      </c>
      <c r="S14" s="2641"/>
      <c r="T14" s="2652" t="e">
        <f t="shared" si="0"/>
        <v>#DIV/0!</v>
      </c>
      <c r="U14" s="2641"/>
      <c r="V14" s="2652" t="e">
        <f t="shared" si="1"/>
        <v>#DIV/0!</v>
      </c>
      <c r="W14" s="2070"/>
      <c r="X14" s="2070"/>
      <c r="Y14" s="2070"/>
      <c r="Z14" s="2070"/>
      <c r="AA14" s="2070"/>
      <c r="AB14" s="2070"/>
      <c r="AC14" s="2071"/>
    </row>
    <row r="15" spans="1:39" ht="13.5" customHeight="1" thickBot="1">
      <c r="A15" s="3564"/>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70"/>
      <c r="Q15" s="2070"/>
      <c r="R15" s="2652">
        <v>14</v>
      </c>
      <c r="S15" s="2641"/>
      <c r="T15" s="2652" t="e">
        <f t="shared" si="0"/>
        <v>#DIV/0!</v>
      </c>
      <c r="U15" s="2641"/>
      <c r="V15" s="2652" t="e">
        <f t="shared" si="1"/>
        <v>#DIV/0!</v>
      </c>
      <c r="W15" s="2070"/>
      <c r="X15" s="2070"/>
      <c r="Y15" s="2070"/>
      <c r="Z15" s="2070"/>
      <c r="AA15" s="2070"/>
      <c r="AB15" s="2070"/>
      <c r="AC15" s="2071"/>
    </row>
    <row r="16" spans="1:39" ht="24.6" customHeight="1">
      <c r="A16" s="3561" t="s">
        <v>1829</v>
      </c>
      <c r="B16" s="1375" t="s">
        <v>941</v>
      </c>
      <c r="C16" s="1038" t="e">
        <f>ROUND(IF(F17="与级别开发程度一致",0,(G17-E17)/C17),0)</f>
        <v>#DIV/0!</v>
      </c>
      <c r="D16" s="3579" t="s">
        <v>945</v>
      </c>
      <c r="E16" s="3580"/>
      <c r="F16" s="3579" t="s">
        <v>942</v>
      </c>
      <c r="G16" s="3580"/>
      <c r="H16" s="1407"/>
      <c r="I16" s="1407"/>
      <c r="J16" s="1407"/>
      <c r="K16" s="1407"/>
      <c r="L16" s="1407"/>
      <c r="M16" s="1407"/>
      <c r="N16" s="1407"/>
      <c r="O16" s="2850"/>
      <c r="P16" s="2070"/>
      <c r="Q16" s="2073"/>
      <c r="R16" s="2652">
        <v>15</v>
      </c>
      <c r="S16" s="2641"/>
      <c r="T16" s="2652" t="e">
        <f t="shared" si="0"/>
        <v>#DIV/0!</v>
      </c>
      <c r="U16" s="2641"/>
      <c r="V16" s="2652" t="e">
        <f t="shared" si="1"/>
        <v>#DIV/0!</v>
      </c>
      <c r="W16" s="2073"/>
      <c r="X16" s="2073"/>
      <c r="Y16" s="2073"/>
      <c r="Z16" s="2073"/>
      <c r="AA16" s="2073"/>
      <c r="AB16" s="2073"/>
      <c r="AC16" s="2074"/>
    </row>
    <row r="17" spans="1:40" ht="13.5" thickBot="1">
      <c r="A17" s="3565"/>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6" t="s">
        <v>946</v>
      </c>
      <c r="C18" s="2847">
        <f>SUMIF(修正!C18:C39,E3,修正!E18:E39)</f>
        <v>0</v>
      </c>
      <c r="D18" s="2848"/>
      <c r="E18" s="2849"/>
      <c r="F18" s="2832"/>
      <c r="G18" s="2831"/>
      <c r="H18" s="2831"/>
      <c r="I18" s="2831"/>
      <c r="J18" s="2839"/>
      <c r="K18" s="3231"/>
      <c r="L18" s="2831"/>
      <c r="M18" s="2831"/>
      <c r="N18" s="2831"/>
      <c r="O18" s="2831"/>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ROUND(IF(H19="按公示增长率计算",SUMPRODUCT((地价!A3:A35=YEAR(G19)&amp;"-"&amp;ROUNDUP(MONTH(G19)/3,0))*(地价!X2:AB2=E2)*(地价!X3:AB35)),IF(H19="地价指数",M20/M19,(1+I19)^O19)),4)</f>
        <v>0</v>
      </c>
      <c r="D19" s="1414" t="s">
        <v>948</v>
      </c>
      <c r="E19" s="1040">
        <v>41640</v>
      </c>
      <c r="F19" s="1414" t="s">
        <v>949</v>
      </c>
      <c r="G19" s="1041">
        <f>'数据-取费表'!B2</f>
        <v>44405</v>
      </c>
      <c r="H19" s="1415" t="s">
        <v>2953</v>
      </c>
      <c r="I19" s="2503" t="str">
        <f>IF(H19="季度增幅（自定义）",SUMIF(N21:N24,E2,O21:O24),"")</f>
        <v/>
      </c>
      <c r="J19" s="1411"/>
      <c r="K19" s="3231"/>
      <c r="L19" s="2750" t="s">
        <v>2820</v>
      </c>
      <c r="M19" s="2751">
        <f>ROUND(SUMIF(地价!B2:F2,E2,地价!B35:F35),0)</f>
        <v>0</v>
      </c>
      <c r="N19" s="2505" t="s">
        <v>1667</v>
      </c>
      <c r="O19" s="2504">
        <f>ROUNDDOWN(DATEDIF(E19,G19,"M")/3,0)</f>
        <v>30</v>
      </c>
      <c r="P19" s="2074"/>
      <c r="Q19" s="2640"/>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0">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1"/>
      <c r="L20" s="2752" t="s">
        <v>2821</v>
      </c>
      <c r="M20" s="2834">
        <f>ROUND(SUMPRODUCT((地价!A4:A35=YEAR(G19)&amp;"-"&amp;ROUNDUP(MONTH(G19)/3,0))*(地价!B2:F2=E2)*(地价!B4:F35)),0)</f>
        <v>0</v>
      </c>
      <c r="N20" s="2508" t="s">
        <v>2625</v>
      </c>
      <c r="O20" s="2506" t="s">
        <v>2624</v>
      </c>
      <c r="P20" s="2507" t="s">
        <v>2630</v>
      </c>
      <c r="Q20" s="2640"/>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1"/>
      <c r="L21" s="1421"/>
      <c r="M21" s="1421"/>
      <c r="N21" s="1418" t="s">
        <v>966</v>
      </c>
      <c r="O21" s="1481"/>
      <c r="P21" s="2495">
        <f>SUMPRODUCT((地价!A3:A35=YEAR(G19)&amp;"-"&amp;ROUNDUP(MONTH(G19)/3,0))*(地价!AD2:AH2=N21)*(地价!AD3:AH35))</f>
        <v>1.0699999999999999E-2</v>
      </c>
      <c r="Q21" s="2640"/>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1"/>
      <c r="M22" s="1421"/>
      <c r="N22" s="1418" t="s">
        <v>969</v>
      </c>
      <c r="O22" s="1481"/>
      <c r="P22" s="2495">
        <f>SUMPRODUCT((地价!A3:A35=YEAR(G19)&amp;"-"&amp;ROUNDUP(MONTH(G19)/3,0))*(地价!AD2:AH2=N22)*(地价!AD3:AH35))</f>
        <v>1.0699999999999999E-2</v>
      </c>
      <c r="Q22" s="2640"/>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5">
        <f>SUMPRODUCT((地价!A3:A35=YEAR(G19)&amp;"-"&amp;ROUNDUP(MONTH(G19)/3,0))*(地价!AD2:AH2=N23)*(地价!AD3:AH35))</f>
        <v>1.8700000000000001E-2</v>
      </c>
      <c r="Q23" s="2640"/>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38"/>
      <c r="L24" s="1421"/>
      <c r="M24" s="1421"/>
      <c r="N24" s="1418" t="s">
        <v>972</v>
      </c>
      <c r="O24" s="2833"/>
      <c r="P24" s="2495">
        <f>SUMPRODUCT((地价!A3:A35=YEAR(G19)&amp;"-"&amp;ROUNDUP(MONTH(G19)/3,0))*(地价!AD2:AH2=N24)*(地价!AD3:AH35))</f>
        <v>1.24E-2</v>
      </c>
      <c r="Q24" s="2640"/>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6"/>
      <c r="M25" s="2076"/>
      <c r="N25" s="2835" t="s">
        <v>2628</v>
      </c>
      <c r="O25" s="2836"/>
      <c r="P25" s="2302">
        <f>SUMPRODUCT((地价!A3:A35=YEAR(G19)&amp;"-"&amp;ROUNDUP(MONTH(G19)/3,0))*(地价!AD2:AH2=N25)*(地价!AD3:AH35))</f>
        <v>1.7000000000000001E-2</v>
      </c>
      <c r="Q25" s="2640"/>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4" t="e">
        <f>IF(B21="容积率修正",E29+SUM(E33:E39),SUM(V2:V16)+SUM(E33:E39))</f>
        <v>#DIV/0!</v>
      </c>
      <c r="D26" s="1429"/>
      <c r="E26" s="1404"/>
      <c r="F26" s="1430"/>
      <c r="G26" s="1404"/>
      <c r="H26" s="1404"/>
      <c r="I26" s="1404"/>
      <c r="J26" s="1431"/>
      <c r="K26" s="3232"/>
      <c r="L26" s="1528" t="s">
        <v>889</v>
      </c>
      <c r="M26" s="1376" t="s">
        <v>974</v>
      </c>
      <c r="N26" s="1376" t="s">
        <v>975</v>
      </c>
      <c r="O26" s="1376" t="s">
        <v>893</v>
      </c>
      <c r="P26" s="1416" t="s">
        <v>976</v>
      </c>
      <c r="Q26" s="2640"/>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2"/>
      <c r="L27" s="1408" t="s">
        <v>978</v>
      </c>
      <c r="M27" s="1033">
        <v>0.25</v>
      </c>
      <c r="N27" s="1033">
        <v>0.2</v>
      </c>
      <c r="O27" s="1033">
        <v>0.15</v>
      </c>
      <c r="P27" s="1478">
        <v>0.1</v>
      </c>
      <c r="Q27" s="2076"/>
      <c r="R27" s="2640"/>
      <c r="S27" s="2640"/>
      <c r="T27" s="2640"/>
      <c r="U27" s="2640"/>
      <c r="V27" s="2640"/>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2"/>
      <c r="L28" s="1409" t="s">
        <v>964</v>
      </c>
      <c r="M28" s="1479">
        <f>ROUND($E$20*(1+M27),3)</f>
        <v>5.3999999999999999E-2</v>
      </c>
      <c r="N28" s="1479">
        <f>ROUND($E$20*(1+N27),3)</f>
        <v>5.1999999999999998E-2</v>
      </c>
      <c r="O28" s="1479">
        <f>ROUND($E$20*(1+O27),3)</f>
        <v>0.05</v>
      </c>
      <c r="P28" s="1480">
        <f>ROUND($E$20*(1+P27),3)</f>
        <v>4.8000000000000001E-2</v>
      </c>
      <c r="Q28" s="2076"/>
      <c r="R28" s="2640"/>
      <c r="S28" s="2640"/>
      <c r="T28" s="2640"/>
      <c r="U28" s="2640"/>
      <c r="V28" s="2640"/>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39"/>
      <c r="L29" s="3239"/>
      <c r="M29" s="3239"/>
      <c r="N29" s="3239"/>
      <c r="O29" s="3239"/>
      <c r="P29" s="2070"/>
      <c r="Q29" s="2076"/>
      <c r="R29" s="2076"/>
      <c r="S29" s="2076"/>
      <c r="T29" s="2076"/>
      <c r="U29" s="2076"/>
      <c r="V29" s="2076"/>
      <c r="W29" s="2640"/>
      <c r="X29" s="2640"/>
      <c r="Y29" s="2640"/>
      <c r="Z29" s="2640"/>
      <c r="AA29" s="2640"/>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8"/>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68" t="s">
        <v>2992</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9"/>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9"/>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9"/>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9"/>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70"/>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70"/>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0" t="s">
        <v>2947</v>
      </c>
      <c r="C41" s="828" t="e">
        <f>ROUND(POWER(1+E41,H41-G41)*(POWER(1+E41,G41)-1)/(POWER(1+E41,H41)-1),4)</f>
        <v>#DIV/0!</v>
      </c>
      <c r="D41" s="372" t="s">
        <v>2945</v>
      </c>
      <c r="E41" s="2829">
        <f>G20</f>
        <v>0</v>
      </c>
      <c r="F41" s="372" t="s">
        <v>2946</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2" t="s">
        <v>2903</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1" t="s">
        <v>2902</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2" t="s">
        <v>2904</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1" t="s">
        <v>2902</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1" t="s">
        <v>2902</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1" t="s">
        <v>2902</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66" t="s">
        <v>1624</v>
      </c>
      <c r="B90" s="3566"/>
      <c r="C90" s="3566"/>
      <c r="D90" s="3566"/>
      <c r="E90" s="3566"/>
      <c r="F90" s="3566"/>
      <c r="G90" s="3566"/>
      <c r="H90" s="3566"/>
      <c r="I90" s="3566"/>
      <c r="J90" s="3566"/>
      <c r="K90" s="2305"/>
      <c r="L90" s="2305"/>
      <c r="M90" s="2305"/>
      <c r="N90" s="2305"/>
    </row>
    <row r="91" spans="1:40">
      <c r="A91" s="3567" t="s">
        <v>1434</v>
      </c>
      <c r="B91" s="3567" t="s">
        <v>1625</v>
      </c>
      <c r="C91" s="1122" t="s">
        <v>1626</v>
      </c>
      <c r="D91" s="1123"/>
      <c r="E91" s="1123"/>
      <c r="F91" s="1123"/>
      <c r="G91" s="1123"/>
      <c r="H91" s="1123"/>
      <c r="I91" s="1123"/>
      <c r="J91" s="1124"/>
      <c r="K91" s="1116"/>
      <c r="L91" s="1116"/>
      <c r="M91" s="1116"/>
      <c r="N91" s="1116"/>
    </row>
    <row r="92" spans="1:40">
      <c r="A92" s="3567"/>
      <c r="B92" s="356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4"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4"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5"/>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5"/>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5"/>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5"/>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5"/>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5"/>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5"/>
      <c r="B108" s="357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6"/>
      <c r="B109" s="3578"/>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60" t="s">
        <v>1630</v>
      </c>
      <c r="B110" s="3560"/>
      <c r="C110" s="3560"/>
      <c r="D110" s="3560"/>
      <c r="E110" s="3560"/>
      <c r="F110" s="3560"/>
      <c r="G110" s="3560"/>
      <c r="H110" s="3560"/>
      <c r="I110" s="3560"/>
      <c r="J110" s="3560"/>
      <c r="K110" s="2303"/>
      <c r="L110" s="2303"/>
      <c r="M110" s="2303"/>
      <c r="N110" s="2303"/>
    </row>
    <row r="112" spans="1:14" ht="12.75" thickBot="1"/>
    <row r="113" spans="1:13" ht="25.5" thickBot="1">
      <c r="A113" s="1002" t="s">
        <v>887</v>
      </c>
      <c r="B113" s="2306">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67" t="s">
        <v>998</v>
      </c>
      <c r="B18" s="1136" t="s">
        <v>1437</v>
      </c>
      <c r="C18" s="1113" t="s">
        <v>1438</v>
      </c>
      <c r="D18" s="1114"/>
      <c r="E18" s="1136">
        <v>1</v>
      </c>
      <c r="F18" s="1115" t="s">
        <v>1439</v>
      </c>
      <c r="G18" s="1116"/>
      <c r="H18" s="1087"/>
      <c r="I18" s="1087"/>
    </row>
    <row r="19" spans="1:9" s="1529" customFormat="1" ht="19.5" customHeight="1">
      <c r="A19" s="3567"/>
      <c r="B19" s="3567" t="s">
        <v>1440</v>
      </c>
      <c r="C19" s="1113" t="s">
        <v>1441</v>
      </c>
      <c r="D19" s="1114"/>
      <c r="E19" s="1136">
        <v>0.9</v>
      </c>
      <c r="F19" s="1115" t="s">
        <v>1442</v>
      </c>
      <c r="G19" s="1116"/>
      <c r="H19" s="1087"/>
      <c r="I19" s="1087"/>
    </row>
    <row r="20" spans="1:9" s="1529" customFormat="1" ht="19.5" customHeight="1">
      <c r="A20" s="3567"/>
      <c r="B20" s="3567"/>
      <c r="C20" s="1113" t="s">
        <v>1443</v>
      </c>
      <c r="D20" s="1114"/>
      <c r="E20" s="1136">
        <v>1.1000000000000001</v>
      </c>
      <c r="F20" s="1115" t="s">
        <v>1444</v>
      </c>
      <c r="G20" s="1116"/>
      <c r="H20" s="1087"/>
      <c r="I20" s="1087"/>
    </row>
    <row r="21" spans="1:9" s="1529" customFormat="1" ht="19.5" customHeight="1">
      <c r="A21" s="3567"/>
      <c r="B21" s="3567"/>
      <c r="C21" s="1113" t="s">
        <v>1445</v>
      </c>
      <c r="D21" s="1114"/>
      <c r="E21" s="1136">
        <v>0.8</v>
      </c>
      <c r="F21" s="1115" t="s">
        <v>1446</v>
      </c>
      <c r="G21" s="1116"/>
      <c r="H21" s="1087"/>
      <c r="I21" s="1087"/>
    </row>
    <row r="22" spans="1:9" s="1529" customFormat="1" ht="19.5" customHeight="1">
      <c r="A22" s="3567"/>
      <c r="B22" s="3567"/>
      <c r="C22" s="1113" t="s">
        <v>1447</v>
      </c>
      <c r="D22" s="1114"/>
      <c r="E22" s="1136">
        <v>0.5</v>
      </c>
      <c r="F22" s="1115"/>
      <c r="G22" s="1116"/>
      <c r="H22" s="1087"/>
      <c r="I22" s="1087"/>
    </row>
    <row r="23" spans="1:9" s="1529" customFormat="1" ht="19.5" customHeight="1">
      <c r="A23" s="3567" t="s">
        <v>1020</v>
      </c>
      <c r="B23" s="1136" t="s">
        <v>1437</v>
      </c>
      <c r="C23" s="1113" t="s">
        <v>1448</v>
      </c>
      <c r="D23" s="1114"/>
      <c r="E23" s="1136">
        <v>1</v>
      </c>
      <c r="F23" s="1115" t="s">
        <v>1449</v>
      </c>
      <c r="G23" s="1116"/>
      <c r="H23" s="1087"/>
      <c r="I23" s="1087"/>
    </row>
    <row r="24" spans="1:9" s="1529" customFormat="1" ht="19.5" customHeight="1">
      <c r="A24" s="3567"/>
      <c r="B24" s="3567" t="s">
        <v>1440</v>
      </c>
      <c r="C24" s="1113" t="s">
        <v>1450</v>
      </c>
      <c r="D24" s="1114"/>
      <c r="E24" s="1136">
        <v>0.5</v>
      </c>
      <c r="F24" s="1115"/>
      <c r="G24" s="1116"/>
      <c r="H24" s="1087"/>
      <c r="I24" s="1087"/>
    </row>
    <row r="25" spans="1:9" s="1529" customFormat="1" ht="19.5" customHeight="1">
      <c r="A25" s="3567"/>
      <c r="B25" s="3567"/>
      <c r="C25" s="1113" t="s">
        <v>1451</v>
      </c>
      <c r="D25" s="1114"/>
      <c r="E25" s="1136">
        <v>1.1000000000000001</v>
      </c>
      <c r="F25" s="1115"/>
      <c r="G25" s="1116"/>
      <c r="H25" s="1087"/>
      <c r="I25" s="1087"/>
    </row>
    <row r="26" spans="1:9" s="1529" customFormat="1" ht="19.5" customHeight="1">
      <c r="A26" s="3567"/>
      <c r="B26" s="3567"/>
      <c r="C26" s="1113" t="s">
        <v>1452</v>
      </c>
      <c r="D26" s="1114"/>
      <c r="E26" s="1136">
        <v>1.1000000000000001</v>
      </c>
      <c r="F26" s="1115"/>
      <c r="G26" s="1116"/>
      <c r="H26" s="1087"/>
      <c r="I26" s="1087"/>
    </row>
    <row r="27" spans="1:9" s="1529" customFormat="1" ht="19.5" customHeight="1">
      <c r="A27" s="3567"/>
      <c r="B27" s="3567"/>
      <c r="C27" s="1113" t="s">
        <v>1453</v>
      </c>
      <c r="D27" s="1114"/>
      <c r="E27" s="1136">
        <v>0.9</v>
      </c>
      <c r="F27" s="1115" t="s">
        <v>1454</v>
      </c>
      <c r="G27" s="1116"/>
      <c r="H27" s="1087"/>
      <c r="I27" s="1087"/>
    </row>
    <row r="28" spans="1:9" s="1529" customFormat="1" ht="19.5" customHeight="1">
      <c r="A28" s="3567"/>
      <c r="B28" s="3567"/>
      <c r="C28" s="1113" t="s">
        <v>1455</v>
      </c>
      <c r="D28" s="1114"/>
      <c r="E28" s="1136">
        <v>0.9</v>
      </c>
      <c r="F28" s="1115" t="s">
        <v>1456</v>
      </c>
      <c r="G28" s="1116"/>
      <c r="H28" s="1087"/>
      <c r="I28" s="1087"/>
    </row>
    <row r="29" spans="1:9" s="1529" customFormat="1" ht="19.5" customHeight="1">
      <c r="A29" s="3567"/>
      <c r="B29" s="3567"/>
      <c r="C29" s="1113" t="s">
        <v>1457</v>
      </c>
      <c r="D29" s="1114"/>
      <c r="E29" s="1136">
        <v>0.9</v>
      </c>
      <c r="F29" s="1115" t="s">
        <v>1458</v>
      </c>
      <c r="G29" s="1116"/>
      <c r="H29" s="1087"/>
      <c r="I29" s="1087"/>
    </row>
    <row r="30" spans="1:9" s="1529" customFormat="1" ht="19.5" customHeight="1">
      <c r="A30" s="3567"/>
      <c r="B30" s="3567"/>
      <c r="C30" s="1113" t="s">
        <v>1459</v>
      </c>
      <c r="D30" s="1114"/>
      <c r="E30" s="1136">
        <v>0.9</v>
      </c>
      <c r="F30" s="1115" t="s">
        <v>1460</v>
      </c>
      <c r="G30" s="1116"/>
      <c r="H30" s="1087"/>
      <c r="I30" s="1087"/>
    </row>
    <row r="31" spans="1:9" s="1529" customFormat="1" ht="19.5" customHeight="1">
      <c r="A31" s="3567"/>
      <c r="B31" s="3567"/>
      <c r="C31" s="1113" t="s">
        <v>1461</v>
      </c>
      <c r="D31" s="1114"/>
      <c r="E31" s="1136">
        <v>0.8</v>
      </c>
      <c r="F31" s="1115" t="s">
        <v>1462</v>
      </c>
      <c r="G31" s="1116"/>
      <c r="H31" s="1087"/>
      <c r="I31" s="1087"/>
    </row>
    <row r="32" spans="1:9" s="1529" customFormat="1" ht="19.5" customHeight="1">
      <c r="A32" s="3567"/>
      <c r="B32" s="3567"/>
      <c r="C32" s="1113" t="s">
        <v>1463</v>
      </c>
      <c r="D32" s="1114"/>
      <c r="E32" s="1136">
        <v>0.8</v>
      </c>
      <c r="F32" s="1115" t="s">
        <v>1464</v>
      </c>
      <c r="G32" s="1116"/>
      <c r="H32" s="1087"/>
      <c r="I32" s="1087"/>
    </row>
    <row r="33" spans="1:9" s="1529" customFormat="1" ht="19.5" customHeight="1">
      <c r="A33" s="3567" t="s">
        <v>1465</v>
      </c>
      <c r="B33" s="1136" t="s">
        <v>1437</v>
      </c>
      <c r="C33" s="1113" t="s">
        <v>1466</v>
      </c>
      <c r="D33" s="1114"/>
      <c r="E33" s="1136">
        <v>1</v>
      </c>
      <c r="F33" s="1115" t="s">
        <v>1467</v>
      </c>
      <c r="G33" s="1116"/>
      <c r="H33" s="1087"/>
      <c r="I33" s="1087"/>
    </row>
    <row r="34" spans="1:9" s="1529" customFormat="1" ht="19.5" customHeight="1">
      <c r="A34" s="3567"/>
      <c r="B34" s="1136" t="s">
        <v>1440</v>
      </c>
      <c r="C34" s="1113" t="s">
        <v>1468</v>
      </c>
      <c r="D34" s="1114"/>
      <c r="E34" s="1136">
        <v>1.5</v>
      </c>
      <c r="F34" s="1115" t="s">
        <v>1469</v>
      </c>
      <c r="G34" s="1116"/>
      <c r="H34" s="1087"/>
      <c r="I34" s="1087"/>
    </row>
    <row r="35" spans="1:9" s="1529" customFormat="1" ht="19.5" customHeight="1">
      <c r="A35" s="3567" t="s">
        <v>1423</v>
      </c>
      <c r="B35" s="1136" t="s">
        <v>1437</v>
      </c>
      <c r="C35" s="1113" t="s">
        <v>1470</v>
      </c>
      <c r="D35" s="1114"/>
      <c r="E35" s="1136">
        <v>1</v>
      </c>
      <c r="F35" s="1115" t="s">
        <v>1471</v>
      </c>
      <c r="G35" s="1116"/>
      <c r="H35" s="1087"/>
      <c r="I35" s="1087"/>
    </row>
    <row r="36" spans="1:9" s="1529" customFormat="1" ht="19.5" customHeight="1">
      <c r="A36" s="3567"/>
      <c r="B36" s="3567" t="s">
        <v>1440</v>
      </c>
      <c r="C36" s="1113" t="s">
        <v>1472</v>
      </c>
      <c r="D36" s="1114"/>
      <c r="E36" s="1136">
        <v>1</v>
      </c>
      <c r="F36" s="1115" t="s">
        <v>1473</v>
      </c>
      <c r="G36" s="1116"/>
      <c r="H36" s="1087"/>
      <c r="I36" s="1087"/>
    </row>
    <row r="37" spans="1:9" s="1529" customFormat="1" ht="19.5" customHeight="1">
      <c r="A37" s="3567"/>
      <c r="B37" s="3567"/>
      <c r="C37" s="1113" t="s">
        <v>1474</v>
      </c>
      <c r="D37" s="1114"/>
      <c r="E37" s="1136">
        <v>1.5</v>
      </c>
      <c r="F37" s="1115" t="s">
        <v>1475</v>
      </c>
      <c r="G37" s="1116"/>
      <c r="H37" s="1087"/>
      <c r="I37" s="1087"/>
    </row>
    <row r="38" spans="1:9" s="1529" customFormat="1" ht="19.5" customHeight="1">
      <c r="A38" s="3567"/>
      <c r="B38" s="3567"/>
      <c r="C38" s="1113" t="s">
        <v>1476</v>
      </c>
      <c r="D38" s="1114"/>
      <c r="E38" s="1136">
        <v>1</v>
      </c>
      <c r="F38" s="1115" t="s">
        <v>1477</v>
      </c>
      <c r="G38" s="1116"/>
      <c r="H38" s="1087"/>
      <c r="I38" s="1087"/>
    </row>
    <row r="39" spans="1:9" s="1529" customFormat="1" ht="19.5" customHeight="1">
      <c r="A39" s="3567"/>
      <c r="B39" s="3567"/>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67" t="s">
        <v>1492</v>
      </c>
      <c r="C61" s="1050" t="s">
        <v>1493</v>
      </c>
      <c r="D61" s="1050" t="s">
        <v>1494</v>
      </c>
      <c r="E61" s="1121">
        <v>0.5</v>
      </c>
      <c r="F61" s="1136">
        <v>80</v>
      </c>
      <c r="H61" s="1087">
        <f>SUMIF(C59:C119,基准地价!C8,E59:E119)</f>
        <v>0</v>
      </c>
    </row>
    <row r="62" spans="1:8" s="1087" customFormat="1" ht="24">
      <c r="A62" s="1136">
        <v>2</v>
      </c>
      <c r="B62" s="3567"/>
      <c r="C62" s="1050" t="s">
        <v>1495</v>
      </c>
      <c r="D62" s="1050" t="s">
        <v>1496</v>
      </c>
      <c r="E62" s="1121">
        <v>0.5</v>
      </c>
      <c r="F62" s="1136">
        <v>80</v>
      </c>
    </row>
    <row r="63" spans="1:8" s="1087" customFormat="1" ht="36">
      <c r="A63" s="1136">
        <v>3</v>
      </c>
      <c r="B63" s="3567"/>
      <c r="C63" s="1050" t="s">
        <v>1497</v>
      </c>
      <c r="D63" s="1050" t="s">
        <v>1498</v>
      </c>
      <c r="E63" s="1121">
        <v>0.5</v>
      </c>
      <c r="F63" s="1136">
        <v>80</v>
      </c>
    </row>
    <row r="64" spans="1:8" s="1087" customFormat="1" ht="36">
      <c r="A64" s="1136">
        <v>4</v>
      </c>
      <c r="B64" s="3567"/>
      <c r="C64" s="1050" t="s">
        <v>1499</v>
      </c>
      <c r="D64" s="1050" t="s">
        <v>1500</v>
      </c>
      <c r="E64" s="1121">
        <v>0.4</v>
      </c>
      <c r="F64" s="1136">
        <v>60</v>
      </c>
    </row>
    <row r="65" spans="1:6" s="1087" customFormat="1" ht="36">
      <c r="A65" s="1136">
        <v>5</v>
      </c>
      <c r="B65" s="3567"/>
      <c r="C65" s="1050" t="s">
        <v>1501</v>
      </c>
      <c r="D65" s="1050" t="s">
        <v>1502</v>
      </c>
      <c r="E65" s="1121">
        <v>0.2</v>
      </c>
      <c r="F65" s="1136">
        <v>30</v>
      </c>
    </row>
    <row r="66" spans="1:6" s="1087" customFormat="1" ht="36">
      <c r="A66" s="1136">
        <v>6</v>
      </c>
      <c r="B66" s="3567"/>
      <c r="C66" s="1050" t="s">
        <v>1503</v>
      </c>
      <c r="D66" s="1050" t="s">
        <v>1504</v>
      </c>
      <c r="E66" s="1121">
        <v>0.3</v>
      </c>
      <c r="F66" s="1136">
        <v>50</v>
      </c>
    </row>
    <row r="67" spans="1:6" s="1087" customFormat="1" ht="36">
      <c r="A67" s="1136">
        <v>7</v>
      </c>
      <c r="B67" s="3567"/>
      <c r="C67" s="1050" t="s">
        <v>1505</v>
      </c>
      <c r="D67" s="1050" t="s">
        <v>1506</v>
      </c>
      <c r="E67" s="1121">
        <v>0.2</v>
      </c>
      <c r="F67" s="1136">
        <v>30</v>
      </c>
    </row>
    <row r="68" spans="1:6" s="1087" customFormat="1" ht="36">
      <c r="A68" s="1136">
        <v>8</v>
      </c>
      <c r="B68" s="3567"/>
      <c r="C68" s="1050" t="s">
        <v>1507</v>
      </c>
      <c r="D68" s="1050" t="s">
        <v>1508</v>
      </c>
      <c r="E68" s="1121">
        <v>0.2</v>
      </c>
      <c r="F68" s="1136">
        <v>30</v>
      </c>
    </row>
    <row r="69" spans="1:6" s="1087" customFormat="1" ht="36">
      <c r="A69" s="1136">
        <v>9</v>
      </c>
      <c r="B69" s="3567"/>
      <c r="C69" s="1050" t="s">
        <v>1509</v>
      </c>
      <c r="D69" s="1050" t="s">
        <v>1510</v>
      </c>
      <c r="E69" s="1121">
        <v>0.2</v>
      </c>
      <c r="F69" s="1136">
        <v>30</v>
      </c>
    </row>
    <row r="70" spans="1:6" s="1087" customFormat="1" ht="48">
      <c r="A70" s="1136">
        <v>10</v>
      </c>
      <c r="B70" s="3567"/>
      <c r="C70" s="1050" t="s">
        <v>1511</v>
      </c>
      <c r="D70" s="1050" t="s">
        <v>1512</v>
      </c>
      <c r="E70" s="1121">
        <v>0.2</v>
      </c>
      <c r="F70" s="1136">
        <v>30</v>
      </c>
    </row>
    <row r="71" spans="1:6" s="1087" customFormat="1" ht="48">
      <c r="A71" s="1136">
        <v>11</v>
      </c>
      <c r="B71" s="3567"/>
      <c r="C71" s="1050" t="s">
        <v>1513</v>
      </c>
      <c r="D71" s="1050" t="s">
        <v>1514</v>
      </c>
      <c r="E71" s="1121">
        <v>0.2</v>
      </c>
      <c r="F71" s="1136">
        <v>30</v>
      </c>
    </row>
    <row r="72" spans="1:6" s="1087" customFormat="1" ht="36">
      <c r="A72" s="1136">
        <v>12</v>
      </c>
      <c r="B72" s="3567"/>
      <c r="C72" s="1050" t="s">
        <v>1515</v>
      </c>
      <c r="D72" s="1050" t="s">
        <v>1516</v>
      </c>
      <c r="E72" s="1121">
        <v>0.5</v>
      </c>
      <c r="F72" s="1136">
        <v>80</v>
      </c>
    </row>
    <row r="73" spans="1:6" s="1087" customFormat="1" ht="24">
      <c r="A73" s="1136">
        <v>13</v>
      </c>
      <c r="B73" s="3567"/>
      <c r="C73" s="1050" t="s">
        <v>1517</v>
      </c>
      <c r="D73" s="1050" t="s">
        <v>1518</v>
      </c>
      <c r="E73" s="1121">
        <v>0.4</v>
      </c>
      <c r="F73" s="1136">
        <v>60</v>
      </c>
    </row>
    <row r="74" spans="1:6" s="1087" customFormat="1" ht="24">
      <c r="A74" s="1136">
        <v>14</v>
      </c>
      <c r="B74" s="3567"/>
      <c r="C74" s="1050" t="s">
        <v>1519</v>
      </c>
      <c r="D74" s="1050" t="s">
        <v>1520</v>
      </c>
      <c r="E74" s="1121">
        <v>0.2</v>
      </c>
      <c r="F74" s="1136">
        <v>30</v>
      </c>
    </row>
    <row r="75" spans="1:6" s="1087" customFormat="1" ht="24">
      <c r="A75" s="1136">
        <v>15</v>
      </c>
      <c r="B75" s="3567"/>
      <c r="C75" s="1050" t="s">
        <v>1521</v>
      </c>
      <c r="D75" s="1050" t="s">
        <v>1522</v>
      </c>
      <c r="E75" s="1121">
        <v>0.2</v>
      </c>
      <c r="F75" s="1136">
        <v>30</v>
      </c>
    </row>
    <row r="76" spans="1:6" s="1087" customFormat="1" ht="24">
      <c r="A76" s="1136">
        <v>16</v>
      </c>
      <c r="B76" s="3567" t="s">
        <v>1523</v>
      </c>
      <c r="C76" s="1050" t="s">
        <v>1524</v>
      </c>
      <c r="D76" s="1050" t="s">
        <v>1525</v>
      </c>
      <c r="E76" s="1121">
        <v>0.5</v>
      </c>
      <c r="F76" s="1136">
        <v>80</v>
      </c>
    </row>
    <row r="77" spans="1:6" s="1087" customFormat="1" ht="24">
      <c r="A77" s="1136">
        <v>17</v>
      </c>
      <c r="B77" s="3567"/>
      <c r="C77" s="1050" t="s">
        <v>1526</v>
      </c>
      <c r="D77" s="1050" t="s">
        <v>1527</v>
      </c>
      <c r="E77" s="1121">
        <v>0.5</v>
      </c>
      <c r="F77" s="1136">
        <v>80</v>
      </c>
    </row>
    <row r="78" spans="1:6" s="1087" customFormat="1" ht="24">
      <c r="A78" s="1136">
        <v>18</v>
      </c>
      <c r="B78" s="3567"/>
      <c r="C78" s="1050" t="s">
        <v>1528</v>
      </c>
      <c r="D78" s="1050" t="s">
        <v>1529</v>
      </c>
      <c r="E78" s="1121">
        <v>0.2</v>
      </c>
      <c r="F78" s="1136">
        <v>30</v>
      </c>
    </row>
    <row r="79" spans="1:6" s="1087" customFormat="1" ht="24">
      <c r="A79" s="1136">
        <v>19</v>
      </c>
      <c r="B79" s="3567"/>
      <c r="C79" s="1050" t="s">
        <v>1530</v>
      </c>
      <c r="D79" s="1050" t="s">
        <v>1531</v>
      </c>
      <c r="E79" s="1121">
        <v>0.5</v>
      </c>
      <c r="F79" s="1136">
        <v>80</v>
      </c>
    </row>
    <row r="80" spans="1:6" s="1087" customFormat="1" ht="36">
      <c r="A80" s="1136">
        <v>20</v>
      </c>
      <c r="B80" s="3567"/>
      <c r="C80" s="1050" t="s">
        <v>1532</v>
      </c>
      <c r="D80" s="1050" t="s">
        <v>1533</v>
      </c>
      <c r="E80" s="1121">
        <v>0.2</v>
      </c>
      <c r="F80" s="1136">
        <v>30</v>
      </c>
    </row>
    <row r="81" spans="1:6" s="1087" customFormat="1" ht="36">
      <c r="A81" s="1136">
        <v>21</v>
      </c>
      <c r="B81" s="3567"/>
      <c r="C81" s="1050" t="s">
        <v>1534</v>
      </c>
      <c r="D81" s="1050" t="s">
        <v>1535</v>
      </c>
      <c r="E81" s="1121">
        <v>0.2</v>
      </c>
      <c r="F81" s="1136">
        <v>30</v>
      </c>
    </row>
    <row r="82" spans="1:6" s="1087" customFormat="1" ht="48">
      <c r="A82" s="1136">
        <v>22</v>
      </c>
      <c r="B82" s="3567"/>
      <c r="C82" s="1050" t="s">
        <v>1536</v>
      </c>
      <c r="D82" s="1050" t="s">
        <v>1537</v>
      </c>
      <c r="E82" s="1121">
        <v>0.2</v>
      </c>
      <c r="F82" s="1136">
        <v>30</v>
      </c>
    </row>
    <row r="83" spans="1:6" s="1087" customFormat="1" ht="48">
      <c r="A83" s="1136">
        <v>23</v>
      </c>
      <c r="B83" s="3567"/>
      <c r="C83" s="1050" t="s">
        <v>1538</v>
      </c>
      <c r="D83" s="1050" t="s">
        <v>1539</v>
      </c>
      <c r="E83" s="1121">
        <v>0.2</v>
      </c>
      <c r="F83" s="1136">
        <v>30</v>
      </c>
    </row>
    <row r="84" spans="1:6" s="1087" customFormat="1" ht="36">
      <c r="A84" s="1136">
        <v>24</v>
      </c>
      <c r="B84" s="3567"/>
      <c r="C84" s="1050" t="s">
        <v>1540</v>
      </c>
      <c r="D84" s="1050" t="s">
        <v>1541</v>
      </c>
      <c r="E84" s="1121">
        <v>0.2</v>
      </c>
      <c r="F84" s="1136">
        <v>30</v>
      </c>
    </row>
    <row r="85" spans="1:6" s="1087" customFormat="1" ht="36">
      <c r="A85" s="1136">
        <v>25</v>
      </c>
      <c r="B85" s="3567"/>
      <c r="C85" s="1050" t="s">
        <v>1542</v>
      </c>
      <c r="D85" s="1050" t="s">
        <v>1543</v>
      </c>
      <c r="E85" s="1121">
        <v>0.5</v>
      </c>
      <c r="F85" s="1136">
        <v>80</v>
      </c>
    </row>
    <row r="86" spans="1:6" s="1087" customFormat="1" ht="36">
      <c r="A86" s="1136">
        <v>26</v>
      </c>
      <c r="B86" s="3567"/>
      <c r="C86" s="1050" t="s">
        <v>1544</v>
      </c>
      <c r="D86" s="1050" t="s">
        <v>1545</v>
      </c>
      <c r="E86" s="1121">
        <v>0.2</v>
      </c>
      <c r="F86" s="1136">
        <v>30</v>
      </c>
    </row>
    <row r="87" spans="1:6" s="1087" customFormat="1" ht="36">
      <c r="A87" s="1136">
        <v>27</v>
      </c>
      <c r="B87" s="3567"/>
      <c r="C87" s="1050" t="s">
        <v>1546</v>
      </c>
      <c r="D87" s="1050" t="s">
        <v>1547</v>
      </c>
      <c r="E87" s="1121">
        <v>0.2</v>
      </c>
      <c r="F87" s="1136">
        <v>30</v>
      </c>
    </row>
    <row r="88" spans="1:6" s="1087" customFormat="1" ht="36">
      <c r="A88" s="1136">
        <v>28</v>
      </c>
      <c r="B88" s="3567"/>
      <c r="C88" s="1050" t="s">
        <v>1548</v>
      </c>
      <c r="D88" s="1050" t="s">
        <v>1549</v>
      </c>
      <c r="E88" s="1121">
        <v>0.2</v>
      </c>
      <c r="F88" s="1136">
        <v>30</v>
      </c>
    </row>
    <row r="89" spans="1:6" s="1087" customFormat="1" ht="24">
      <c r="A89" s="1136">
        <v>29</v>
      </c>
      <c r="B89" s="3567"/>
      <c r="C89" s="1050" t="s">
        <v>1550</v>
      </c>
      <c r="D89" s="1050" t="s">
        <v>1551</v>
      </c>
      <c r="E89" s="1121">
        <v>0.2</v>
      </c>
      <c r="F89" s="1136">
        <v>30</v>
      </c>
    </row>
    <row r="90" spans="1:6" s="1087" customFormat="1" ht="24">
      <c r="A90" s="1136">
        <v>30</v>
      </c>
      <c r="B90" s="3567"/>
      <c r="C90" s="1050" t="s">
        <v>1552</v>
      </c>
      <c r="D90" s="1050" t="s">
        <v>1553</v>
      </c>
      <c r="E90" s="1121">
        <v>0.2</v>
      </c>
      <c r="F90" s="1136">
        <v>30</v>
      </c>
    </row>
    <row r="91" spans="1:6" s="1087" customFormat="1" ht="36">
      <c r="A91" s="1136">
        <v>31</v>
      </c>
      <c r="B91" s="3567"/>
      <c r="C91" s="1050" t="s">
        <v>1554</v>
      </c>
      <c r="D91" s="1050" t="s">
        <v>1555</v>
      </c>
      <c r="E91" s="1121">
        <v>0.2</v>
      </c>
      <c r="F91" s="1136">
        <v>30</v>
      </c>
    </row>
    <row r="92" spans="1:6" s="1087" customFormat="1" ht="24">
      <c r="A92" s="1136">
        <v>32</v>
      </c>
      <c r="B92" s="3567" t="s">
        <v>1556</v>
      </c>
      <c r="C92" s="1136" t="s">
        <v>1557</v>
      </c>
      <c r="D92" s="1050" t="s">
        <v>1558</v>
      </c>
      <c r="E92" s="1121">
        <v>0.2</v>
      </c>
      <c r="F92" s="1136">
        <v>30</v>
      </c>
    </row>
    <row r="93" spans="1:6" s="1087" customFormat="1" ht="36">
      <c r="A93" s="1136">
        <v>33</v>
      </c>
      <c r="B93" s="3567"/>
      <c r="C93" s="1136" t="s">
        <v>1559</v>
      </c>
      <c r="D93" s="1050" t="s">
        <v>1560</v>
      </c>
      <c r="E93" s="1121">
        <v>0.2</v>
      </c>
      <c r="F93" s="1136">
        <v>30</v>
      </c>
    </row>
    <row r="94" spans="1:6" s="1087" customFormat="1" ht="48">
      <c r="A94" s="1136">
        <v>34</v>
      </c>
      <c r="B94" s="3567"/>
      <c r="C94" s="1136" t="s">
        <v>1561</v>
      </c>
      <c r="D94" s="1050" t="s">
        <v>1562</v>
      </c>
      <c r="E94" s="1121">
        <v>0.2</v>
      </c>
      <c r="F94" s="1136">
        <v>30</v>
      </c>
    </row>
    <row r="95" spans="1:6" s="1087" customFormat="1" ht="36">
      <c r="A95" s="1136">
        <v>35</v>
      </c>
      <c r="B95" s="3567"/>
      <c r="C95" s="1136" t="s">
        <v>1563</v>
      </c>
      <c r="D95" s="1050" t="s">
        <v>1564</v>
      </c>
      <c r="E95" s="1121">
        <v>0.2</v>
      </c>
      <c r="F95" s="1136">
        <v>30</v>
      </c>
    </row>
    <row r="96" spans="1:6" s="1087" customFormat="1" ht="48">
      <c r="A96" s="1136">
        <v>36</v>
      </c>
      <c r="B96" s="3567"/>
      <c r="C96" s="1050" t="s">
        <v>1565</v>
      </c>
      <c r="D96" s="1050" t="s">
        <v>1566</v>
      </c>
      <c r="E96" s="1121">
        <v>0.2</v>
      </c>
      <c r="F96" s="1136">
        <v>30</v>
      </c>
    </row>
    <row r="97" spans="1:6" s="1087" customFormat="1" ht="36">
      <c r="A97" s="1136">
        <v>37</v>
      </c>
      <c r="B97" s="3567"/>
      <c r="C97" s="1136" t="s">
        <v>1567</v>
      </c>
      <c r="D97" s="1050" t="s">
        <v>1568</v>
      </c>
      <c r="E97" s="1121">
        <v>0.2</v>
      </c>
      <c r="F97" s="1136">
        <v>30</v>
      </c>
    </row>
    <row r="98" spans="1:6" s="1087" customFormat="1" ht="36">
      <c r="A98" s="1136">
        <v>38</v>
      </c>
      <c r="B98" s="3567"/>
      <c r="C98" s="1136" t="s">
        <v>1569</v>
      </c>
      <c r="D98" s="1050" t="s">
        <v>1570</v>
      </c>
      <c r="E98" s="1121">
        <v>0.2</v>
      </c>
      <c r="F98" s="1136">
        <v>30</v>
      </c>
    </row>
    <row r="99" spans="1:6" s="1087" customFormat="1" ht="36">
      <c r="A99" s="1136">
        <v>39</v>
      </c>
      <c r="B99" s="3567" t="s">
        <v>1571</v>
      </c>
      <c r="C99" s="1136" t="s">
        <v>1572</v>
      </c>
      <c r="D99" s="1050" t="s">
        <v>1573</v>
      </c>
      <c r="E99" s="1121">
        <v>0.3</v>
      </c>
      <c r="F99" s="1136">
        <v>50</v>
      </c>
    </row>
    <row r="100" spans="1:6" s="1087" customFormat="1" ht="24">
      <c r="A100" s="1136">
        <v>40</v>
      </c>
      <c r="B100" s="3567"/>
      <c r="C100" s="1136" t="s">
        <v>1574</v>
      </c>
      <c r="D100" s="1050" t="s">
        <v>1575</v>
      </c>
      <c r="E100" s="1121">
        <v>0.2</v>
      </c>
      <c r="F100" s="1136">
        <v>30</v>
      </c>
    </row>
    <row r="101" spans="1:6" s="1087" customFormat="1" ht="36">
      <c r="A101" s="1136">
        <v>41</v>
      </c>
      <c r="B101" s="3567"/>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67" t="s">
        <v>1586</v>
      </c>
      <c r="C105" s="1136" t="s">
        <v>1587</v>
      </c>
      <c r="D105" s="1050" t="s">
        <v>1588</v>
      </c>
      <c r="E105" s="1121">
        <v>0.2</v>
      </c>
      <c r="F105" s="1136">
        <v>30</v>
      </c>
    </row>
    <row r="106" spans="1:6" s="1087" customFormat="1" ht="36">
      <c r="A106" s="1136">
        <v>46</v>
      </c>
      <c r="B106" s="3567"/>
      <c r="C106" s="1136" t="s">
        <v>1589</v>
      </c>
      <c r="D106" s="1050" t="s">
        <v>1590</v>
      </c>
      <c r="E106" s="1121">
        <v>0.2</v>
      </c>
      <c r="F106" s="1136">
        <v>30</v>
      </c>
    </row>
    <row r="107" spans="1:6" s="1087" customFormat="1" ht="36">
      <c r="A107" s="1136">
        <v>47</v>
      </c>
      <c r="B107" s="3567" t="s">
        <v>1591</v>
      </c>
      <c r="C107" s="1136" t="s">
        <v>1592</v>
      </c>
      <c r="D107" s="1050" t="s">
        <v>1593</v>
      </c>
      <c r="E107" s="1121">
        <v>0.3</v>
      </c>
      <c r="F107" s="1136">
        <v>50</v>
      </c>
    </row>
    <row r="108" spans="1:6" s="1087" customFormat="1" ht="36">
      <c r="A108" s="1136">
        <v>48</v>
      </c>
      <c r="B108" s="3567"/>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67" t="s">
        <v>1602</v>
      </c>
      <c r="C111" s="1136" t="s">
        <v>1603</v>
      </c>
      <c r="D111" s="1050" t="s">
        <v>1604</v>
      </c>
      <c r="E111" s="1121">
        <v>0.2</v>
      </c>
      <c r="F111" s="1136">
        <v>30</v>
      </c>
    </row>
    <row r="112" spans="1:6" s="1087" customFormat="1" ht="24">
      <c r="A112" s="1136">
        <v>52</v>
      </c>
      <c r="B112" s="3567"/>
      <c r="C112" s="1136" t="s">
        <v>1605</v>
      </c>
      <c r="D112" s="1050" t="s">
        <v>1606</v>
      </c>
      <c r="E112" s="1121">
        <v>0.2</v>
      </c>
      <c r="F112" s="1136">
        <v>30</v>
      </c>
    </row>
    <row r="113" spans="1:14" s="1087" customFormat="1" ht="24">
      <c r="A113" s="1136">
        <v>53</v>
      </c>
      <c r="B113" s="3567"/>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67" t="s">
        <v>1615</v>
      </c>
      <c r="C116" s="1136" t="s">
        <v>1616</v>
      </c>
      <c r="D116" s="1050" t="s">
        <v>1617</v>
      </c>
      <c r="E116" s="1121">
        <v>0.2</v>
      </c>
      <c r="F116" s="1136">
        <v>30</v>
      </c>
    </row>
    <row r="117" spans="1:14" ht="36">
      <c r="A117" s="1136">
        <v>57</v>
      </c>
      <c r="B117" s="3567"/>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66" t="s">
        <v>1624</v>
      </c>
      <c r="B121" s="3566"/>
      <c r="C121" s="3566"/>
      <c r="D121" s="3566"/>
      <c r="E121" s="3566"/>
      <c r="F121" s="3566"/>
      <c r="G121" s="3566"/>
      <c r="H121" s="3566"/>
      <c r="I121" s="3566"/>
      <c r="J121" s="356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1" t="s">
        <v>1030</v>
      </c>
      <c r="B1" s="3581"/>
      <c r="C1" s="3581"/>
      <c r="D1" s="3581"/>
      <c r="E1" s="3581"/>
      <c r="F1" s="3581"/>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2" t="s">
        <v>1043</v>
      </c>
      <c r="B2" s="3582"/>
      <c r="C2" s="3582"/>
      <c r="D2" s="3582"/>
      <c r="E2" s="3582"/>
      <c r="F2" s="3582"/>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3"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4"/>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5" t="s">
        <v>2068</v>
      </c>
      <c r="B1" s="358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88" t="s">
        <v>2556</v>
      </c>
      <c r="C1" s="3588"/>
      <c r="D1" s="3588"/>
      <c r="E1" s="3588"/>
      <c r="F1" s="3588"/>
      <c r="G1" s="3587" t="s">
        <v>2557</v>
      </c>
      <c r="H1" s="3587"/>
      <c r="I1" s="3587"/>
      <c r="J1" s="3587"/>
      <c r="K1" s="3587"/>
      <c r="L1" s="3587"/>
      <c r="N1" s="3587" t="s">
        <v>2558</v>
      </c>
      <c r="O1" s="3587"/>
      <c r="P1" s="3587"/>
      <c r="Q1" s="3587"/>
      <c r="S1" s="3587" t="s">
        <v>2559</v>
      </c>
      <c r="T1" s="3587"/>
      <c r="U1" s="3587"/>
      <c r="V1" s="3587"/>
      <c r="X1" s="3586" t="s">
        <v>2619</v>
      </c>
      <c r="Y1" s="3587"/>
      <c r="Z1" s="3587"/>
      <c r="AA1" s="3587"/>
      <c r="AB1" s="3587"/>
      <c r="AD1" s="3586" t="s">
        <v>2623</v>
      </c>
      <c r="AE1" s="3587"/>
      <c r="AF1" s="3587"/>
      <c r="AG1" s="3587"/>
      <c r="AH1" s="3587"/>
    </row>
    <row r="2" spans="1:34" s="2862" customFormat="1" ht="14.25" thickBot="1">
      <c r="B2" s="2863" t="s">
        <v>2560</v>
      </c>
      <c r="C2" s="2863" t="s">
        <v>2621</v>
      </c>
      <c r="D2" s="2864" t="s">
        <v>1635</v>
      </c>
      <c r="E2" s="2864" t="s">
        <v>1938</v>
      </c>
      <c r="F2" s="2863" t="s">
        <v>2622</v>
      </c>
      <c r="G2" s="2865"/>
      <c r="I2" s="2863" t="s">
        <v>2920</v>
      </c>
      <c r="J2" s="2864" t="s">
        <v>2922</v>
      </c>
      <c r="K2" s="2864" t="s">
        <v>2923</v>
      </c>
      <c r="L2" s="2863" t="s">
        <v>2924</v>
      </c>
      <c r="N2" s="2863" t="s">
        <v>2560</v>
      </c>
      <c r="O2" s="2864" t="s">
        <v>2921</v>
      </c>
      <c r="P2" s="2864" t="s">
        <v>1938</v>
      </c>
      <c r="Q2" s="2863" t="s">
        <v>2622</v>
      </c>
      <c r="S2" s="2863" t="s">
        <v>2560</v>
      </c>
      <c r="T2" s="2864" t="s">
        <v>2921</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2931</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3003</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2932</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3002</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3001</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2999</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2998</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2961</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2959</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2956</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2955</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2952</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2951</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2948</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90">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2941</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90"/>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2942</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90"/>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2938</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96"/>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2930</v>
      </c>
      <c r="B20" s="2912">
        <v>439</v>
      </c>
      <c r="C20" s="2912">
        <v>327</v>
      </c>
      <c r="D20" s="2912">
        <f t="shared" si="153"/>
        <v>327</v>
      </c>
      <c r="E20" s="2912">
        <v>627</v>
      </c>
      <c r="F20" s="2913">
        <v>283</v>
      </c>
      <c r="G20" s="3595">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2933</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90"/>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90"/>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96"/>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95">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90"/>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90"/>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91"/>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89">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90"/>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90"/>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91"/>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89">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90"/>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90"/>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91"/>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92">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93"/>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93"/>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94"/>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89">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90"/>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90"/>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91"/>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89">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90">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90">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91">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89">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90">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90">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91">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89">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90">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90">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91">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89">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90">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90">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91">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89">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90">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90">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91">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89">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90">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90">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91">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89">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90">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90">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91">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89">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90">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90">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91">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89">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90">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90">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91">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89">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90">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90">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91">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7" spans="1:4" ht="56.25">
      <c r="A7" s="1710" t="s">
        <v>2727</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2021年7月28日（评估专业人员勘察现场之日）</v>
      </c>
    </row>
    <row r="12" spans="1:4" ht="18.75">
      <c r="A12" s="1712" t="s">
        <v>2014</v>
      </c>
    </row>
    <row r="13" spans="1:4" ht="18.75">
      <c r="A13" s="1706" t="s">
        <v>2907</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根据《国有土地使用证》[]，估价对象（分摊）出让国有建设用地使用权面积为46514.49平方米。根据《建设工程规划许可证》[]、《出让合同》[]，估价对象规划建筑面积为106983.327平方米。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2914</v>
      </c>
      <c r="B1" s="3243"/>
      <c r="C1" s="3243"/>
      <c r="D1" s="3243"/>
      <c r="E1" s="3243"/>
      <c r="F1" s="3243"/>
      <c r="G1" s="3244"/>
      <c r="H1" s="3244"/>
      <c r="I1" s="3244"/>
      <c r="J1" s="3244"/>
      <c r="K1" s="3244"/>
      <c r="L1" s="3244"/>
      <c r="M1" s="3244"/>
      <c r="N1" s="3244"/>
    </row>
    <row r="2" spans="1:14" ht="14.25">
      <c r="A2" s="3249" t="s">
        <v>2909</v>
      </c>
      <c r="B2" s="3254">
        <f ca="1">SUMIF(B7:B14,"&lt;&gt;#ref!",B7:B14)</f>
        <v>0</v>
      </c>
      <c r="C2" s="3249" t="s">
        <v>2910</v>
      </c>
      <c r="D2" s="3246"/>
      <c r="E2" s="3246"/>
      <c r="F2" s="3246"/>
      <c r="G2" s="3244"/>
      <c r="H2" s="3244"/>
      <c r="I2" s="3244"/>
      <c r="J2" s="3244"/>
      <c r="K2" s="3244"/>
      <c r="L2" s="3244"/>
      <c r="M2" s="3244"/>
      <c r="N2" s="3244"/>
    </row>
    <row r="3" spans="1:14" ht="14.25">
      <c r="A3" s="3249" t="s">
        <v>2939</v>
      </c>
      <c r="B3" s="3254" t="e">
        <f ca="1">ROUND(B2*10000/E3,0)</f>
        <v>#DIV/0!</v>
      </c>
      <c r="C3" s="3249" t="s">
        <v>2067</v>
      </c>
      <c r="D3" s="3249" t="s">
        <v>2911</v>
      </c>
      <c r="E3" s="3247">
        <f ca="1">SUMIF(E7:E14,"&lt;&gt;#ref!",E7:E14)</f>
        <v>0</v>
      </c>
      <c r="F3" s="3246"/>
      <c r="G3" s="3244"/>
      <c r="H3" s="3244"/>
      <c r="I3" s="3244"/>
      <c r="J3" s="3244"/>
      <c r="K3" s="3244"/>
      <c r="L3" s="3244"/>
      <c r="M3" s="3244"/>
      <c r="N3" s="3244"/>
    </row>
    <row r="4" spans="1:14" ht="14.25">
      <c r="A4" s="3249" t="s">
        <v>2917</v>
      </c>
      <c r="B4" s="3254" t="e">
        <f ca="1">ROUND(B2*10000/E4,0)</f>
        <v>#DIV/0!</v>
      </c>
      <c r="C4" s="3249" t="s">
        <v>2067</v>
      </c>
      <c r="D4" s="3249" t="s">
        <v>2918</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2915</v>
      </c>
      <c r="B6" s="3249" t="s">
        <v>2912</v>
      </c>
      <c r="C6" s="2787"/>
      <c r="D6" s="3246"/>
      <c r="E6" s="3249" t="s">
        <v>2913</v>
      </c>
      <c r="F6" s="3249" t="s">
        <v>2916</v>
      </c>
      <c r="G6" s="3244"/>
      <c r="H6" s="3244"/>
      <c r="I6" s="3244"/>
      <c r="J6" s="3244"/>
      <c r="K6" s="3244"/>
      <c r="L6" s="3244"/>
      <c r="M6" s="3244"/>
      <c r="N6" s="3244"/>
    </row>
    <row r="7" spans="1:14" ht="14.25">
      <c r="A7" s="3252"/>
      <c r="B7" s="3254" t="e">
        <f ca="1">SUMIF(INDIRECT("'"&amp;A7&amp;"'"&amp;"!A:A"),"总价",INDIRECT("'"&amp;A7&amp;"'"&amp;"!B:B"))</f>
        <v>#REF!</v>
      </c>
      <c r="C7" s="3249" t="s">
        <v>2910</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2910</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2910</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2910</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2910</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2910</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2910</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2910</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98" t="s">
        <v>2444</v>
      </c>
      <c r="C8" s="1740">
        <f ca="1">ROUND(F8*F10*F9*(1-F11)/10000,0)</f>
        <v>0</v>
      </c>
      <c r="D8" s="1737" t="s">
        <v>2515</v>
      </c>
      <c r="E8" s="61" t="s">
        <v>631</v>
      </c>
      <c r="F8" s="775">
        <f ca="1">INDIRECT("'数据-取费表'!u"&amp;$G$1)</f>
        <v>0</v>
      </c>
      <c r="G8" s="1526"/>
      <c r="H8" s="2357" t="s">
        <v>1815</v>
      </c>
      <c r="I8" s="3598" t="s">
        <v>2444</v>
      </c>
      <c r="J8" s="773">
        <f ca="1">ROUND(M8*M10*M9*(1-M11)/10000,0)</f>
        <v>0</v>
      </c>
      <c r="K8" s="339" t="s">
        <v>2515</v>
      </c>
      <c r="L8" s="774" t="s">
        <v>1729</v>
      </c>
      <c r="M8" s="775">
        <f ca="1">INDIRECT("'数据-取费表'!z"&amp;$G$1)</f>
        <v>0</v>
      </c>
    </row>
    <row r="9" spans="1:25" ht="18" customHeight="1">
      <c r="A9" s="2353"/>
      <c r="B9" s="3599"/>
      <c r="C9" s="1741"/>
      <c r="D9" s="1738"/>
      <c r="E9" s="61" t="s">
        <v>632</v>
      </c>
      <c r="F9" s="775">
        <f ca="1">IF(INDIRECT("'数据-取费表'!ah"&amp;$G$1)="",INDIRECT("'数据-取费表'!k"&amp;$G$1),INDIRECT("'数据-取费表'!ah"&amp;$G$1))</f>
        <v>0</v>
      </c>
      <c r="G9" s="1526"/>
      <c r="H9" s="2342"/>
      <c r="I9" s="3599"/>
      <c r="J9" s="778"/>
      <c r="K9" s="779"/>
      <c r="L9" s="774" t="s">
        <v>1730</v>
      </c>
      <c r="M9" s="775">
        <f ca="1">F9</f>
        <v>0</v>
      </c>
    </row>
    <row r="10" spans="1:25" ht="18" customHeight="1">
      <c r="A10" s="2346"/>
      <c r="B10" s="3600"/>
      <c r="C10" s="1741"/>
      <c r="D10" s="1738"/>
      <c r="E10" s="61" t="s">
        <v>633</v>
      </c>
      <c r="F10" s="775">
        <f ca="1">INDIRECT("'数据-取费表'!ai"&amp;$G$1)</f>
        <v>0</v>
      </c>
      <c r="G10" s="1526"/>
      <c r="H10" s="2342"/>
      <c r="I10" s="3600"/>
      <c r="J10" s="778"/>
      <c r="K10" s="779"/>
      <c r="L10" s="774" t="s">
        <v>1731</v>
      </c>
      <c r="M10" s="775">
        <f ca="1">INDIRECT("'数据-取费表'!ai"&amp;$G$1)</f>
        <v>0</v>
      </c>
    </row>
    <row r="11" spans="1:25" ht="18" customHeight="1">
      <c r="A11" s="776"/>
      <c r="B11" s="3601"/>
      <c r="C11" s="1741"/>
      <c r="D11" s="1738"/>
      <c r="E11" s="61" t="s">
        <v>634</v>
      </c>
      <c r="F11" s="784">
        <f ca="1">INDIRECT("'数据-取费表'!w"&amp;$G$1)</f>
        <v>0</v>
      </c>
      <c r="G11" s="1526"/>
      <c r="H11" s="2358"/>
      <c r="I11" s="3600"/>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2936</v>
      </c>
      <c r="E12" s="2351" t="s">
        <v>2445</v>
      </c>
      <c r="F12" s="2465"/>
      <c r="G12" s="1526"/>
      <c r="H12" s="2414" t="s">
        <v>1816</v>
      </c>
      <c r="I12" s="2419" t="s">
        <v>2440</v>
      </c>
      <c r="J12" s="773">
        <f ca="1">ROUND(IF(M12="押一",J8/12*M13,IF(M12="押二",J8/12*2*M13,IF(M12="押三",J8/12*3*M13,J13*M13))),0)</f>
        <v>0</v>
      </c>
      <c r="K12" s="2354" t="s">
        <v>2936</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6">
        <f ca="1">ROUND(IF(AND(项目基本情况!B11="自然人",项目基本情况!B10="北京市"),J8*M19/(1+'数据-取费表'!C42),J20+J21+J22),0)</f>
        <v>0</v>
      </c>
      <c r="K19" s="1893" t="s">
        <v>651</v>
      </c>
      <c r="L19" s="1891" t="s">
        <v>652</v>
      </c>
      <c r="M19" s="3015"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1"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2"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6">
        <f ca="1">ROUND(IF(AND(项目基本情况!B11="自然人",项目基本情况!B10="北京市"),C8*F33/(1+'数据-取费表'!C42),C34+C35+C36),0)</f>
        <v>0</v>
      </c>
      <c r="D33" s="1893" t="s">
        <v>651</v>
      </c>
      <c r="E33" s="1891" t="s">
        <v>684</v>
      </c>
      <c r="F33" s="3015" t="str">
        <f>IF(项目基本情况!B11="企业","——",IF('数据-取费表'!B10="住宅",IF(F8*F9*F10/12/(1+'数据-取费表'!F30)&gt;100000,4%,2.5%),IF(F8*F9*F10/12/(1+'数据-取费表'!F30)&gt;100000,12%,7%)))</f>
        <v>——</v>
      </c>
      <c r="G33" s="1945"/>
      <c r="H33" s="3255"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97"/>
      <c r="J36" s="1962"/>
      <c r="K36" s="1963"/>
      <c r="L36" s="1962"/>
      <c r="M36" s="1962"/>
    </row>
    <row r="37" spans="1:18" ht="18" customHeight="1">
      <c r="A37" s="804"/>
      <c r="B37" s="783"/>
      <c r="C37" s="69"/>
      <c r="D37" s="805"/>
      <c r="E37" s="774" t="s">
        <v>668</v>
      </c>
      <c r="F37" s="775">
        <f ca="1">INDIRECT("'数据-取费表'!r"&amp;$G$1)</f>
        <v>0</v>
      </c>
      <c r="G37" s="1945"/>
      <c r="H37" s="1948"/>
      <c r="I37" s="359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19"/>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19"/>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19"/>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2" t="s">
        <v>2925</v>
      </c>
      <c r="F43" s="2793">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48">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4" t="s">
        <v>2928</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08" t="str">
        <f ca="1">IF(M48="住宅",0,IF(L49&gt;J52,L61,J61))</f>
        <v>0</v>
      </c>
      <c r="O47" s="2249" t="s">
        <v>2395</v>
      </c>
      <c r="P47" s="1526"/>
      <c r="Q47" s="1534"/>
      <c r="R47" s="1526"/>
    </row>
    <row r="48" spans="1:18" s="1942" customFormat="1" ht="18" customHeight="1" thickBot="1">
      <c r="A48" s="1966"/>
      <c r="C48" s="1969"/>
      <c r="D48" s="1970"/>
      <c r="E48" s="1970"/>
      <c r="F48" s="1971"/>
      <c r="G48" s="1972"/>
      <c r="I48" s="2799" t="s">
        <v>2329</v>
      </c>
      <c r="J48" s="2236"/>
      <c r="K48" s="2805" t="s">
        <v>2334</v>
      </c>
      <c r="L48" s="2809">
        <f ca="1">INDIRECT("'数据-取费表'!d"&amp;$G$1)</f>
        <v>0</v>
      </c>
      <c r="M48" s="2791"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6" t="s">
        <v>2330</v>
      </c>
      <c r="J49" s="2237"/>
      <c r="K49" s="2806"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6" t="s">
        <v>2331</v>
      </c>
      <c r="J50" s="2238"/>
      <c r="K50" s="2807"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6" t="s">
        <v>2332</v>
      </c>
      <c r="J51" s="2803">
        <f>SUMPRODUCT((I64:I66=J48)*(J63:L63=J49)*(J64:L66))</f>
        <v>0</v>
      </c>
      <c r="K51" s="2807" t="s">
        <v>2338</v>
      </c>
      <c r="L51" s="2239"/>
      <c r="O51" s="2256" t="s">
        <v>2368</v>
      </c>
      <c r="P51" s="2254" t="s">
        <v>2392</v>
      </c>
      <c r="Q51" s="2255">
        <f ca="1">C31</f>
        <v>0</v>
      </c>
      <c r="R51" s="2254" t="s">
        <v>2365</v>
      </c>
    </row>
    <row r="52" spans="1:18" s="1942" customFormat="1" ht="18" customHeight="1" thickBot="1">
      <c r="A52" s="1978"/>
      <c r="F52" s="1967"/>
      <c r="I52" s="2800" t="s">
        <v>2333</v>
      </c>
      <c r="J52" s="2804">
        <f>IF(J50="",J51,J50+J51-YEAR('数据-取费表'!B3))</f>
        <v>0</v>
      </c>
      <c r="K52" s="2796" t="s">
        <v>2339</v>
      </c>
      <c r="L52" s="2810">
        <f ca="1">C45</f>
        <v>0</v>
      </c>
      <c r="O52" s="2256" t="s">
        <v>2369</v>
      </c>
      <c r="P52" s="2254" t="s">
        <v>2370</v>
      </c>
      <c r="Q52" s="2257" t="e">
        <f ca="1">J59</f>
        <v>#VALUE!</v>
      </c>
      <c r="R52" s="2258"/>
    </row>
    <row r="53" spans="1:18" s="1942" customFormat="1" ht="18" customHeight="1" thickBot="1">
      <c r="A53" s="1978"/>
      <c r="F53" s="1967"/>
      <c r="I53" s="2801" t="s">
        <v>2406</v>
      </c>
      <c r="J53" s="2240"/>
      <c r="K53" s="2801" t="s">
        <v>2405</v>
      </c>
      <c r="L53" s="2240"/>
      <c r="O53" s="2256" t="s">
        <v>2371</v>
      </c>
      <c r="P53" s="2254" t="s">
        <v>2372</v>
      </c>
      <c r="Q53" s="2257">
        <f>J53</f>
        <v>0</v>
      </c>
      <c r="R53" s="2258"/>
    </row>
    <row r="54" spans="1:18" s="1942" customFormat="1" ht="29.25" thickBot="1">
      <c r="A54" s="1978"/>
      <c r="I54" s="2802" t="s">
        <v>2940</v>
      </c>
      <c r="J54" s="2855">
        <f ca="1">IF(M48="住宅",MAX(J52,L49-'数据-取费表'!B20),MIN(J52,L49-'数据-取费表'!B20))</f>
        <v>-2</v>
      </c>
      <c r="K54" s="3602"/>
      <c r="L54" s="3603"/>
      <c r="O54" s="2256" t="s">
        <v>2373</v>
      </c>
      <c r="P54" s="2254" t="s">
        <v>2374</v>
      </c>
      <c r="Q54" s="2255">
        <f ca="1">J54</f>
        <v>-2</v>
      </c>
      <c r="R54" s="2254" t="s">
        <v>2375</v>
      </c>
    </row>
    <row r="55" spans="1:18" s="1942" customFormat="1" ht="18" customHeight="1" thickBot="1">
      <c r="A55" s="1978"/>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3" t="s">
        <v>2376</v>
      </c>
      <c r="P55" s="2254" t="s">
        <v>2393</v>
      </c>
      <c r="Q55" s="2255">
        <f ca="1">Q49+Q50</f>
        <v>0</v>
      </c>
      <c r="R55" s="2258" t="s">
        <v>2377</v>
      </c>
    </row>
    <row r="56" spans="1:18" s="1942" customFormat="1" ht="16.5" thickBot="1">
      <c r="A56" s="1978"/>
      <c r="B56" s="1979"/>
      <c r="C56" s="1979"/>
      <c r="I56" s="2813" t="s">
        <v>2340</v>
      </c>
      <c r="J56" s="2785" t="e">
        <f ca="1">ROUND(IF(J48="钢混",J58/J51,1-(1-2%)*(J51-J58)/J51),3)</f>
        <v>#VALUE!</v>
      </c>
      <c r="K56" s="2814" t="s">
        <v>2341</v>
      </c>
      <c r="L56" s="2241"/>
      <c r="O56" s="2259" t="s">
        <v>2396</v>
      </c>
      <c r="P56" s="1526"/>
      <c r="Q56" s="1534"/>
      <c r="R56" s="1526"/>
    </row>
    <row r="57" spans="1:18" s="1942" customFormat="1" ht="43.5" thickBot="1">
      <c r="A57" s="1978"/>
      <c r="B57" s="1979"/>
      <c r="C57" s="1979"/>
      <c r="I57" s="2815" t="s">
        <v>2342</v>
      </c>
      <c r="J57" s="2825" t="s">
        <v>1669</v>
      </c>
      <c r="K57" s="2796" t="s">
        <v>2347</v>
      </c>
      <c r="L57" s="1822">
        <f ca="1">IF(L49&lt;J52,"——",L49-J52)</f>
        <v>0</v>
      </c>
      <c r="O57" s="2250" t="s">
        <v>2360</v>
      </c>
      <c r="P57" s="2251" t="s">
        <v>2361</v>
      </c>
      <c r="Q57" s="2252" t="s">
        <v>2362</v>
      </c>
      <c r="R57" s="2251" t="s">
        <v>2363</v>
      </c>
    </row>
    <row r="58" spans="1:18" s="1942" customFormat="1" ht="29.25" thickBot="1">
      <c r="A58" s="1978"/>
      <c r="B58" s="1979"/>
      <c r="C58" s="1979"/>
      <c r="I58" s="2816" t="s">
        <v>2343</v>
      </c>
      <c r="J58" s="2817" t="str">
        <f ca="1">IF(OR(M48="住宅",J52&lt;L49,J57="是"),"——",J52-L49)</f>
        <v>——</v>
      </c>
      <c r="K58" s="2796"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6" t="s">
        <v>2344</v>
      </c>
      <c r="J59" s="2786" t="e">
        <f ca="1">IF(J56&lt;0.4,0.4,J56)</f>
        <v>#VALUE!</v>
      </c>
      <c r="K59" s="2796"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6" t="s">
        <v>2345</v>
      </c>
      <c r="J60" s="2817" t="str">
        <f ca="1">IF(OR(M48="住宅",J52&lt;L49,J57="是"),"——",ROUND(C30*J59,0))</f>
        <v>——</v>
      </c>
      <c r="K60" s="2796"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18" t="s">
        <v>2346</v>
      </c>
      <c r="J61" s="2819" t="str">
        <f ca="1">IF(OR(M48="住宅",J52&lt;L49,J57="是"),"0",ROUND(J60/(1+J53)^J54,0))</f>
        <v>0</v>
      </c>
      <c r="K61" s="2820" t="s">
        <v>2351</v>
      </c>
      <c r="L61" s="2819"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1" t="s">
        <v>2352</v>
      </c>
      <c r="J63" s="2822" t="s">
        <v>2353</v>
      </c>
      <c r="K63" s="2822" t="s">
        <v>2354</v>
      </c>
      <c r="L63" s="2822" t="s">
        <v>2335</v>
      </c>
      <c r="M63" s="2823" t="s">
        <v>2908</v>
      </c>
      <c r="O63" s="2256" t="s">
        <v>2373</v>
      </c>
      <c r="P63" s="2254" t="s">
        <v>2381</v>
      </c>
      <c r="Q63" s="2255">
        <f ca="1">L60</f>
        <v>0</v>
      </c>
      <c r="R63" s="2258" t="s">
        <v>2382</v>
      </c>
    </row>
    <row r="64" spans="1:18" s="1942" customFormat="1" ht="15.75" thickBot="1">
      <c r="A64" s="1978"/>
      <c r="B64" s="1979"/>
      <c r="C64" s="1979"/>
      <c r="I64" s="2821" t="s">
        <v>2355</v>
      </c>
      <c r="J64" s="2822">
        <v>70</v>
      </c>
      <c r="K64" s="2822">
        <v>50</v>
      </c>
      <c r="L64" s="2822">
        <v>80</v>
      </c>
      <c r="M64" s="2824">
        <v>0.02</v>
      </c>
      <c r="O64" s="2253" t="s">
        <v>2376</v>
      </c>
      <c r="P64" s="2254" t="s">
        <v>2393</v>
      </c>
      <c r="Q64" s="2255" t="e">
        <f ca="1">Q58+Q59</f>
        <v>#DIV/0!</v>
      </c>
      <c r="R64" s="2258" t="s">
        <v>2377</v>
      </c>
    </row>
    <row r="65" spans="1:18" s="1942" customFormat="1" ht="16.5" thickBot="1">
      <c r="A65" s="1978"/>
      <c r="B65" s="1979"/>
      <c r="C65" s="1979"/>
      <c r="I65" s="2821" t="s">
        <v>2356</v>
      </c>
      <c r="J65" s="2822">
        <v>50</v>
      </c>
      <c r="K65" s="2822">
        <v>35</v>
      </c>
      <c r="L65" s="2822">
        <v>60</v>
      </c>
      <c r="M65" s="835">
        <v>0</v>
      </c>
      <c r="O65" s="2259" t="s">
        <v>2400</v>
      </c>
      <c r="P65" s="1526"/>
      <c r="Q65" s="1534"/>
      <c r="R65" s="1526"/>
    </row>
    <row r="66" spans="1:18" s="1942" customFormat="1" ht="15.75" thickBot="1">
      <c r="A66" s="1978"/>
      <c r="B66" s="1979"/>
      <c r="C66" s="1979"/>
      <c r="I66" s="2821" t="s">
        <v>2357</v>
      </c>
      <c r="J66" s="2822">
        <v>40</v>
      </c>
      <c r="K66" s="2822">
        <v>30</v>
      </c>
      <c r="L66" s="2822">
        <v>50</v>
      </c>
      <c r="M66" s="2824">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5" t="s">
        <v>943</v>
      </c>
      <c r="E1" s="2242" t="s">
        <v>2359</v>
      </c>
      <c r="F1" s="2243">
        <f ca="1">J53</f>
        <v>0</v>
      </c>
      <c r="G1" s="3256">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1"/>
      <c r="D2" s="3262"/>
      <c r="E2" s="3263"/>
      <c r="F2" s="3263"/>
      <c r="G2" s="3257"/>
      <c r="H2" s="1940"/>
      <c r="I2" s="1940"/>
      <c r="J2" s="1940"/>
      <c r="K2" s="1941"/>
      <c r="L2" s="1940"/>
      <c r="M2" s="1940"/>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1815</v>
      </c>
      <c r="B6" s="3598" t="s">
        <v>2444</v>
      </c>
      <c r="C6" s="773">
        <f ca="1">ROUND(F6*F8*F7*(1-F9)/10000,0)</f>
        <v>0</v>
      </c>
      <c r="D6" s="2350" t="s">
        <v>2443</v>
      </c>
      <c r="E6" s="774" t="s">
        <v>1729</v>
      </c>
      <c r="F6" s="775">
        <f ca="1">INDIRECT("'数据-取费表'!u"&amp;$G$1)</f>
        <v>0</v>
      </c>
      <c r="G6" s="1945"/>
      <c r="H6" s="2357" t="s">
        <v>2449</v>
      </c>
      <c r="I6" s="3598" t="s">
        <v>2444</v>
      </c>
      <c r="J6" s="773">
        <f ca="1">ROUND(M6*M8*M7*(1-M9)/10000,0)</f>
        <v>0</v>
      </c>
      <c r="K6" s="339" t="s">
        <v>1728</v>
      </c>
      <c r="L6" s="774" t="s">
        <v>1729</v>
      </c>
      <c r="M6" s="775">
        <f ca="1">INDIRECT("'数据-取费表'!z"&amp;$G$1)</f>
        <v>0</v>
      </c>
    </row>
    <row r="7" spans="1:33" ht="18" customHeight="1">
      <c r="A7" s="2353"/>
      <c r="B7" s="3599"/>
      <c r="C7" s="778"/>
      <c r="D7" s="779"/>
      <c r="E7" s="774" t="s">
        <v>1730</v>
      </c>
      <c r="F7" s="775">
        <f ca="1">IF(INDIRECT("'数据-取费表'!ah"&amp;$G$1)="",INDIRECT("'数据-取费表'!k"&amp;$G$1),INDIRECT("'数据-取费表'!ah"&amp;$G$1))</f>
        <v>0</v>
      </c>
      <c r="G7" s="1945"/>
      <c r="H7" s="2342"/>
      <c r="I7" s="3599"/>
      <c r="J7" s="778"/>
      <c r="K7" s="779"/>
      <c r="L7" s="774" t="s">
        <v>1730</v>
      </c>
      <c r="M7" s="775">
        <f ca="1">F7</f>
        <v>0</v>
      </c>
    </row>
    <row r="8" spans="1:33" ht="18" customHeight="1">
      <c r="A8" s="2346"/>
      <c r="B8" s="3600"/>
      <c r="C8" s="778"/>
      <c r="D8" s="779"/>
      <c r="E8" s="774" t="s">
        <v>1731</v>
      </c>
      <c r="F8" s="775">
        <f ca="1">INDIRECT("'数据-取费表'!ai"&amp;$G$1)</f>
        <v>0</v>
      </c>
      <c r="G8" s="1945"/>
      <c r="H8" s="2342"/>
      <c r="I8" s="3600"/>
      <c r="J8" s="778"/>
      <c r="K8" s="779"/>
      <c r="L8" s="774" t="s">
        <v>1731</v>
      </c>
      <c r="M8" s="775">
        <f ca="1">INDIRECT("'数据-取费表'!ai"&amp;$G$1)</f>
        <v>0</v>
      </c>
    </row>
    <row r="9" spans="1:33" ht="18" customHeight="1">
      <c r="A9" s="776"/>
      <c r="B9" s="3601"/>
      <c r="C9" s="778"/>
      <c r="D9" s="779"/>
      <c r="E9" s="774" t="s">
        <v>1732</v>
      </c>
      <c r="F9" s="784">
        <f ca="1">INDIRECT("'数据-取费表'!w"&amp;$G$1)</f>
        <v>0</v>
      </c>
      <c r="G9" s="1945"/>
      <c r="H9" s="2358"/>
      <c r="I9" s="3600"/>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2936</v>
      </c>
      <c r="E10" s="2351" t="s">
        <v>2445</v>
      </c>
      <c r="F10" s="2465"/>
      <c r="G10" s="1945"/>
      <c r="H10" s="2414" t="s">
        <v>2450</v>
      </c>
      <c r="I10" s="2419" t="s">
        <v>2440</v>
      </c>
      <c r="J10" s="773">
        <f ca="1">ROUND(IF(M10="押一",J6/12*M11,IF(M10="押二",J6/12*2*M11,IF(M10="押三",J6/12*3*M11,J11*M11))),0)</f>
        <v>0</v>
      </c>
      <c r="K10" s="2354" t="s">
        <v>2936</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2805</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58"/>
      <c r="H17" s="1577" t="s">
        <v>1821</v>
      </c>
      <c r="I17" s="774" t="s">
        <v>650</v>
      </c>
      <c r="J17" s="3016">
        <f ca="1">ROUND(IF(AND(项目基本情况!B11="自然人",项目基本情况!B10="北京市"),J6*M17/(1+'数据-取费表'!C42),J18+J19+J20),0)</f>
        <v>0</v>
      </c>
      <c r="K17" s="2338" t="s">
        <v>1744</v>
      </c>
      <c r="L17" s="2337" t="s">
        <v>1745</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58"/>
      <c r="H20" s="1579" t="s">
        <v>1871</v>
      </c>
      <c r="I20" s="339" t="s">
        <v>1751</v>
      </c>
      <c r="J20" s="54">
        <f ca="1">ROUND(M20*M21/10000,0)</f>
        <v>0</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58"/>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58"/>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8.9999999999999998E-4</v>
      </c>
      <c r="D24" s="2423" t="str">
        <f>IF(F23&lt;=1,"销售费用×利率×(建设周期÷2)","销售费用×((1+利率)^(建设周期÷2)-1)")</f>
        <v>销售费用×((1+利率)^(建设周期÷2)-1)</v>
      </c>
      <c r="E24" s="774" t="s">
        <v>1764</v>
      </c>
      <c r="F24" s="808">
        <f ca="1">'数据-取费表'!B40</f>
        <v>4.3499999999999997E-2</v>
      </c>
      <c r="G24" s="3258"/>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0" t="s">
        <v>2801</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2806</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58"/>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58"/>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6">
        <f ca="1">ROUND(IF(AND(项目基本情况!B11="自然人",项目基本情况!B10="北京市"),C6*F31/(1+'数据-取费表'!C42),C32+C33+C34),0)</f>
        <v>0</v>
      </c>
      <c r="D31" s="1893" t="s">
        <v>1783</v>
      </c>
      <c r="E31" s="1891" t="s">
        <v>1784</v>
      </c>
      <c r="F31" s="3015" t="str">
        <f>IF(项目基本情况!B11="企业","——",IF('数据-取费表'!B10="住宅",IF(F6*F7*F8/12/(1+'数据-取费表'!F30)&gt;100000,4%,2.5%),IF(F6*F7*F8/12/(1+'数据-取费表'!F30)&gt;100000,12%,7%)))</f>
        <v>——</v>
      </c>
      <c r="G31" s="1945"/>
      <c r="H31" s="3255" t="s">
        <v>2994</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0" t="s">
        <v>2801</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2927</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59"/>
      <c r="E46" s="3259"/>
      <c r="F46" s="3259"/>
      <c r="I46" s="2233" t="s">
        <v>2328</v>
      </c>
      <c r="J46" s="2234"/>
      <c r="K46" s="2235"/>
      <c r="L46" s="2808" t="e">
        <f ca="1">IF(OR(M47="住宅",D1="土地（套用方法）"),0,IF(L48&gt;J51,L60,J60))</f>
        <v>#DIV/0!</v>
      </c>
      <c r="M46" s="3260"/>
      <c r="O46" s="2249" t="s">
        <v>2395</v>
      </c>
      <c r="P46" s="1526"/>
      <c r="Q46" s="1534"/>
      <c r="R46" s="1526"/>
    </row>
    <row r="47" spans="1:18" s="1942" customFormat="1" ht="18" customHeight="1" thickBot="1">
      <c r="A47" s="2227">
        <v>1</v>
      </c>
      <c r="B47" s="2228" t="s">
        <v>629</v>
      </c>
      <c r="C47" s="2426">
        <f ca="1">C48+C52+C54</f>
        <v>0</v>
      </c>
      <c r="D47" s="3259"/>
      <c r="E47" s="3259"/>
      <c r="F47" s="3259"/>
      <c r="I47" s="2799" t="s">
        <v>2329</v>
      </c>
      <c r="J47" s="2236"/>
      <c r="K47" s="2805" t="s">
        <v>2334</v>
      </c>
      <c r="L47" s="2809">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6" t="s">
        <v>2330</v>
      </c>
      <c r="J48" s="2237"/>
      <c r="K48" s="2806" t="s">
        <v>2336</v>
      </c>
      <c r="L48" s="1822">
        <f ca="1">INDIRECT("'数据-取费表'!f"&amp;$G$1)</f>
        <v>0</v>
      </c>
      <c r="M48" s="3260"/>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6" t="s">
        <v>2331</v>
      </c>
      <c r="J49" s="2238"/>
      <c r="K49" s="2807" t="s">
        <v>2337</v>
      </c>
      <c r="L49" s="2239"/>
      <c r="M49" s="3260"/>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6" t="s">
        <v>2332</v>
      </c>
      <c r="J50" s="2803">
        <f>SUMPRODUCT((I63:I65=J47)*(J62:L62=J48)*(J63:L65))</f>
        <v>0</v>
      </c>
      <c r="K50" s="2807" t="s">
        <v>2338</v>
      </c>
      <c r="L50" s="2239"/>
      <c r="M50" s="3260"/>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0" t="s">
        <v>2333</v>
      </c>
      <c r="J51" s="2804">
        <f>IF(J49="",J50,J49+J50-YEAR('数据-取费表'!B2))</f>
        <v>0</v>
      </c>
      <c r="K51" s="2796" t="s">
        <v>2339</v>
      </c>
      <c r="L51" s="2810">
        <f ca="1">ROUND(-PV(INDIRECT("'数据-取费表'!h"&amp;$G$1),J51,(C39-C13*J36),0),0)</f>
        <v>0</v>
      </c>
      <c r="M51" s="3260"/>
      <c r="O51" s="2256" t="s">
        <v>2369</v>
      </c>
      <c r="P51" s="2254" t="s">
        <v>2370</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1" t="s">
        <v>2406</v>
      </c>
      <c r="J52" s="2240"/>
      <c r="K52" s="2801" t="s">
        <v>2405</v>
      </c>
      <c r="L52" s="2240"/>
      <c r="M52" s="3260"/>
      <c r="O52" s="2256" t="s">
        <v>2371</v>
      </c>
      <c r="P52" s="2254" t="s">
        <v>2372</v>
      </c>
      <c r="Q52" s="2257">
        <f>J52</f>
        <v>0</v>
      </c>
      <c r="R52" s="2258"/>
    </row>
    <row r="53" spans="1:18" s="1942" customFormat="1" ht="39.75" customHeight="1" thickBot="1">
      <c r="A53" s="776"/>
      <c r="B53" s="2348" t="s">
        <v>2554</v>
      </c>
      <c r="C53" s="2352"/>
      <c r="D53" s="2354"/>
      <c r="E53" s="2351"/>
      <c r="F53" s="790"/>
      <c r="I53" s="2802" t="s">
        <v>2940</v>
      </c>
      <c r="J53" s="2855">
        <f ca="1">IF(M47="住宅",IF(D1="——",MAX(J51,L48),MAX(J51,L48-'数据-取费表'!B20)),IF(D1="——",MIN(J51,L48),MIN(J51,L48-'数据-取费表'!B20)))</f>
        <v>0</v>
      </c>
      <c r="K53" s="3604" t="s">
        <v>2929</v>
      </c>
      <c r="L53" s="3605"/>
      <c r="M53" s="3260"/>
      <c r="O53" s="2256" t="s">
        <v>2373</v>
      </c>
      <c r="P53" s="2254" t="s">
        <v>2374</v>
      </c>
      <c r="Q53" s="2255">
        <f ca="1">J53</f>
        <v>0</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1"/>
      <c r="M55" s="3260"/>
      <c r="O55" s="2259" t="s">
        <v>2396</v>
      </c>
      <c r="P55" s="1526"/>
      <c r="Q55" s="1534"/>
      <c r="R55" s="1526"/>
    </row>
    <row r="56" spans="1:18" s="1942" customFormat="1" ht="42.75" customHeight="1" thickBot="1">
      <c r="A56" s="1578"/>
      <c r="B56" s="2111" t="s">
        <v>2290</v>
      </c>
      <c r="C56" s="53">
        <f ca="1">C29</f>
        <v>0</v>
      </c>
      <c r="D56" s="2481"/>
      <c r="E56" s="774"/>
      <c r="F56" s="799"/>
      <c r="I56" s="2815" t="s">
        <v>2342</v>
      </c>
      <c r="J56" s="2825"/>
      <c r="K56" s="2796" t="s">
        <v>2347</v>
      </c>
      <c r="L56" s="1822">
        <f ca="1">IF(L48&lt;J51,"——",L48-J51)</f>
        <v>0</v>
      </c>
      <c r="M56" s="3260"/>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6" t="s">
        <v>2343</v>
      </c>
      <c r="J57" s="2817">
        <f ca="1">IF(OR(M47="住宅",J51&lt;L48,J56="是"),"——",J51-L48)</f>
        <v>0</v>
      </c>
      <c r="K57" s="2796" t="s">
        <v>2348</v>
      </c>
      <c r="L57" s="1822">
        <f ca="1">IF(L48&lt;J51,"——",IF(L55="比较法",L49,IF(L55="基准地价",L50,L51)))</f>
        <v>0</v>
      </c>
      <c r="M57" s="3260"/>
      <c r="O57" s="2253" t="s">
        <v>2364</v>
      </c>
      <c r="P57" s="2254" t="s">
        <v>2394</v>
      </c>
      <c r="Q57" s="2255" t="e">
        <f ca="1">C40+J29</f>
        <v>#DIV/0!</v>
      </c>
      <c r="R57" s="2254" t="s">
        <v>2365</v>
      </c>
    </row>
    <row r="58" spans="1:18" s="1942" customFormat="1" ht="28.5" customHeight="1" thickBot="1">
      <c r="A58" s="1577" t="s">
        <v>1815</v>
      </c>
      <c r="B58" s="774" t="s">
        <v>650</v>
      </c>
      <c r="C58" s="3016">
        <f ca="1">ROUND(IF(AND(项目基本情况!B11="自然人",项目基本情况!B10="北京市"),C48*F58/(1+'数据-取费表'!C42),C59+C60+C61),0)</f>
        <v>0</v>
      </c>
      <c r="D58" s="2480" t="s">
        <v>651</v>
      </c>
      <c r="E58" s="2481"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2" t="e">
        <f ca="1">ROUND(POWER(1+L52,L47-L48)*(POWER(1+L52,L48)-1)/(POWER(1+L52,L47)-1),4)</f>
        <v>#DIV/0!</v>
      </c>
      <c r="M58" s="3260"/>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1" t="s">
        <v>2352</v>
      </c>
      <c r="J62" s="2822" t="s">
        <v>2353</v>
      </c>
      <c r="K62" s="2822" t="s">
        <v>2354</v>
      </c>
      <c r="L62" s="2822" t="s">
        <v>2335</v>
      </c>
      <c r="M62" s="2823" t="s">
        <v>2908</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1" t="s">
        <v>2355</v>
      </c>
      <c r="J63" s="2822">
        <v>70</v>
      </c>
      <c r="K63" s="2822">
        <v>50</v>
      </c>
      <c r="L63" s="2822">
        <v>80</v>
      </c>
      <c r="M63" s="2824">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1" t="s">
        <v>2356</v>
      </c>
      <c r="J64" s="2822">
        <v>50</v>
      </c>
      <c r="K64" s="2822">
        <v>35</v>
      </c>
      <c r="L64" s="2822">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1" t="s">
        <v>2357</v>
      </c>
      <c r="J65" s="2822">
        <v>40</v>
      </c>
      <c r="K65" s="2822">
        <v>30</v>
      </c>
      <c r="L65" s="2822">
        <v>50</v>
      </c>
      <c r="M65" s="2824">
        <v>0.02</v>
      </c>
      <c r="O65" s="2250" t="s">
        <v>2360</v>
      </c>
      <c r="P65" s="2251" t="s">
        <v>2361</v>
      </c>
      <c r="Q65" s="2252" t="s">
        <v>2362</v>
      </c>
      <c r="R65" s="2251" t="s">
        <v>2363</v>
      </c>
    </row>
    <row r="66" spans="1:18" s="1942" customFormat="1" ht="24.75" thickBot="1">
      <c r="A66" s="787" t="s">
        <v>1767</v>
      </c>
      <c r="B66" s="2721" t="s">
        <v>2801</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2" t="s">
        <v>2452</v>
      </c>
      <c r="B1" s="3623"/>
      <c r="C1" s="3624"/>
      <c r="D1" s="3625">
        <f>SUM(I10,I15,I20,I21,I23)</f>
        <v>0</v>
      </c>
      <c r="E1" s="3625"/>
      <c r="F1" s="3625"/>
      <c r="G1" s="3625"/>
      <c r="H1" s="3625"/>
      <c r="I1" s="3626"/>
    </row>
    <row r="2" spans="1:9">
      <c r="A2" s="3612" t="s">
        <v>2453</v>
      </c>
      <c r="B2" s="3613" t="s">
        <v>2454</v>
      </c>
      <c r="C2" s="3613"/>
      <c r="D2" s="2360" t="s">
        <v>2455</v>
      </c>
      <c r="E2" s="2360" t="s">
        <v>2456</v>
      </c>
      <c r="F2" s="2360" t="s">
        <v>2457</v>
      </c>
      <c r="G2" s="2360" t="s">
        <v>2458</v>
      </c>
      <c r="H2" s="2360" t="s">
        <v>2459</v>
      </c>
      <c r="I2" s="2361" t="s">
        <v>2460</v>
      </c>
    </row>
    <row r="3" spans="1:9">
      <c r="A3" s="3612"/>
      <c r="B3" s="3613" t="s">
        <v>2461</v>
      </c>
      <c r="C3" s="3613"/>
      <c r="D3" s="2362"/>
      <c r="E3" s="2360"/>
      <c r="F3" s="2363"/>
      <c r="G3" s="2363"/>
      <c r="H3" s="2364"/>
      <c r="I3" s="2365">
        <f>ROUND(D3*E3*F3*G3*H3/10000,0)</f>
        <v>0</v>
      </c>
    </row>
    <row r="4" spans="1:9">
      <c r="A4" s="3612"/>
      <c r="B4" s="3613" t="s">
        <v>2462</v>
      </c>
      <c r="C4" s="3613"/>
      <c r="D4" s="2362"/>
      <c r="E4" s="2360"/>
      <c r="F4" s="2363"/>
      <c r="G4" s="2363"/>
      <c r="H4" s="2364"/>
      <c r="I4" s="2365">
        <f t="shared" ref="I4:I9" si="0">ROUND(D4*E4*F4*G4*H4/10000,0)</f>
        <v>0</v>
      </c>
    </row>
    <row r="5" spans="1:9">
      <c r="A5" s="3612"/>
      <c r="B5" s="3613" t="s">
        <v>2463</v>
      </c>
      <c r="C5" s="3613"/>
      <c r="D5" s="2362"/>
      <c r="E5" s="2360"/>
      <c r="F5" s="2363"/>
      <c r="G5" s="2363"/>
      <c r="H5" s="2364"/>
      <c r="I5" s="2365">
        <f t="shared" si="0"/>
        <v>0</v>
      </c>
    </row>
    <row r="6" spans="1:9">
      <c r="A6" s="3612"/>
      <c r="B6" s="3613" t="s">
        <v>2464</v>
      </c>
      <c r="C6" s="3613"/>
      <c r="D6" s="2362"/>
      <c r="E6" s="2360"/>
      <c r="F6" s="2363"/>
      <c r="G6" s="2363"/>
      <c r="H6" s="2364"/>
      <c r="I6" s="2365">
        <f t="shared" si="0"/>
        <v>0</v>
      </c>
    </row>
    <row r="7" spans="1:9">
      <c r="A7" s="3612"/>
      <c r="B7" s="3613" t="s">
        <v>2465</v>
      </c>
      <c r="C7" s="3613"/>
      <c r="D7" s="2362"/>
      <c r="E7" s="2360"/>
      <c r="F7" s="2363"/>
      <c r="G7" s="2363"/>
      <c r="H7" s="2364"/>
      <c r="I7" s="2365">
        <f t="shared" si="0"/>
        <v>0</v>
      </c>
    </row>
    <row r="8" spans="1:9">
      <c r="A8" s="3612"/>
      <c r="B8" s="3613" t="s">
        <v>2466</v>
      </c>
      <c r="C8" s="3613"/>
      <c r="D8" s="2362"/>
      <c r="E8" s="2360"/>
      <c r="F8" s="2363"/>
      <c r="G8" s="2363"/>
      <c r="H8" s="2364"/>
      <c r="I8" s="2365">
        <f t="shared" si="0"/>
        <v>0</v>
      </c>
    </row>
    <row r="9" spans="1:9">
      <c r="A9" s="3612"/>
      <c r="B9" s="3613" t="s">
        <v>2467</v>
      </c>
      <c r="C9" s="3613"/>
      <c r="D9" s="2362"/>
      <c r="E9" s="2360"/>
      <c r="F9" s="2363"/>
      <c r="G9" s="2363"/>
      <c r="H9" s="2364"/>
      <c r="I9" s="2365">
        <f t="shared" si="0"/>
        <v>0</v>
      </c>
    </row>
    <row r="10" spans="1:9">
      <c r="A10" s="3612"/>
      <c r="B10" s="3614" t="s">
        <v>2468</v>
      </c>
      <c r="C10" s="3614"/>
      <c r="D10" s="2366">
        <v>527</v>
      </c>
      <c r="E10" s="2366" t="e">
        <f>ROUND(D1*10000/D10/H9,0)</f>
        <v>#DIV/0!</v>
      </c>
      <c r="F10" s="2367"/>
      <c r="G10" s="2367"/>
      <c r="H10" s="2368"/>
      <c r="I10" s="2369">
        <f>SUM(I3:I9)</f>
        <v>0</v>
      </c>
    </row>
    <row r="11" spans="1:9" ht="14.25">
      <c r="A11" s="3612" t="s">
        <v>2469</v>
      </c>
      <c r="B11" s="3613" t="s">
        <v>2470</v>
      </c>
      <c r="C11" s="3613"/>
      <c r="D11" s="2362" t="s">
        <v>2471</v>
      </c>
      <c r="E11" s="2362" t="s">
        <v>2472</v>
      </c>
      <c r="F11" s="2363" t="s">
        <v>2473</v>
      </c>
      <c r="G11" s="2363" t="s">
        <v>2474</v>
      </c>
      <c r="H11" s="2370" t="s">
        <v>2475</v>
      </c>
      <c r="I11" s="2361" t="s">
        <v>2476</v>
      </c>
    </row>
    <row r="12" spans="1:9">
      <c r="A12" s="3612"/>
      <c r="B12" s="3613" t="s">
        <v>2477</v>
      </c>
      <c r="C12" s="3613"/>
      <c r="D12" s="2362"/>
      <c r="E12" s="2362"/>
      <c r="F12" s="2363"/>
      <c r="G12" s="2364"/>
      <c r="H12" s="2371"/>
      <c r="I12" s="2361">
        <f>ROUND(D12*E12*F12*G12/10000,0)</f>
        <v>0</v>
      </c>
    </row>
    <row r="13" spans="1:9">
      <c r="A13" s="3612"/>
      <c r="B13" s="3613" t="s">
        <v>2478</v>
      </c>
      <c r="C13" s="3613"/>
      <c r="D13" s="2362"/>
      <c r="E13" s="2362"/>
      <c r="F13" s="2363"/>
      <c r="G13" s="2364"/>
      <c r="H13" s="2371"/>
      <c r="I13" s="2361">
        <f>ROUND(D13*E13*F13*G13/10000,0)</f>
        <v>0</v>
      </c>
    </row>
    <row r="14" spans="1:9">
      <c r="A14" s="3612"/>
      <c r="B14" s="3613" t="s">
        <v>2479</v>
      </c>
      <c r="C14" s="3613"/>
      <c r="D14" s="2362"/>
      <c r="E14" s="2362"/>
      <c r="F14" s="2363"/>
      <c r="G14" s="2364"/>
      <c r="H14" s="2371"/>
      <c r="I14" s="2361">
        <f>ROUND(D14*E14*F14*G14/10000,0)</f>
        <v>0</v>
      </c>
    </row>
    <row r="15" spans="1:9">
      <c r="A15" s="3612"/>
      <c r="B15" s="3614" t="s">
        <v>2468</v>
      </c>
      <c r="C15" s="3614"/>
      <c r="D15" s="2366"/>
      <c r="E15" s="2366">
        <f>SUM(E12:E14)</f>
        <v>0</v>
      </c>
      <c r="F15" s="2367"/>
      <c r="G15" s="2364"/>
      <c r="H15" s="2371"/>
      <c r="I15" s="2372">
        <f>SUM(I12:I14)</f>
        <v>0</v>
      </c>
    </row>
    <row r="16" spans="1:9" ht="24">
      <c r="A16" s="3612" t="s">
        <v>2480</v>
      </c>
      <c r="B16" s="3613" t="s">
        <v>2481</v>
      </c>
      <c r="C16" s="3613"/>
      <c r="D16" s="2362" t="s">
        <v>2482</v>
      </c>
      <c r="E16" s="2373" t="s">
        <v>2483</v>
      </c>
      <c r="F16" s="2363" t="s">
        <v>2484</v>
      </c>
      <c r="G16" s="2364" t="s">
        <v>2474</v>
      </c>
      <c r="H16" s="2370" t="s">
        <v>2475</v>
      </c>
      <c r="I16" s="2361" t="s">
        <v>2476</v>
      </c>
    </row>
    <row r="17" spans="1:9" ht="14.25">
      <c r="A17" s="3612"/>
      <c r="B17" s="3613" t="s">
        <v>2485</v>
      </c>
      <c r="C17" s="3613"/>
      <c r="D17" s="2362"/>
      <c r="E17" s="2362"/>
      <c r="F17" s="2363"/>
      <c r="G17" s="2364"/>
      <c r="H17" s="2374"/>
      <c r="I17" s="2375">
        <f>ROUND(D17*E17*F17*G17/10000,0)</f>
        <v>0</v>
      </c>
    </row>
    <row r="18" spans="1:9" ht="14.25">
      <c r="A18" s="3612"/>
      <c r="B18" s="3613" t="s">
        <v>2486</v>
      </c>
      <c r="C18" s="3613"/>
      <c r="D18" s="2362"/>
      <c r="E18" s="2362"/>
      <c r="F18" s="2363"/>
      <c r="G18" s="2364"/>
      <c r="H18" s="2374"/>
      <c r="I18" s="2375">
        <f>ROUND(D18*E18*F18*G18/10000,0)</f>
        <v>0</v>
      </c>
    </row>
    <row r="19" spans="1:9" ht="14.25">
      <c r="A19" s="3612"/>
      <c r="B19" s="3613" t="s">
        <v>2487</v>
      </c>
      <c r="C19" s="3613"/>
      <c r="D19" s="2362"/>
      <c r="E19" s="2362"/>
      <c r="F19" s="2363"/>
      <c r="G19" s="2364"/>
      <c r="H19" s="2374"/>
      <c r="I19" s="2375">
        <f>ROUND(D19*E19*F19*G19/10000,0)</f>
        <v>0</v>
      </c>
    </row>
    <row r="20" spans="1:9">
      <c r="A20" s="3612"/>
      <c r="B20" s="3614" t="s">
        <v>2468</v>
      </c>
      <c r="C20" s="3614"/>
      <c r="D20" s="2366">
        <f>SUM(D17:D19)</f>
        <v>0</v>
      </c>
      <c r="E20" s="2366"/>
      <c r="F20" s="2367"/>
      <c r="G20" s="2364"/>
      <c r="H20" s="2371"/>
      <c r="I20" s="2372">
        <f>SUM(I17:I19)</f>
        <v>0</v>
      </c>
    </row>
    <row r="21" spans="1:9">
      <c r="A21" s="3612" t="s">
        <v>2488</v>
      </c>
      <c r="B21" s="3615"/>
      <c r="C21" s="3615"/>
      <c r="D21" s="3615"/>
      <c r="E21" s="3615"/>
      <c r="F21" s="3615"/>
      <c r="G21" s="3615"/>
      <c r="H21" s="2376">
        <v>0.1</v>
      </c>
      <c r="I21" s="2369">
        <f>ROUND(I10*H21,0)</f>
        <v>0</v>
      </c>
    </row>
    <row r="22" spans="1:9" ht="14.25">
      <c r="A22" s="3616" t="s">
        <v>2489</v>
      </c>
      <c r="B22" s="3617"/>
      <c r="C22" s="3618"/>
      <c r="D22" s="2377" t="s">
        <v>2490</v>
      </c>
      <c r="E22" s="2377" t="s">
        <v>2491</v>
      </c>
      <c r="F22" s="2378" t="s">
        <v>2492</v>
      </c>
      <c r="G22" s="2378" t="s">
        <v>2493</v>
      </c>
      <c r="H22" s="2370" t="s">
        <v>2494</v>
      </c>
      <c r="I22" s="2361" t="s">
        <v>2495</v>
      </c>
    </row>
    <row r="23" spans="1:9" ht="14.25" thickBot="1">
      <c r="A23" s="3619"/>
      <c r="B23" s="3620"/>
      <c r="C23" s="3621"/>
      <c r="D23" s="2379"/>
      <c r="E23" s="2379"/>
      <c r="F23" s="2379"/>
      <c r="G23" s="2380"/>
      <c r="H23" s="2381"/>
      <c r="I23" s="2382">
        <f>ROUND(E23*D23*F23*(1-G23)/10000,0)</f>
        <v>0</v>
      </c>
    </row>
    <row r="26" spans="1:9">
      <c r="A26" s="2383" t="s">
        <v>2496</v>
      </c>
      <c r="B26" s="2383"/>
      <c r="C26" s="2383"/>
      <c r="D26" s="2383"/>
      <c r="E26" s="3609">
        <f>C27-C30-C31-C32</f>
        <v>0</v>
      </c>
      <c r="F26" s="3609"/>
      <c r="G26" s="3609"/>
      <c r="H26" s="2753" t="s">
        <v>2822</v>
      </c>
    </row>
    <row r="27" spans="1:9">
      <c r="A27" s="2384">
        <v>1</v>
      </c>
      <c r="B27" s="2385" t="s">
        <v>2497</v>
      </c>
      <c r="C27" s="2385"/>
      <c r="D27" s="2385"/>
      <c r="E27" s="3610"/>
      <c r="F27" s="3610"/>
      <c r="G27" s="3610"/>
    </row>
    <row r="28" spans="1:9">
      <c r="A28" s="2386" t="s">
        <v>2498</v>
      </c>
      <c r="B28" s="2385" t="s">
        <v>2499</v>
      </c>
      <c r="C28" s="2385"/>
      <c r="D28" s="2385"/>
      <c r="E28" s="3610"/>
      <c r="F28" s="3610"/>
      <c r="G28" s="3610"/>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11"/>
      <c r="F32" s="3611"/>
      <c r="G32" s="3611"/>
    </row>
    <row r="33" spans="1:7" hidden="1">
      <c r="A33" s="3606" t="s">
        <v>2507</v>
      </c>
      <c r="B33" s="3607"/>
      <c r="C33" s="3607"/>
      <c r="D33" s="3608"/>
      <c r="E33" s="3609"/>
      <c r="F33" s="3609"/>
      <c r="G33" s="3609"/>
    </row>
    <row r="34" spans="1:7" hidden="1">
      <c r="A34" s="2388">
        <v>1</v>
      </c>
      <c r="B34" s="2385" t="s">
        <v>2508</v>
      </c>
      <c r="C34" s="2385"/>
      <c r="D34" s="2385"/>
      <c r="E34" s="3610"/>
      <c r="F34" s="3610"/>
      <c r="G34" s="3610"/>
    </row>
    <row r="35" spans="1:7" hidden="1">
      <c r="A35" s="2388">
        <v>2</v>
      </c>
      <c r="B35" s="2385" t="s">
        <v>2509</v>
      </c>
      <c r="C35" s="2385"/>
      <c r="D35" s="2385"/>
      <c r="E35" s="3610"/>
      <c r="F35" s="3610"/>
      <c r="G35" s="3610"/>
    </row>
    <row r="36" spans="1:7" hidden="1">
      <c r="A36" s="2388">
        <v>3</v>
      </c>
      <c r="B36" s="2385" t="s">
        <v>2510</v>
      </c>
      <c r="C36" s="2385"/>
      <c r="D36" s="2385"/>
      <c r="E36" s="3610"/>
      <c r="F36" s="3610"/>
      <c r="G36" s="3610"/>
    </row>
    <row r="37" spans="1:7" hidden="1">
      <c r="A37" s="2388">
        <v>4</v>
      </c>
      <c r="B37" s="2385" t="s">
        <v>2511</v>
      </c>
      <c r="C37" s="2385"/>
      <c r="D37" s="2385"/>
      <c r="E37" s="3610"/>
      <c r="F37" s="3610"/>
      <c r="G37" s="3610"/>
    </row>
    <row r="38" spans="1:7" hidden="1">
      <c r="A38" s="3606" t="s">
        <v>2512</v>
      </c>
      <c r="B38" s="3607"/>
      <c r="C38" s="3607"/>
      <c r="D38" s="3608"/>
      <c r="E38" s="3609"/>
      <c r="F38" s="3609"/>
      <c r="G38" s="36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1676</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68">
        <f t="shared" ref="C8:C9" si="0">ROUND(D8*E8/10000,0)</f>
        <v>0</v>
      </c>
      <c r="D8" s="3268">
        <v>0</v>
      </c>
      <c r="E8" s="3269">
        <v>0</v>
      </c>
      <c r="F8" s="741"/>
      <c r="G8" s="742"/>
    </row>
    <row r="9" spans="1:25" s="2064" customFormat="1" ht="13.5" customHeight="1">
      <c r="A9" s="2323" t="s">
        <v>2424</v>
      </c>
      <c r="B9" s="2326" t="s">
        <v>2426</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1648</v>
      </c>
      <c r="D12" s="3268">
        <f>'数据-汇总表'!E5</f>
        <v>103024.827</v>
      </c>
      <c r="E12" s="3268">
        <f>'数据-取费表'!B27</f>
        <v>160</v>
      </c>
      <c r="F12" s="746"/>
      <c r="G12" s="749"/>
    </row>
    <row r="13" spans="1:25" s="2064" customFormat="1" ht="13.5" customHeight="1">
      <c r="A13" s="2329" t="s">
        <v>2430</v>
      </c>
      <c r="B13" s="747" t="s">
        <v>606</v>
      </c>
      <c r="C13" s="748">
        <f>ROUND(D13*E13/10000,0)</f>
        <v>79</v>
      </c>
      <c r="D13" s="3268">
        <f>'数据-汇总表'!E6</f>
        <v>3958.5</v>
      </c>
      <c r="E13" s="3268">
        <f>'数据-取费表'!B28</f>
        <v>200</v>
      </c>
      <c r="F13" s="746"/>
      <c r="G13" s="749"/>
    </row>
    <row r="14" spans="1:25" s="2064" customFormat="1" ht="13.5" customHeight="1">
      <c r="A14" s="2323" t="s">
        <v>2424</v>
      </c>
      <c r="B14" s="2328" t="s">
        <v>2427</v>
      </c>
      <c r="C14" s="3270">
        <f t="shared" ref="C14:C15" si="1">ROUND(D14*E14/10000,0)</f>
        <v>0</v>
      </c>
      <c r="D14" s="3268">
        <v>0</v>
      </c>
      <c r="E14" s="3269">
        <v>0</v>
      </c>
      <c r="F14" s="2327"/>
      <c r="G14" s="2330" t="s">
        <v>2432</v>
      </c>
    </row>
    <row r="15" spans="1:25" s="2064" customFormat="1" ht="13.5" customHeight="1">
      <c r="A15" s="2323" t="s">
        <v>2429</v>
      </c>
      <c r="B15" s="2328" t="s">
        <v>2428</v>
      </c>
      <c r="C15" s="3270">
        <f t="shared" si="1"/>
        <v>0</v>
      </c>
      <c r="D15" s="3268">
        <v>0</v>
      </c>
      <c r="E15" s="3269">
        <v>0</v>
      </c>
      <c r="F15" s="2327"/>
      <c r="G15" s="2330" t="s">
        <v>2433</v>
      </c>
    </row>
    <row r="16" spans="1:25" s="2065" customFormat="1" ht="48">
      <c r="A16" s="2323">
        <v>3</v>
      </c>
      <c r="B16" s="739" t="s">
        <v>609</v>
      </c>
      <c r="C16" s="3270">
        <f t="shared" ref="C16" si="2">ROUND(D16*E16/10000,0)</f>
        <v>0</v>
      </c>
      <c r="D16" s="3268">
        <v>0</v>
      </c>
      <c r="E16" s="3269">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5" zoomScale="80" zoomScaleNormal="60" zoomScaleSheetLayoutView="80" workbookViewId="0">
      <selection activeCell="B14" sqref="B14"/>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3176</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664067</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64457</v>
      </c>
      <c r="C3" s="841" t="s">
        <v>716</v>
      </c>
      <c r="D3" s="840">
        <f>SUMIF('数据-汇总表'!$C19:$C33,D1,'数据-汇总表'!$E19:$E33)</f>
        <v>103024.827</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9" t="s">
        <v>516</v>
      </c>
      <c r="D4" s="3530"/>
      <c r="E4" s="3554" t="s">
        <v>517</v>
      </c>
      <c r="F4" s="3555"/>
      <c r="G4" s="3529" t="s">
        <v>518</v>
      </c>
      <c r="H4" s="3530"/>
      <c r="I4" s="3529" t="s">
        <v>519</v>
      </c>
      <c r="J4" s="3530"/>
      <c r="K4" s="842"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12" t="s">
        <v>518</v>
      </c>
      <c r="AC4" s="3512" t="s">
        <v>519</v>
      </c>
    </row>
    <row r="5" spans="1:29" ht="15">
      <c r="A5" s="509"/>
      <c r="B5" s="510"/>
      <c r="C5" s="3540" t="s">
        <v>2895</v>
      </c>
      <c r="D5" s="3541"/>
      <c r="E5" s="3627" t="s">
        <v>3167</v>
      </c>
      <c r="F5" s="3557"/>
      <c r="G5" s="3628" t="s">
        <v>3168</v>
      </c>
      <c r="H5" s="3541"/>
      <c r="I5" s="3628" t="s">
        <v>3169</v>
      </c>
      <c r="J5" s="3541"/>
      <c r="K5" s="843"/>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843"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v>44378</v>
      </c>
      <c r="F7" s="516">
        <f>SUMIF(58:58,YEAR(E7)&amp;"-"&amp;MONTH(E7),59:59)</f>
        <v>100</v>
      </c>
      <c r="G7" s="517">
        <v>44378</v>
      </c>
      <c r="H7" s="514">
        <f>SUMIF(58:58,YEAR(G7)&amp;"-"&amp;MONTH(G7),59:59)</f>
        <v>100</v>
      </c>
      <c r="I7" s="517">
        <v>44378</v>
      </c>
      <c r="J7" s="514">
        <f>SUMIF(58:58,YEAR(I7)&amp;"-"&amp;MONTH(I7),59:59)</f>
        <v>100</v>
      </c>
      <c r="K7" s="844"/>
      <c r="L7" s="2017"/>
      <c r="M7" s="2018"/>
      <c r="N7" s="2018"/>
      <c r="O7" s="2018"/>
      <c r="P7" s="3515" t="s">
        <v>524</v>
      </c>
      <c r="Q7" s="3524"/>
      <c r="R7" s="1502" t="s">
        <v>13</v>
      </c>
      <c r="S7" s="1503">
        <f t="shared" ref="S7:S15" si="0">F7</f>
        <v>100</v>
      </c>
      <c r="T7" s="1502" t="s">
        <v>13</v>
      </c>
      <c r="U7" s="1503">
        <f t="shared" ref="U7:U15" si="1">H7</f>
        <v>100</v>
      </c>
      <c r="V7" s="1502" t="s">
        <v>13</v>
      </c>
      <c r="W7" s="1503">
        <f t="shared" ref="W7:W15" si="2">J7</f>
        <v>100</v>
      </c>
      <c r="X7" s="1504"/>
      <c r="Y7" s="3515" t="s">
        <v>524</v>
      </c>
      <c r="Z7" s="3516"/>
      <c r="AA7" s="1505">
        <f>D7/F7</f>
        <v>1</v>
      </c>
      <c r="AB7" s="1505">
        <f>D7/H7</f>
        <v>1</v>
      </c>
      <c r="AC7" s="1505">
        <f>D7/J7</f>
        <v>1</v>
      </c>
    </row>
    <row r="8" spans="1:29" s="1202" customFormat="1" ht="15.75" thickBot="1">
      <c r="A8" s="2629"/>
      <c r="B8" s="2636" t="s">
        <v>525</v>
      </c>
      <c r="C8" s="519" t="s">
        <v>570</v>
      </c>
      <c r="D8" s="514">
        <v>100</v>
      </c>
      <c r="E8" s="3298" t="s">
        <v>3162</v>
      </c>
      <c r="F8" s="516">
        <f>SUMIF(61:61,E8,62:62)-SUMIF(61:61,C8,62:62)+100</f>
        <v>100</v>
      </c>
      <c r="G8" s="3287" t="s">
        <v>3162</v>
      </c>
      <c r="H8" s="514">
        <f>SUMIF(61:61,G8,62:62)-SUMIF(61:61,C8,62:62)+100</f>
        <v>100</v>
      </c>
      <c r="I8" s="3298" t="s">
        <v>3162</v>
      </c>
      <c r="J8" s="514">
        <f>SUMIF(61:61,I8,62:62)-SUMIF(61:61,C8,62:62)+100</f>
        <v>100</v>
      </c>
      <c r="K8" s="844"/>
      <c r="L8" s="2017"/>
      <c r="M8" s="2018"/>
      <c r="N8" s="2018"/>
      <c r="O8" s="2018"/>
      <c r="P8" s="3515" t="s">
        <v>527</v>
      </c>
      <c r="Q8" s="3516"/>
      <c r="R8" s="1502" t="s">
        <v>13</v>
      </c>
      <c r="S8" s="1503">
        <f t="shared" si="0"/>
        <v>100</v>
      </c>
      <c r="T8" s="1502" t="s">
        <v>13</v>
      </c>
      <c r="U8" s="1503">
        <f t="shared" si="1"/>
        <v>100</v>
      </c>
      <c r="V8" s="1502" t="s">
        <v>13</v>
      </c>
      <c r="W8" s="1503">
        <f t="shared" si="2"/>
        <v>100</v>
      </c>
      <c r="X8" s="1504"/>
      <c r="Y8" s="3515" t="s">
        <v>527</v>
      </c>
      <c r="Z8" s="3516"/>
      <c r="AA8" s="1505">
        <f t="shared" ref="AA8:AA46" si="3">D8/F8</f>
        <v>1</v>
      </c>
      <c r="AB8" s="1505">
        <f t="shared" ref="AB8:AB46" si="4">D8/H8</f>
        <v>1</v>
      </c>
      <c r="AC8" s="1505">
        <f t="shared" ref="AC8:AC46" si="5">D8/J8</f>
        <v>1</v>
      </c>
    </row>
    <row r="9" spans="1:29" s="1202" customFormat="1" ht="15">
      <c r="A9" s="2630"/>
      <c r="B9" s="2637" t="s">
        <v>2736</v>
      </c>
      <c r="C9" s="3299" t="s">
        <v>3163</v>
      </c>
      <c r="D9" s="252">
        <v>100</v>
      </c>
      <c r="E9" s="3300" t="s">
        <v>3164</v>
      </c>
      <c r="F9" s="848">
        <f>SUMIF(63:63,E9,64:64)-SUMIF(63:63,C9,64:64)+100</f>
        <v>100</v>
      </c>
      <c r="G9" s="3301" t="s">
        <v>3163</v>
      </c>
      <c r="H9" s="252">
        <f>SUMIF(63:63,G9,64:64)-SUMIF(63:63,C9,64:64)+100</f>
        <v>100</v>
      </c>
      <c r="I9" s="3301" t="s">
        <v>3164</v>
      </c>
      <c r="J9" s="252">
        <f>SUMIF(63:63,I9,64:64)-SUMIF(63:63,C9,64:64)+100</f>
        <v>100</v>
      </c>
      <c r="K9" s="844"/>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3313" t="s">
        <v>2738</v>
      </c>
      <c r="C11" s="527">
        <f>'比较法-住宅、综合'!C13</f>
        <v>2.2999999999999998</v>
      </c>
      <c r="D11" s="253">
        <v>100</v>
      </c>
      <c r="E11" s="528">
        <v>2.8</v>
      </c>
      <c r="F11" s="852">
        <f>LOOKUP(E11,68:68,69:69)-LOOKUP(C11,68:68,69:69)+100</f>
        <v>100</v>
      </c>
      <c r="G11" s="527">
        <v>2.8</v>
      </c>
      <c r="H11" s="253">
        <f>LOOKUP(G11,68:68,69:69)-LOOKUP(C11,68:68,69:69)+100</f>
        <v>100</v>
      </c>
      <c r="I11" s="527">
        <v>2.8</v>
      </c>
      <c r="J11" s="253">
        <f>LOOKUP(I11,68:68,69:69)-LOOKUP(C11,68:68,69:69)+100</f>
        <v>100</v>
      </c>
      <c r="K11" s="853"/>
      <c r="L11" s="2022"/>
      <c r="M11" s="2016"/>
      <c r="N11" s="2016"/>
      <c r="O11" s="2023"/>
      <c r="P11" s="3523"/>
      <c r="Q11" s="1133" t="str">
        <f t="shared" si="6"/>
        <v>容积率</v>
      </c>
      <c r="R11" s="1502" t="s">
        <v>11</v>
      </c>
      <c r="S11" s="1503">
        <f t="shared" si="0"/>
        <v>100</v>
      </c>
      <c r="T11" s="1502" t="s">
        <v>11</v>
      </c>
      <c r="U11" s="1503">
        <f t="shared" si="1"/>
        <v>100</v>
      </c>
      <c r="V11" s="1502" t="s">
        <v>11</v>
      </c>
      <c r="W11" s="1503">
        <f t="shared" si="2"/>
        <v>100</v>
      </c>
      <c r="X11" s="1504"/>
      <c r="Y11" s="3474"/>
      <c r="Z11" s="1132" t="str">
        <f t="shared" si="7"/>
        <v>容积率</v>
      </c>
      <c r="AA11" s="1505">
        <f t="shared" si="3"/>
        <v>1</v>
      </c>
      <c r="AB11" s="1505">
        <f t="shared" si="4"/>
        <v>1</v>
      </c>
      <c r="AC11" s="1505">
        <f t="shared" si="5"/>
        <v>1</v>
      </c>
    </row>
    <row r="12" spans="1:29" s="1202" customFormat="1" ht="15">
      <c r="A12" s="2633"/>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3"/>
      <c r="Q12" s="1133">
        <f t="shared" si="6"/>
        <v>111</v>
      </c>
      <c r="R12" s="1502" t="s">
        <v>11</v>
      </c>
      <c r="S12" s="1503">
        <f t="shared" si="0"/>
        <v>100</v>
      </c>
      <c r="T12" s="1502" t="s">
        <v>11</v>
      </c>
      <c r="U12" s="1503">
        <f t="shared" si="1"/>
        <v>100</v>
      </c>
      <c r="V12" s="1502" t="s">
        <v>11</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3"/>
      <c r="Q13" s="1133">
        <f t="shared" si="6"/>
        <v>111</v>
      </c>
      <c r="R13" s="1502" t="s">
        <v>11</v>
      </c>
      <c r="S13" s="1503">
        <f t="shared" si="0"/>
        <v>100</v>
      </c>
      <c r="T13" s="1502" t="s">
        <v>11</v>
      </c>
      <c r="U13" s="1503">
        <f t="shared" si="1"/>
        <v>100</v>
      </c>
      <c r="V13" s="1502" t="s">
        <v>11</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3"/>
      <c r="Q14" s="1133">
        <f t="shared" si="6"/>
        <v>111</v>
      </c>
      <c r="R14" s="1502" t="s">
        <v>11</v>
      </c>
      <c r="S14" s="1503">
        <f t="shared" si="0"/>
        <v>100</v>
      </c>
      <c r="T14" s="1502" t="s">
        <v>11</v>
      </c>
      <c r="U14" s="1503">
        <f t="shared" si="1"/>
        <v>100</v>
      </c>
      <c r="V14" s="1502" t="s">
        <v>11</v>
      </c>
      <c r="W14" s="1503">
        <f t="shared" si="2"/>
        <v>100</v>
      </c>
      <c r="X14" s="1504"/>
      <c r="Y14" s="3474"/>
      <c r="Z14" s="1132">
        <f t="shared" si="7"/>
        <v>111</v>
      </c>
      <c r="AA14" s="1505">
        <f t="shared" si="3"/>
        <v>1</v>
      </c>
      <c r="AB14" s="1505">
        <f t="shared" si="4"/>
        <v>1</v>
      </c>
      <c r="AC14" s="1505">
        <f t="shared" si="5"/>
        <v>1</v>
      </c>
    </row>
    <row r="15" spans="1:29" ht="99.75">
      <c r="A15" s="3314"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102</v>
      </c>
      <c r="G15" s="546"/>
      <c r="H15" s="543">
        <f>SUMIF(76:76,G16,77:77)-SUMIF(76:76,C16,77:77)+100</f>
        <v>102</v>
      </c>
      <c r="I15" s="544"/>
      <c r="J15" s="543">
        <f>SUMIF(76:76,I16,77:77)-SUMIF(76:76,C16,77:77)+100</f>
        <v>102</v>
      </c>
      <c r="K15" s="857">
        <v>2</v>
      </c>
      <c r="L15" s="2024"/>
      <c r="M15" s="2016"/>
      <c r="N15" s="2016"/>
      <c r="O15" s="2023"/>
      <c r="P15" s="3525" t="s">
        <v>534</v>
      </c>
      <c r="Q15" s="1506" t="str">
        <f t="shared" si="6"/>
        <v>居住社区成熟度</v>
      </c>
      <c r="R15" s="1507" t="s">
        <v>11</v>
      </c>
      <c r="S15" s="1508">
        <f t="shared" si="0"/>
        <v>102</v>
      </c>
      <c r="T15" s="1507" t="s">
        <v>11</v>
      </c>
      <c r="U15" s="1508">
        <f t="shared" si="1"/>
        <v>102</v>
      </c>
      <c r="V15" s="1507" t="s">
        <v>11</v>
      </c>
      <c r="W15" s="1508">
        <f t="shared" si="2"/>
        <v>102</v>
      </c>
      <c r="X15" s="1501"/>
      <c r="Y15" s="3525" t="s">
        <v>534</v>
      </c>
      <c r="Z15" s="1509" t="str">
        <f t="shared" si="7"/>
        <v>居住社区成熟度</v>
      </c>
      <c r="AA15" s="1510">
        <f t="shared" si="3"/>
        <v>0.98039215686274506</v>
      </c>
      <c r="AB15" s="1510">
        <f t="shared" si="4"/>
        <v>0.98039215686274506</v>
      </c>
      <c r="AC15" s="1510">
        <f t="shared" si="5"/>
        <v>0.98039215686274506</v>
      </c>
    </row>
    <row r="16" spans="1:29" ht="15">
      <c r="A16" s="526"/>
      <c r="B16" s="858"/>
      <c r="C16" s="3293" t="s">
        <v>3189</v>
      </c>
      <c r="D16" s="549"/>
      <c r="E16" s="3292" t="s">
        <v>3171</v>
      </c>
      <c r="F16" s="551"/>
      <c r="G16" s="3291" t="s">
        <v>3170</v>
      </c>
      <c r="H16" s="553"/>
      <c r="I16" s="3292" t="s">
        <v>3171</v>
      </c>
      <c r="J16" s="549"/>
      <c r="K16" s="859"/>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102</v>
      </c>
      <c r="G17" s="558"/>
      <c r="H17" s="559">
        <f>SUMIF(78:78,G18,79:79)-SUMIF(78:78,C18,79:79)+100</f>
        <v>102</v>
      </c>
      <c r="I17" s="556"/>
      <c r="J17" s="559">
        <f>SUMIF(78:78,I18,79:79)-SUMIF(78:78,C18,79:79)+100</f>
        <v>102</v>
      </c>
      <c r="K17" s="857">
        <v>2</v>
      </c>
      <c r="L17" s="2024"/>
      <c r="M17" s="2016"/>
      <c r="N17" s="2016"/>
      <c r="O17" s="2023"/>
      <c r="P17" s="3526"/>
      <c r="Q17" s="1506" t="str">
        <f>B17</f>
        <v>交通便捷度</v>
      </c>
      <c r="R17" s="1507" t="s">
        <v>11</v>
      </c>
      <c r="S17" s="1508">
        <f>F17</f>
        <v>102</v>
      </c>
      <c r="T17" s="1507" t="s">
        <v>11</v>
      </c>
      <c r="U17" s="1508">
        <f>H17</f>
        <v>102</v>
      </c>
      <c r="V17" s="1507" t="s">
        <v>11</v>
      </c>
      <c r="W17" s="1508">
        <f>J17</f>
        <v>102</v>
      </c>
      <c r="X17" s="1501"/>
      <c r="Y17" s="3526"/>
      <c r="Z17" s="1509" t="str">
        <f>Q17</f>
        <v>交通便捷度</v>
      </c>
      <c r="AA17" s="1510">
        <f t="shared" si="3"/>
        <v>0.98039215686274506</v>
      </c>
      <c r="AB17" s="1510">
        <f t="shared" si="4"/>
        <v>0.98039215686274506</v>
      </c>
      <c r="AC17" s="1510">
        <f t="shared" si="5"/>
        <v>0.98039215686274506</v>
      </c>
    </row>
    <row r="18" spans="1:29" ht="15">
      <c r="A18" s="526"/>
      <c r="B18" s="589"/>
      <c r="C18" s="3302" t="s">
        <v>3190</v>
      </c>
      <c r="D18" s="553"/>
      <c r="E18" s="3303" t="s">
        <v>3170</v>
      </c>
      <c r="F18" s="557"/>
      <c r="G18" s="3304" t="s">
        <v>3170</v>
      </c>
      <c r="H18" s="549"/>
      <c r="I18" s="3303" t="s">
        <v>3170</v>
      </c>
      <c r="J18" s="549"/>
      <c r="K18" s="859"/>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4"/>
      <c r="M19" s="2016"/>
      <c r="N19" s="2016"/>
      <c r="O19" s="2023"/>
      <c r="P19" s="3526"/>
      <c r="Q19" s="1506" t="str">
        <f>B19</f>
        <v>公共配套设施</v>
      </c>
      <c r="R19" s="1507" t="s">
        <v>11</v>
      </c>
      <c r="S19" s="1508">
        <f>F19</f>
        <v>102</v>
      </c>
      <c r="T19" s="1507" t="s">
        <v>11</v>
      </c>
      <c r="U19" s="1508">
        <f>H19</f>
        <v>102</v>
      </c>
      <c r="V19" s="1507" t="s">
        <v>11</v>
      </c>
      <c r="W19" s="1508">
        <f>J19</f>
        <v>102</v>
      </c>
      <c r="X19" s="1501"/>
      <c r="Y19" s="3526"/>
      <c r="Z19" s="1509" t="str">
        <f>Q19</f>
        <v>公共配套设施</v>
      </c>
      <c r="AA19" s="1510">
        <f t="shared" si="3"/>
        <v>0.98039215686274506</v>
      </c>
      <c r="AB19" s="1510">
        <f t="shared" si="4"/>
        <v>0.98039215686274506</v>
      </c>
      <c r="AC19" s="1510">
        <f t="shared" si="5"/>
        <v>0.98039215686274506</v>
      </c>
    </row>
    <row r="20" spans="1:29" ht="15">
      <c r="A20" s="526"/>
      <c r="B20" s="589"/>
      <c r="C20" s="3293" t="s">
        <v>3172</v>
      </c>
      <c r="D20" s="549"/>
      <c r="E20" s="3292" t="s">
        <v>3170</v>
      </c>
      <c r="F20" s="551"/>
      <c r="G20" s="3291" t="s">
        <v>3170</v>
      </c>
      <c r="H20" s="549"/>
      <c r="I20" s="3292" t="s">
        <v>3170</v>
      </c>
      <c r="J20" s="549"/>
      <c r="K20" s="859"/>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4"/>
      <c r="M21" s="2016"/>
      <c r="N21" s="2016"/>
      <c r="O21" s="2023"/>
      <c r="P21" s="3526"/>
      <c r="Q21" s="2429" t="str">
        <f>B21</f>
        <v>基础设施水平</v>
      </c>
      <c r="R21" s="1507" t="s">
        <v>11</v>
      </c>
      <c r="S21" s="1508">
        <f>F21</f>
        <v>100</v>
      </c>
      <c r="T21" s="1507" t="s">
        <v>11</v>
      </c>
      <c r="U21" s="1508">
        <f>H21</f>
        <v>100</v>
      </c>
      <c r="V21" s="1507" t="s">
        <v>11</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910"/>
      <c r="C22" s="3302" t="s">
        <v>3173</v>
      </c>
      <c r="D22" s="549"/>
      <c r="E22" s="3293" t="s">
        <v>3173</v>
      </c>
      <c r="F22" s="551"/>
      <c r="G22" s="3293" t="s">
        <v>3173</v>
      </c>
      <c r="H22" s="549"/>
      <c r="I22" s="3293" t="s">
        <v>3173</v>
      </c>
      <c r="J22" s="549"/>
      <c r="K22" s="2443"/>
      <c r="L22" s="2024"/>
      <c r="M22" s="2016"/>
      <c r="N22" s="2016"/>
      <c r="O22" s="2023"/>
      <c r="P22" s="3526"/>
      <c r="Q22" s="2429"/>
      <c r="R22" s="1507"/>
      <c r="S22" s="1508"/>
      <c r="T22" s="1507"/>
      <c r="U22" s="1508"/>
      <c r="V22" s="1507"/>
      <c r="W22" s="1508"/>
      <c r="X22" s="2431"/>
      <c r="Y22" s="352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4"/>
      <c r="M23" s="2016"/>
      <c r="N23" s="2016"/>
      <c r="O23" s="2023"/>
      <c r="P23" s="3526"/>
      <c r="Q23" s="1506" t="str">
        <f>B23</f>
        <v>自然及人文环境</v>
      </c>
      <c r="R23" s="1507" t="s">
        <v>11</v>
      </c>
      <c r="S23" s="1508">
        <f>F23</f>
        <v>100</v>
      </c>
      <c r="T23" s="1507" t="s">
        <v>11</v>
      </c>
      <c r="U23" s="1508">
        <f>H23</f>
        <v>100</v>
      </c>
      <c r="V23" s="1507" t="s">
        <v>11</v>
      </c>
      <c r="W23" s="1508">
        <f>J23</f>
        <v>100</v>
      </c>
      <c r="X23" s="1501"/>
      <c r="Y23" s="3526"/>
      <c r="Z23" s="1509" t="str">
        <f>Q23</f>
        <v>自然及人文环境</v>
      </c>
      <c r="AA23" s="1510">
        <f t="shared" si="3"/>
        <v>1</v>
      </c>
      <c r="AB23" s="1510">
        <f t="shared" si="4"/>
        <v>1</v>
      </c>
      <c r="AC23" s="1510">
        <f t="shared" si="5"/>
        <v>1</v>
      </c>
    </row>
    <row r="24" spans="1:29" ht="15">
      <c r="A24" s="526"/>
      <c r="B24" s="589"/>
      <c r="C24" s="3293" t="s">
        <v>3136</v>
      </c>
      <c r="D24" s="549"/>
      <c r="E24" s="3292" t="s">
        <v>3170</v>
      </c>
      <c r="F24" s="551"/>
      <c r="G24" s="3291" t="s">
        <v>3170</v>
      </c>
      <c r="H24" s="549"/>
      <c r="I24" s="3292" t="s">
        <v>3171</v>
      </c>
      <c r="J24" s="549"/>
      <c r="K24" s="859"/>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v>2</v>
      </c>
      <c r="L25" s="2024"/>
      <c r="M25" s="2016"/>
      <c r="N25" s="2016"/>
      <c r="O25" s="2023"/>
      <c r="P25" s="3526"/>
      <c r="Q25" s="1506" t="str">
        <f t="shared" ref="Q25:Q46" si="11">B25</f>
        <v>楼层-1</v>
      </c>
      <c r="R25" s="1507" t="s">
        <v>11</v>
      </c>
      <c r="S25" s="1508">
        <f>F25</f>
        <v>100</v>
      </c>
      <c r="T25" s="1507" t="s">
        <v>11</v>
      </c>
      <c r="U25" s="1508">
        <f>H25</f>
        <v>100</v>
      </c>
      <c r="V25" s="1507" t="s">
        <v>11</v>
      </c>
      <c r="W25" s="1508">
        <f>J25</f>
        <v>100</v>
      </c>
      <c r="X25" s="1501"/>
      <c r="Y25" s="352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6"/>
      <c r="Q26" s="1506" t="str">
        <f t="shared" si="11"/>
        <v>朝向</v>
      </c>
      <c r="R26" s="1507" t="s">
        <v>11</v>
      </c>
      <c r="S26" s="1508">
        <f>F26</f>
        <v>100</v>
      </c>
      <c r="T26" s="1507" t="s">
        <v>11</v>
      </c>
      <c r="U26" s="1508">
        <f>H26</f>
        <v>100</v>
      </c>
      <c r="V26" s="1507" t="s">
        <v>11</v>
      </c>
      <c r="W26" s="1508">
        <f>J26</f>
        <v>100</v>
      </c>
      <c r="X26" s="1501"/>
      <c r="Y26" s="3526"/>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6"/>
      <c r="Q27" s="1133" t="str">
        <f t="shared" si="11"/>
        <v>道路级别</v>
      </c>
      <c r="R27" s="1502" t="s">
        <v>11</v>
      </c>
      <c r="S27" s="1503">
        <f>F27</f>
        <v>100</v>
      </c>
      <c r="T27" s="1502" t="s">
        <v>11</v>
      </c>
      <c r="U27" s="1503">
        <f>H27</f>
        <v>100</v>
      </c>
      <c r="V27" s="1502" t="s">
        <v>11</v>
      </c>
      <c r="W27" s="1503">
        <f>J27</f>
        <v>100</v>
      </c>
      <c r="X27" s="1504"/>
      <c r="Y27" s="3526"/>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2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6"/>
      <c r="Q29" s="1506">
        <f t="shared" si="11"/>
        <v>111</v>
      </c>
      <c r="R29" s="1507" t="s">
        <v>11</v>
      </c>
      <c r="S29" s="1508">
        <f t="shared" si="12"/>
        <v>100</v>
      </c>
      <c r="T29" s="1507" t="s">
        <v>11</v>
      </c>
      <c r="U29" s="1508">
        <f t="shared" si="13"/>
        <v>100</v>
      </c>
      <c r="V29" s="1507" t="s">
        <v>11</v>
      </c>
      <c r="W29" s="1508">
        <f t="shared" si="14"/>
        <v>100</v>
      </c>
      <c r="X29" s="1501"/>
      <c r="Y29" s="352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6"/>
      <c r="Q30" s="1506">
        <f t="shared" si="11"/>
        <v>111</v>
      </c>
      <c r="R30" s="1507" t="s">
        <v>11</v>
      </c>
      <c r="S30" s="1508">
        <f t="shared" si="12"/>
        <v>100</v>
      </c>
      <c r="T30" s="1507" t="s">
        <v>11</v>
      </c>
      <c r="U30" s="1508">
        <f t="shared" si="13"/>
        <v>100</v>
      </c>
      <c r="V30" s="1507" t="s">
        <v>11</v>
      </c>
      <c r="W30" s="1508">
        <f t="shared" si="14"/>
        <v>100</v>
      </c>
      <c r="X30" s="1501"/>
      <c r="Y30" s="352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6"/>
      <c r="Q31" s="1506">
        <f t="shared" si="11"/>
        <v>111</v>
      </c>
      <c r="R31" s="1507" t="s">
        <v>11</v>
      </c>
      <c r="S31" s="1508">
        <f t="shared" si="12"/>
        <v>100</v>
      </c>
      <c r="T31" s="1507" t="s">
        <v>11</v>
      </c>
      <c r="U31" s="1508">
        <f t="shared" si="13"/>
        <v>100</v>
      </c>
      <c r="V31" s="1507" t="s">
        <v>11</v>
      </c>
      <c r="W31" s="1508">
        <f t="shared" si="14"/>
        <v>100</v>
      </c>
      <c r="X31" s="1501"/>
      <c r="Y31" s="3526"/>
      <c r="Z31" s="1509">
        <f t="shared" si="15"/>
        <v>111</v>
      </c>
      <c r="AA31" s="1510">
        <f t="shared" si="3"/>
        <v>1</v>
      </c>
      <c r="AB31" s="1510">
        <f t="shared" si="4"/>
        <v>1</v>
      </c>
      <c r="AC31" s="1510">
        <f t="shared" si="5"/>
        <v>1</v>
      </c>
    </row>
    <row r="32" spans="1:29" ht="15">
      <c r="A32" s="2624" t="s">
        <v>2735</v>
      </c>
      <c r="B32" s="3307" t="s">
        <v>719</v>
      </c>
      <c r="C32" s="3320" t="s">
        <v>3191</v>
      </c>
      <c r="D32" s="591">
        <v>100</v>
      </c>
      <c r="E32" s="3321" t="s">
        <v>3192</v>
      </c>
      <c r="F32" s="569">
        <f>SUMIF(100:100,E32,101:101)-SUMIF(100:100,C32,101:101)+100</f>
        <v>98</v>
      </c>
      <c r="G32" s="3320" t="s">
        <v>3193</v>
      </c>
      <c r="H32" s="591">
        <f>SUMIF(100:100,G32,101:101)-SUMIF(100:100,C32,101:101)+100</f>
        <v>98</v>
      </c>
      <c r="I32" s="3321" t="s">
        <v>3194</v>
      </c>
      <c r="J32" s="534">
        <f>SUMIF(100:100,I32,101:101)-SUMIF(100:100,C32,101:101)+100</f>
        <v>98</v>
      </c>
      <c r="K32" s="853">
        <v>2</v>
      </c>
      <c r="L32" s="2024"/>
      <c r="M32" s="2016"/>
      <c r="N32" s="2016"/>
      <c r="O32" s="2023"/>
      <c r="P32" s="3527" t="s">
        <v>544</v>
      </c>
      <c r="Q32" s="1506" t="str">
        <f t="shared" si="11"/>
        <v>建筑类型</v>
      </c>
      <c r="R32" s="1507" t="s">
        <v>11</v>
      </c>
      <c r="S32" s="1508">
        <f t="shared" si="12"/>
        <v>98</v>
      </c>
      <c r="T32" s="1507" t="s">
        <v>11</v>
      </c>
      <c r="U32" s="1508">
        <f t="shared" si="13"/>
        <v>98</v>
      </c>
      <c r="V32" s="1507" t="s">
        <v>11</v>
      </c>
      <c r="W32" s="1508">
        <f t="shared" si="14"/>
        <v>98</v>
      </c>
      <c r="X32" s="1501"/>
      <c r="Y32" s="3528" t="s">
        <v>544</v>
      </c>
      <c r="Z32" s="1509" t="str">
        <f t="shared" si="15"/>
        <v>建筑类型</v>
      </c>
      <c r="AA32" s="1510">
        <f t="shared" si="3"/>
        <v>1.0204081632653061</v>
      </c>
      <c r="AB32" s="1510">
        <f t="shared" si="4"/>
        <v>1.0204081632653061</v>
      </c>
      <c r="AC32" s="1510">
        <f t="shared" si="5"/>
        <v>1.0204081632653061</v>
      </c>
    </row>
    <row r="33" spans="1:29" s="1292" customFormat="1" ht="15">
      <c r="A33" s="597"/>
      <c r="B33" s="521" t="s">
        <v>720</v>
      </c>
      <c r="C33" s="868">
        <f>'数据-汇总表'!E27</f>
        <v>103024.827</v>
      </c>
      <c r="D33" s="253">
        <v>100</v>
      </c>
      <c r="E33" s="528">
        <v>158986.5</v>
      </c>
      <c r="F33" s="852">
        <f>LOOKUP(E33,103:103,104:104)-LOOKUP(C33,103:103,104:104)+100</f>
        <v>101</v>
      </c>
      <c r="G33" s="527">
        <v>128221</v>
      </c>
      <c r="H33" s="253">
        <f>LOOKUP(G33,103:103,104:104)-LOOKUP(C33,103:103,104:104)+100</f>
        <v>100</v>
      </c>
      <c r="I33" s="528">
        <v>243000</v>
      </c>
      <c r="J33" s="253">
        <f>LOOKUP(I33,103:103,104:104)-LOOKUP(C33,103:103,104:104)+100</f>
        <v>102</v>
      </c>
      <c r="K33" s="854"/>
      <c r="L33" s="2022"/>
      <c r="M33" s="2052"/>
      <c r="N33" s="2052"/>
      <c r="O33" s="2025"/>
      <c r="P33" s="3528"/>
      <c r="Q33" s="1535" t="str">
        <f t="shared" si="11"/>
        <v>项目建筑规模</v>
      </c>
      <c r="R33" s="1511" t="s">
        <v>11</v>
      </c>
      <c r="S33" s="1512">
        <f t="shared" si="12"/>
        <v>101</v>
      </c>
      <c r="T33" s="1511" t="s">
        <v>11</v>
      </c>
      <c r="U33" s="1512">
        <f t="shared" si="13"/>
        <v>100</v>
      </c>
      <c r="V33" s="1511" t="s">
        <v>11</v>
      </c>
      <c r="W33" s="1512">
        <f t="shared" si="14"/>
        <v>102</v>
      </c>
      <c r="X33" s="1513"/>
      <c r="Y33" s="3528"/>
      <c r="Z33" s="1514" t="str">
        <f t="shared" si="15"/>
        <v>项目建筑规模</v>
      </c>
      <c r="AA33" s="1510">
        <f t="shared" si="3"/>
        <v>0.99009900990099009</v>
      </c>
      <c r="AB33" s="1510">
        <f t="shared" si="4"/>
        <v>1</v>
      </c>
      <c r="AC33" s="1510">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4"/>
      <c r="M34" s="2016"/>
      <c r="N34" s="2016"/>
      <c r="O34" s="2023"/>
      <c r="P34" s="3528"/>
      <c r="Q34" s="1506" t="str">
        <f t="shared" si="11"/>
        <v>建筑结构</v>
      </c>
      <c r="R34" s="1507" t="s">
        <v>11</v>
      </c>
      <c r="S34" s="1508">
        <f t="shared" si="12"/>
        <v>100</v>
      </c>
      <c r="T34" s="1507" t="s">
        <v>11</v>
      </c>
      <c r="U34" s="1508">
        <f t="shared" si="13"/>
        <v>100</v>
      </c>
      <c r="V34" s="1507" t="s">
        <v>11</v>
      </c>
      <c r="W34" s="1508">
        <f t="shared" si="14"/>
        <v>100</v>
      </c>
      <c r="X34" s="1501"/>
      <c r="Y34" s="352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8"/>
      <c r="Q35" s="1506" t="str">
        <f t="shared" si="11"/>
        <v>建筑品质</v>
      </c>
      <c r="R35" s="1507" t="s">
        <v>11</v>
      </c>
      <c r="S35" s="1508">
        <f t="shared" si="12"/>
        <v>100</v>
      </c>
      <c r="T35" s="1507" t="s">
        <v>11</v>
      </c>
      <c r="U35" s="1508">
        <f t="shared" si="13"/>
        <v>100</v>
      </c>
      <c r="V35" s="1507" t="s">
        <v>11</v>
      </c>
      <c r="W35" s="1508">
        <f t="shared" si="14"/>
        <v>100</v>
      </c>
      <c r="X35" s="1501"/>
      <c r="Y35" s="352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28"/>
      <c r="Q36" s="1506" t="str">
        <f t="shared" si="11"/>
        <v>公共部分装修</v>
      </c>
      <c r="R36" s="1507" t="s">
        <v>11</v>
      </c>
      <c r="S36" s="1508">
        <f t="shared" si="12"/>
        <v>100</v>
      </c>
      <c r="T36" s="1507" t="s">
        <v>11</v>
      </c>
      <c r="U36" s="1508">
        <f t="shared" si="13"/>
        <v>100</v>
      </c>
      <c r="V36" s="1507" t="s">
        <v>11</v>
      </c>
      <c r="W36" s="1508">
        <f t="shared" si="14"/>
        <v>100</v>
      </c>
      <c r="X36" s="1501"/>
      <c r="Y36" s="352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28"/>
      <c r="Q37" s="1133" t="str">
        <f t="shared" si="11"/>
        <v>成新度</v>
      </c>
      <c r="R37" s="1502" t="s">
        <v>11</v>
      </c>
      <c r="S37" s="1503">
        <f t="shared" si="12"/>
        <v>100</v>
      </c>
      <c r="T37" s="1502" t="s">
        <v>11</v>
      </c>
      <c r="U37" s="1503">
        <f t="shared" si="13"/>
        <v>100</v>
      </c>
      <c r="V37" s="1502" t="s">
        <v>11</v>
      </c>
      <c r="W37" s="1503">
        <f t="shared" si="14"/>
        <v>100</v>
      </c>
      <c r="X37" s="1504"/>
      <c r="Y37" s="352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28" t="s">
        <v>544</v>
      </c>
      <c r="Q38" s="1506" t="str">
        <f t="shared" si="11"/>
        <v>物业管理</v>
      </c>
      <c r="R38" s="1507" t="s">
        <v>11</v>
      </c>
      <c r="S38" s="1508">
        <f t="shared" si="12"/>
        <v>100</v>
      </c>
      <c r="T38" s="1507" t="s">
        <v>11</v>
      </c>
      <c r="U38" s="1508">
        <f t="shared" si="13"/>
        <v>100</v>
      </c>
      <c r="V38" s="1507" t="s">
        <v>11</v>
      </c>
      <c r="W38" s="1508">
        <f t="shared" si="14"/>
        <v>100</v>
      </c>
      <c r="X38" s="1501"/>
      <c r="Y38" s="352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8"/>
      <c r="Q39" s="1506" t="str">
        <f t="shared" si="11"/>
        <v>市政基础设施</v>
      </c>
      <c r="R39" s="1507" t="s">
        <v>11</v>
      </c>
      <c r="S39" s="1508">
        <f t="shared" si="12"/>
        <v>100</v>
      </c>
      <c r="T39" s="1507" t="s">
        <v>11</v>
      </c>
      <c r="U39" s="1508">
        <f t="shared" si="13"/>
        <v>100</v>
      </c>
      <c r="V39" s="1507" t="s">
        <v>11</v>
      </c>
      <c r="W39" s="1508">
        <f t="shared" si="14"/>
        <v>100</v>
      </c>
      <c r="X39" s="1501"/>
      <c r="Y39" s="352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8"/>
      <c r="Q40" s="1506" t="str">
        <f t="shared" si="11"/>
        <v>房型</v>
      </c>
      <c r="R40" s="1507" t="s">
        <v>11</v>
      </c>
      <c r="S40" s="1508">
        <f t="shared" si="12"/>
        <v>100</v>
      </c>
      <c r="T40" s="1507" t="s">
        <v>11</v>
      </c>
      <c r="U40" s="1508">
        <f t="shared" si="13"/>
        <v>100</v>
      </c>
      <c r="V40" s="1507" t="s">
        <v>11</v>
      </c>
      <c r="W40" s="1508">
        <f t="shared" si="14"/>
        <v>100</v>
      </c>
      <c r="X40" s="1501"/>
      <c r="Y40" s="352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8"/>
      <c r="Q41" s="1535" t="str">
        <f t="shared" si="11"/>
        <v>单套/主力户型建筑面积</v>
      </c>
      <c r="R41" s="1511" t="s">
        <v>11</v>
      </c>
      <c r="S41" s="1512">
        <f t="shared" si="12"/>
        <v>100</v>
      </c>
      <c r="T41" s="1511" t="s">
        <v>11</v>
      </c>
      <c r="U41" s="1512">
        <f t="shared" si="13"/>
        <v>100</v>
      </c>
      <c r="V41" s="1511" t="s">
        <v>11</v>
      </c>
      <c r="W41" s="1512">
        <f t="shared" si="14"/>
        <v>100</v>
      </c>
      <c r="X41" s="1513"/>
      <c r="Y41" s="3528"/>
      <c r="Z41" s="1514" t="str">
        <f t="shared" si="15"/>
        <v>单套/主力户型建筑面积</v>
      </c>
      <c r="AA41" s="1510">
        <f t="shared" si="3"/>
        <v>1</v>
      </c>
      <c r="AB41" s="1510">
        <f t="shared" si="4"/>
        <v>1</v>
      </c>
      <c r="AC41" s="1510">
        <f t="shared" si="5"/>
        <v>1</v>
      </c>
    </row>
    <row r="42" spans="1:29" ht="15">
      <c r="A42" s="588"/>
      <c r="B42" s="521" t="s">
        <v>728</v>
      </c>
      <c r="C42" s="3305" t="s">
        <v>3174</v>
      </c>
      <c r="D42" s="534">
        <v>100</v>
      </c>
      <c r="E42" s="3306" t="s">
        <v>3174</v>
      </c>
      <c r="F42" s="569">
        <f>SUMIF(122:122,E42,123:123)-SUMIF(122:122,C42,123:123)+100</f>
        <v>100</v>
      </c>
      <c r="G42" s="3305" t="s">
        <v>3174</v>
      </c>
      <c r="H42" s="534">
        <f>SUMIF(122:122,G42,123:123)-SUMIF(122:122,C42,123:123)+100</f>
        <v>100</v>
      </c>
      <c r="I42" s="3306" t="s">
        <v>3175</v>
      </c>
      <c r="J42" s="534">
        <f>SUMIF(122:122,I42,123:123)-SUMIF(122:122,C42,123:123)+100</f>
        <v>100</v>
      </c>
      <c r="K42" s="853"/>
      <c r="L42" s="2024"/>
      <c r="M42" s="2016"/>
      <c r="N42" s="2016"/>
      <c r="O42" s="2023"/>
      <c r="P42" s="3528"/>
      <c r="Q42" s="1506" t="str">
        <f t="shared" si="11"/>
        <v>内部装修</v>
      </c>
      <c r="R42" s="1507" t="s">
        <v>11</v>
      </c>
      <c r="S42" s="1508">
        <f t="shared" si="12"/>
        <v>100</v>
      </c>
      <c r="T42" s="1507" t="s">
        <v>11</v>
      </c>
      <c r="U42" s="1508">
        <f t="shared" si="13"/>
        <v>100</v>
      </c>
      <c r="V42" s="1507" t="s">
        <v>11</v>
      </c>
      <c r="W42" s="1508">
        <f t="shared" si="14"/>
        <v>100</v>
      </c>
      <c r="X42" s="1501"/>
      <c r="Y42" s="3528"/>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8"/>
      <c r="Q43" s="1506" t="str">
        <f t="shared" si="11"/>
        <v>内部装修维护情况</v>
      </c>
      <c r="R43" s="1507" t="s">
        <v>11</v>
      </c>
      <c r="S43" s="1508">
        <f t="shared" si="12"/>
        <v>100</v>
      </c>
      <c r="T43" s="1507" t="s">
        <v>11</v>
      </c>
      <c r="U43" s="1508">
        <f t="shared" si="13"/>
        <v>100</v>
      </c>
      <c r="V43" s="1507" t="s">
        <v>11</v>
      </c>
      <c r="W43" s="1508">
        <f t="shared" si="14"/>
        <v>100</v>
      </c>
      <c r="X43" s="1501"/>
      <c r="Y43" s="352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28"/>
      <c r="Q44" s="1133">
        <f t="shared" si="11"/>
        <v>111</v>
      </c>
      <c r="R44" s="1502" t="s">
        <v>11</v>
      </c>
      <c r="S44" s="1503">
        <f t="shared" si="12"/>
        <v>100</v>
      </c>
      <c r="T44" s="1502" t="s">
        <v>11</v>
      </c>
      <c r="U44" s="1503">
        <f t="shared" si="13"/>
        <v>100</v>
      </c>
      <c r="V44" s="1502" t="s">
        <v>11</v>
      </c>
      <c r="W44" s="1503">
        <f t="shared" si="14"/>
        <v>100</v>
      </c>
      <c r="X44" s="1504"/>
      <c r="Y44" s="352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8"/>
      <c r="Q45" s="1506">
        <f t="shared" si="11"/>
        <v>111</v>
      </c>
      <c r="R45" s="1507" t="s">
        <v>11</v>
      </c>
      <c r="S45" s="1508">
        <f t="shared" si="12"/>
        <v>100</v>
      </c>
      <c r="T45" s="1507" t="s">
        <v>11</v>
      </c>
      <c r="U45" s="1508">
        <f t="shared" si="13"/>
        <v>100</v>
      </c>
      <c r="V45" s="1507" t="s">
        <v>11</v>
      </c>
      <c r="W45" s="1508">
        <f t="shared" si="14"/>
        <v>100</v>
      </c>
      <c r="X45" s="1501"/>
      <c r="Y45" s="3528"/>
      <c r="Z45" s="1509">
        <f t="shared" si="15"/>
        <v>111</v>
      </c>
      <c r="AA45" s="1510">
        <f t="shared" si="3"/>
        <v>1</v>
      </c>
      <c r="AB45" s="1510">
        <f t="shared" si="4"/>
        <v>1</v>
      </c>
      <c r="AC45" s="1510">
        <f t="shared" si="5"/>
        <v>1</v>
      </c>
    </row>
    <row r="46" spans="1:29" ht="15.75" thickBot="1">
      <c r="A46" s="874"/>
      <c r="B46" s="538">
        <v>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1"/>
      <c r="Q46" s="1506">
        <f t="shared" si="11"/>
        <v>1</v>
      </c>
      <c r="R46" s="1507" t="s">
        <v>10</v>
      </c>
      <c r="S46" s="1508">
        <f t="shared" si="12"/>
        <v>100</v>
      </c>
      <c r="T46" s="1507" t="s">
        <v>10</v>
      </c>
      <c r="U46" s="1508">
        <f t="shared" si="13"/>
        <v>100</v>
      </c>
      <c r="V46" s="1507" t="s">
        <v>10</v>
      </c>
      <c r="W46" s="1508">
        <f t="shared" si="14"/>
        <v>100</v>
      </c>
      <c r="X46" s="1501"/>
      <c r="Y46" s="3631"/>
      <c r="Z46" s="1509">
        <f t="shared" si="15"/>
        <v>1</v>
      </c>
      <c r="AA46" s="1510">
        <f t="shared" si="3"/>
        <v>1</v>
      </c>
      <c r="AB46" s="1510">
        <f t="shared" si="4"/>
        <v>1</v>
      </c>
      <c r="AC46" s="1510">
        <f t="shared" si="5"/>
        <v>1</v>
      </c>
    </row>
    <row r="47" spans="1:29" ht="15">
      <c r="A47" s="601" t="s">
        <v>730</v>
      </c>
      <c r="B47" s="875"/>
      <c r="C47" s="2470" t="s">
        <v>9</v>
      </c>
      <c r="D47" s="2471"/>
      <c r="E47" s="2472">
        <f>ROUND(B46*67700,0)</f>
        <v>67700</v>
      </c>
      <c r="F47" s="2473"/>
      <c r="G47" s="2474">
        <f>ROUND(B46*67700,0)</f>
        <v>67700</v>
      </c>
      <c r="H47" s="2475"/>
      <c r="I47" s="2472">
        <f>ROUND(B46*67700,0)</f>
        <v>67700</v>
      </c>
      <c r="J47" s="2475"/>
      <c r="K47" s="1536"/>
      <c r="L47" s="2026"/>
      <c r="M47" s="2027"/>
      <c r="N47" s="2016"/>
      <c r="O47" s="2027"/>
      <c r="P47" s="3523" t="str">
        <f>A47</f>
        <v>成交单价（元/平方米）</v>
      </c>
      <c r="Q47" s="3523"/>
      <c r="R47" s="3630">
        <f>E47</f>
        <v>67700</v>
      </c>
      <c r="S47" s="3630"/>
      <c r="T47" s="3630">
        <f>G47</f>
        <v>67700</v>
      </c>
      <c r="U47" s="3630"/>
      <c r="V47" s="3630">
        <f>I47</f>
        <v>67700</v>
      </c>
      <c r="W47" s="3630"/>
      <c r="X47" s="1496"/>
      <c r="Y47" s="1515"/>
      <c r="Z47" s="1496"/>
      <c r="AA47" s="1496"/>
      <c r="AB47" s="1496"/>
      <c r="AC47" s="1496"/>
    </row>
    <row r="48" spans="1:29" ht="15.75" thickBot="1">
      <c r="A48" s="609" t="s">
        <v>2740</v>
      </c>
      <c r="B48" s="876"/>
      <c r="C48" s="2476">
        <f>R49</f>
        <v>64457</v>
      </c>
      <c r="D48" s="3011" t="s">
        <v>2969</v>
      </c>
      <c r="E48" s="2477">
        <f>R48</f>
        <v>64453</v>
      </c>
      <c r="F48" s="3012"/>
      <c r="G48" s="2476">
        <f>T48</f>
        <v>65097</v>
      </c>
      <c r="H48" s="3012"/>
      <c r="I48" s="2477">
        <f>V48</f>
        <v>63821</v>
      </c>
      <c r="J48" s="3012"/>
      <c r="K48" s="3020">
        <f>F48+H48+J48</f>
        <v>0</v>
      </c>
      <c r="L48" s="2026"/>
      <c r="M48" s="2027"/>
      <c r="N48" s="2027"/>
      <c r="O48" s="2027"/>
      <c r="P48" s="3523" t="str">
        <f>A48</f>
        <v>比较价格（元/平方米）</v>
      </c>
      <c r="Q48" s="3523"/>
      <c r="R48" s="3630">
        <f>IF(F1="售价",ROUND(PRODUCT(R47,AA7:AA46),0),ROUND(PRODUCT(R47,AA7:AA46),1))</f>
        <v>64453</v>
      </c>
      <c r="S48" s="3630"/>
      <c r="T48" s="3630">
        <f>IF(F1="售价",ROUND(PRODUCT(T47,AB7:AB46),0),ROUND(PRODUCT(T47,AB7:AB46),1))</f>
        <v>65097</v>
      </c>
      <c r="U48" s="3630"/>
      <c r="V48" s="3630">
        <f>IF(F1="售价",ROUND(PRODUCT(V47,AC7:AC46),0),ROUND(PRODUCT(V47,AC7:AC46),1))</f>
        <v>63821</v>
      </c>
      <c r="W48" s="3630"/>
      <c r="X48" s="1496"/>
      <c r="Y48" s="1496"/>
      <c r="Z48" s="1496"/>
      <c r="AA48" s="1496"/>
      <c r="AB48" s="1496"/>
      <c r="AC48" s="1496"/>
    </row>
    <row r="49" spans="1:29" ht="15.75" thickBot="1">
      <c r="A49" s="613" t="s">
        <v>2901</v>
      </c>
      <c r="B49" s="614"/>
      <c r="C49" s="2478">
        <f>R49</f>
        <v>64457</v>
      </c>
      <c r="D49" s="2478"/>
      <c r="E49" s="2478"/>
      <c r="F49" s="2478"/>
      <c r="G49" s="2478"/>
      <c r="H49" s="2478"/>
      <c r="I49" s="2478"/>
      <c r="J49" s="2478"/>
      <c r="K49" s="1537"/>
      <c r="L49" s="2026"/>
      <c r="M49" s="2027"/>
      <c r="N49" s="2027"/>
      <c r="O49" s="2027"/>
      <c r="P49" s="3544" t="str">
        <f>A49</f>
        <v>估价对象XX用房的比较价格（楼面单价，元/平方米）</v>
      </c>
      <c r="Q49" s="3545"/>
      <c r="R49" s="3629">
        <f>IF(F1="售价",ROUND(IF(D48="简单平均",AVERAGE(R48:V48),R48*F48+T48*H48+V48*J48),0),ROUND(IF(D48="简单平均",AVERAGE(R48:V48),R48*F48+T48*H48+V48*J48),1))</f>
        <v>64457</v>
      </c>
      <c r="S49" s="3629"/>
      <c r="T49" s="3629"/>
      <c r="U49" s="3629"/>
      <c r="V49" s="3629"/>
      <c r="W49" s="362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5.0377794672086695E-2</v>
      </c>
      <c r="F52" s="619" t="str">
        <f>IF(OR(E52&gt;=0.3,E52&lt;=-0.3),"超过30%","")</f>
        <v/>
      </c>
      <c r="G52" s="618">
        <f>IF(G47&lt;G48,G48/G47-1,G47/G48-1)</f>
        <v>3.9986481711906885E-2</v>
      </c>
      <c r="H52" s="619" t="str">
        <f>IF(OR(G52&gt;=0.3,G52&lt;=-0.3),"超过30%","")</f>
        <v/>
      </c>
      <c r="I52" s="618">
        <f>IF(I47&lt;I48,I48/I47-1,I47/I48-1)</f>
        <v>6.0779367292897346E-2</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9.9917769537491985E-3</v>
      </c>
      <c r="F53" s="619" t="str">
        <f>IF(OR(E53&gt;=0.2,E53&lt;=-0.2),"超过20%","")</f>
        <v/>
      </c>
      <c r="G53" s="618">
        <f>IF(G48&lt;I48,I48/G48-1,G48/I48-1)</f>
        <v>1.9993419094028519E-2</v>
      </c>
      <c r="H53" s="619" t="str">
        <f>IF(OR(G53&gt;=0.2,G53&lt;=-0.2),"超过20%","")</f>
        <v/>
      </c>
      <c r="I53" s="618">
        <f>IF(I48&lt;E48,E48/I48-1,I48/E48-1)</f>
        <v>9.902696604565886E-3</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v>
      </c>
      <c r="F54" s="619" t="str">
        <f>IF(OR(E54&gt;=0.3,E54&lt;=-0.3),"超过30%","")</f>
        <v/>
      </c>
      <c r="G54" s="618">
        <f>IF(G47&lt;I47,I47/G47-1,G47/I47-1)</f>
        <v>0</v>
      </c>
      <c r="H54" s="619" t="str">
        <f>IF(OR(G54&gt;=0.3,G54&lt;=-0.3),"超过30%","")</f>
        <v/>
      </c>
      <c r="I54" s="618">
        <f>IF(I47&lt;E47,E47/I47-1,I47/E47-1)</f>
        <v>0</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22" t="s">
        <v>3191</v>
      </c>
      <c r="D100" s="3322" t="s">
        <v>3194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250000(含)-300000</v>
      </c>
      <c r="I102" s="700" t="str">
        <f t="shared" si="23"/>
        <v>300000(含)-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v>
      </c>
      <c r="E103" s="722">
        <v>100000</v>
      </c>
      <c r="F103" s="722">
        <v>150000</v>
      </c>
      <c r="G103" s="722">
        <v>200000</v>
      </c>
      <c r="H103" s="722">
        <v>250000</v>
      </c>
      <c r="I103" s="722">
        <v>300000</v>
      </c>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v>104</v>
      </c>
      <c r="H104" s="663">
        <v>105</v>
      </c>
      <c r="I104" s="663">
        <v>106</v>
      </c>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9" t="s">
        <v>516</v>
      </c>
      <c r="D4" s="3530"/>
      <c r="E4" s="3554" t="s">
        <v>517</v>
      </c>
      <c r="F4" s="3555"/>
      <c r="G4" s="3529" t="s">
        <v>518</v>
      </c>
      <c r="H4" s="3530"/>
      <c r="I4" s="3529" t="s">
        <v>519</v>
      </c>
      <c r="J4" s="3530"/>
      <c r="K4" s="508"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37"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37"/>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37"/>
      <c r="AC6" s="3514"/>
    </row>
    <row r="7" spans="1:29" s="1202" customFormat="1" ht="15.75" thickBot="1">
      <c r="A7" s="2628"/>
      <c r="B7" s="2635" t="s">
        <v>523</v>
      </c>
      <c r="C7" s="513">
        <f>'数据-取费表'!B2</f>
        <v>44405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5"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46" si="3">D8/F8</f>
        <v>#DIV/0!</v>
      </c>
      <c r="AB8" s="1505" t="e">
        <f t="shared" ref="AB8:AB46" si="4">D8/H8</f>
        <v>#DIV/0!</v>
      </c>
      <c r="AC8" s="1505"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25" t="s">
        <v>534</v>
      </c>
      <c r="Q15" s="1506" t="str">
        <f t="shared" si="6"/>
        <v>商业繁华度</v>
      </c>
      <c r="R15" s="1507" t="s">
        <v>8</v>
      </c>
      <c r="S15" s="1508">
        <f t="shared" si="0"/>
        <v>100</v>
      </c>
      <c r="T15" s="1507" t="s">
        <v>8</v>
      </c>
      <c r="U15" s="1508">
        <f t="shared" si="1"/>
        <v>100</v>
      </c>
      <c r="V15" s="1507" t="s">
        <v>8</v>
      </c>
      <c r="W15" s="1508">
        <f t="shared" si="2"/>
        <v>100</v>
      </c>
      <c r="X15" s="1501"/>
      <c r="Y15" s="352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26"/>
      <c r="Q22" s="2429"/>
      <c r="R22" s="1507"/>
      <c r="S22" s="1508"/>
      <c r="T22" s="1507"/>
      <c r="U22" s="1508"/>
      <c r="V22" s="1507"/>
      <c r="W22" s="1508"/>
      <c r="X22" s="2431"/>
      <c r="Y22" s="3526"/>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26"/>
      <c r="Q23" s="1506" t="str">
        <f>B23</f>
        <v>自然及人文环境</v>
      </c>
      <c r="R23" s="1507" t="s">
        <v>8</v>
      </c>
      <c r="S23" s="1508">
        <f>F23</f>
        <v>100</v>
      </c>
      <c r="T23" s="1507" t="s">
        <v>8</v>
      </c>
      <c r="U23" s="1508">
        <f>H23</f>
        <v>100</v>
      </c>
      <c r="V23" s="1507" t="s">
        <v>8</v>
      </c>
      <c r="W23" s="1508">
        <f>J23</f>
        <v>100</v>
      </c>
      <c r="X23" s="1501"/>
      <c r="Y23" s="352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6"/>
      <c r="Q25" s="1506" t="str">
        <f t="shared" ref="Q25:Q46" si="11">B25</f>
        <v>临街状况</v>
      </c>
      <c r="R25" s="1507" t="s">
        <v>8</v>
      </c>
      <c r="S25" s="1508">
        <f>F25</f>
        <v>100</v>
      </c>
      <c r="T25" s="1507" t="s">
        <v>8</v>
      </c>
      <c r="U25" s="1508">
        <f>H25</f>
        <v>100</v>
      </c>
      <c r="V25" s="1507" t="s">
        <v>8</v>
      </c>
      <c r="W25" s="1508">
        <f>J25</f>
        <v>100</v>
      </c>
      <c r="X25" s="1501"/>
      <c r="Y25" s="352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6"/>
      <c r="Q26" s="1506" t="str">
        <f t="shared" si="11"/>
        <v>平面位置/可视性</v>
      </c>
      <c r="R26" s="1507" t="s">
        <v>8</v>
      </c>
      <c r="S26" s="1508">
        <f>F26</f>
        <v>100</v>
      </c>
      <c r="T26" s="1507" t="s">
        <v>8</v>
      </c>
      <c r="U26" s="1508">
        <f>H26</f>
        <v>100</v>
      </c>
      <c r="V26" s="1507" t="s">
        <v>8</v>
      </c>
      <c r="W26" s="1508">
        <f>J26</f>
        <v>100</v>
      </c>
      <c r="X26" s="1501"/>
      <c r="Y26" s="352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26"/>
      <c r="Q27" s="1133" t="str">
        <f t="shared" si="11"/>
        <v>人流量</v>
      </c>
      <c r="R27" s="1502" t="s">
        <v>8</v>
      </c>
      <c r="S27" s="1503">
        <f>F27</f>
        <v>100</v>
      </c>
      <c r="T27" s="1502" t="s">
        <v>8</v>
      </c>
      <c r="U27" s="1503">
        <f>H27</f>
        <v>100</v>
      </c>
      <c r="V27" s="1502" t="s">
        <v>8</v>
      </c>
      <c r="W27" s="1503">
        <f>J27</f>
        <v>100</v>
      </c>
      <c r="X27" s="1504"/>
      <c r="Y27" s="352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6"/>
      <c r="Q29" s="1506">
        <f t="shared" si="11"/>
        <v>111</v>
      </c>
      <c r="R29" s="1507" t="s">
        <v>8</v>
      </c>
      <c r="S29" s="1508">
        <f t="shared" si="12"/>
        <v>100</v>
      </c>
      <c r="T29" s="1507" t="s">
        <v>8</v>
      </c>
      <c r="U29" s="1508">
        <f t="shared" si="13"/>
        <v>100</v>
      </c>
      <c r="V29" s="1507" t="s">
        <v>8</v>
      </c>
      <c r="W29" s="1508">
        <f t="shared" si="14"/>
        <v>100</v>
      </c>
      <c r="X29" s="1501"/>
      <c r="Y29" s="352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6"/>
      <c r="Q30" s="1506">
        <f t="shared" si="11"/>
        <v>111</v>
      </c>
      <c r="R30" s="1507" t="s">
        <v>8</v>
      </c>
      <c r="S30" s="1508">
        <f t="shared" si="12"/>
        <v>100</v>
      </c>
      <c r="T30" s="1507" t="s">
        <v>8</v>
      </c>
      <c r="U30" s="1508">
        <f t="shared" si="13"/>
        <v>100</v>
      </c>
      <c r="V30" s="1507" t="s">
        <v>8</v>
      </c>
      <c r="W30" s="1508">
        <f t="shared" si="14"/>
        <v>100</v>
      </c>
      <c r="X30" s="1501"/>
      <c r="Y30" s="352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6"/>
      <c r="Q31" s="1506">
        <f t="shared" si="11"/>
        <v>111</v>
      </c>
      <c r="R31" s="1507" t="s">
        <v>8</v>
      </c>
      <c r="S31" s="1508">
        <f t="shared" si="12"/>
        <v>100</v>
      </c>
      <c r="T31" s="1507" t="s">
        <v>8</v>
      </c>
      <c r="U31" s="1508">
        <f t="shared" si="13"/>
        <v>100</v>
      </c>
      <c r="V31" s="1507" t="s">
        <v>8</v>
      </c>
      <c r="W31" s="1508">
        <f t="shared" si="14"/>
        <v>100</v>
      </c>
      <c r="X31" s="1501"/>
      <c r="Y31" s="3526"/>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7" t="s">
        <v>544</v>
      </c>
      <c r="Q32" s="1506" t="str">
        <f t="shared" si="11"/>
        <v>商业类型</v>
      </c>
      <c r="R32" s="1507" t="s">
        <v>8</v>
      </c>
      <c r="S32" s="1508">
        <f t="shared" si="12"/>
        <v>100</v>
      </c>
      <c r="T32" s="1507" t="s">
        <v>8</v>
      </c>
      <c r="U32" s="1508">
        <f t="shared" si="13"/>
        <v>100</v>
      </c>
      <c r="V32" s="1507" t="s">
        <v>8</v>
      </c>
      <c r="W32" s="1508">
        <f t="shared" si="14"/>
        <v>100</v>
      </c>
      <c r="X32" s="1501"/>
      <c r="Y32" s="352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8"/>
      <c r="Q33" s="1535" t="str">
        <f t="shared" si="11"/>
        <v>项目建筑规模</v>
      </c>
      <c r="R33" s="1511" t="s">
        <v>8</v>
      </c>
      <c r="S33" s="1512" t="e">
        <f t="shared" si="12"/>
        <v>#N/A</v>
      </c>
      <c r="T33" s="1511" t="s">
        <v>8</v>
      </c>
      <c r="U33" s="1512" t="e">
        <f t="shared" si="13"/>
        <v>#N/A</v>
      </c>
      <c r="V33" s="1511" t="s">
        <v>8</v>
      </c>
      <c r="W33" s="1512" t="e">
        <f t="shared" si="14"/>
        <v>#N/A</v>
      </c>
      <c r="X33" s="1513"/>
      <c r="Y33" s="352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28"/>
      <c r="Q34" s="1506" t="str">
        <f t="shared" si="11"/>
        <v>建筑结构</v>
      </c>
      <c r="R34" s="1507" t="s">
        <v>8</v>
      </c>
      <c r="S34" s="1508">
        <f t="shared" si="12"/>
        <v>100</v>
      </c>
      <c r="T34" s="1507" t="s">
        <v>8</v>
      </c>
      <c r="U34" s="1508">
        <f t="shared" si="13"/>
        <v>100</v>
      </c>
      <c r="V34" s="1507" t="s">
        <v>8</v>
      </c>
      <c r="W34" s="1508">
        <f t="shared" si="14"/>
        <v>100</v>
      </c>
      <c r="X34" s="1501"/>
      <c r="Y34" s="352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8"/>
      <c r="Q35" s="1506" t="str">
        <f t="shared" si="11"/>
        <v>公共部分装修</v>
      </c>
      <c r="R35" s="1507" t="s">
        <v>8</v>
      </c>
      <c r="S35" s="1508">
        <f t="shared" si="12"/>
        <v>100</v>
      </c>
      <c r="T35" s="1507" t="s">
        <v>8</v>
      </c>
      <c r="U35" s="1508">
        <f t="shared" si="13"/>
        <v>100</v>
      </c>
      <c r="V35" s="1507" t="s">
        <v>8</v>
      </c>
      <c r="W35" s="1508">
        <f t="shared" si="14"/>
        <v>100</v>
      </c>
      <c r="X35" s="1501"/>
      <c r="Y35" s="352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28"/>
      <c r="Q36" s="1506" t="str">
        <f t="shared" si="11"/>
        <v>成新度</v>
      </c>
      <c r="R36" s="1507" t="s">
        <v>8</v>
      </c>
      <c r="S36" s="1508" t="e">
        <f t="shared" si="12"/>
        <v>#N/A</v>
      </c>
      <c r="T36" s="1507" t="s">
        <v>8</v>
      </c>
      <c r="U36" s="1508" t="e">
        <f t="shared" si="13"/>
        <v>#N/A</v>
      </c>
      <c r="V36" s="1507" t="s">
        <v>8</v>
      </c>
      <c r="W36" s="1508" t="e">
        <f t="shared" si="14"/>
        <v>#N/A</v>
      </c>
      <c r="X36" s="1501"/>
      <c r="Y36" s="3528"/>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8"/>
      <c r="Q37" s="1133" t="str">
        <f t="shared" si="11"/>
        <v>市政基础设施</v>
      </c>
      <c r="R37" s="1502" t="s">
        <v>8</v>
      </c>
      <c r="S37" s="1503">
        <f t="shared" si="12"/>
        <v>100</v>
      </c>
      <c r="T37" s="1502" t="s">
        <v>8</v>
      </c>
      <c r="U37" s="1503">
        <f t="shared" si="13"/>
        <v>100</v>
      </c>
      <c r="V37" s="1502" t="s">
        <v>8</v>
      </c>
      <c r="W37" s="1503">
        <f t="shared" si="14"/>
        <v>100</v>
      </c>
      <c r="X37" s="1504"/>
      <c r="Y37" s="352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8" t="s">
        <v>760</v>
      </c>
      <c r="Q38" s="1506" t="str">
        <f t="shared" si="11"/>
        <v>业态</v>
      </c>
      <c r="R38" s="1507" t="s">
        <v>8</v>
      </c>
      <c r="S38" s="1508">
        <f t="shared" si="12"/>
        <v>100</v>
      </c>
      <c r="T38" s="1507" t="s">
        <v>8</v>
      </c>
      <c r="U38" s="1508">
        <f t="shared" si="13"/>
        <v>100</v>
      </c>
      <c r="V38" s="1507" t="s">
        <v>8</v>
      </c>
      <c r="W38" s="1508">
        <f t="shared" si="14"/>
        <v>100</v>
      </c>
      <c r="X38" s="1501"/>
      <c r="Y38" s="352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8"/>
      <c r="Q39" s="1506" t="str">
        <f t="shared" si="11"/>
        <v>层高</v>
      </c>
      <c r="R39" s="1507" t="s">
        <v>8</v>
      </c>
      <c r="S39" s="1508">
        <f t="shared" si="12"/>
        <v>100</v>
      </c>
      <c r="T39" s="1507" t="s">
        <v>8</v>
      </c>
      <c r="U39" s="1508">
        <f t="shared" si="13"/>
        <v>100</v>
      </c>
      <c r="V39" s="1507" t="s">
        <v>8</v>
      </c>
      <c r="W39" s="1508">
        <f t="shared" si="14"/>
        <v>100</v>
      </c>
      <c r="X39" s="1501"/>
      <c r="Y39" s="352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28"/>
      <c r="Q40" s="1506" t="str">
        <f t="shared" si="11"/>
        <v>单套建筑面积</v>
      </c>
      <c r="R40" s="1507" t="s">
        <v>8</v>
      </c>
      <c r="S40" s="1508">
        <f t="shared" si="12"/>
        <v>100</v>
      </c>
      <c r="T40" s="1507" t="s">
        <v>8</v>
      </c>
      <c r="U40" s="1508">
        <f t="shared" si="13"/>
        <v>100</v>
      </c>
      <c r="V40" s="1507" t="s">
        <v>8</v>
      </c>
      <c r="W40" s="1508">
        <f t="shared" si="14"/>
        <v>100</v>
      </c>
      <c r="X40" s="1501"/>
      <c r="Y40" s="352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8"/>
      <c r="Q41" s="1535" t="str">
        <f t="shared" si="11"/>
        <v>进深比</v>
      </c>
      <c r="R41" s="1511" t="s">
        <v>8</v>
      </c>
      <c r="S41" s="1512">
        <f t="shared" si="12"/>
        <v>100</v>
      </c>
      <c r="T41" s="1511" t="s">
        <v>8</v>
      </c>
      <c r="U41" s="1512">
        <f t="shared" si="13"/>
        <v>100</v>
      </c>
      <c r="V41" s="1511" t="s">
        <v>8</v>
      </c>
      <c r="W41" s="1512">
        <f t="shared" si="14"/>
        <v>100</v>
      </c>
      <c r="X41" s="1513"/>
      <c r="Y41" s="352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8"/>
      <c r="Q42" s="1506" t="str">
        <f t="shared" si="11"/>
        <v>内部装修</v>
      </c>
      <c r="R42" s="1507" t="s">
        <v>8</v>
      </c>
      <c r="S42" s="1508">
        <f t="shared" si="12"/>
        <v>100</v>
      </c>
      <c r="T42" s="1507" t="s">
        <v>8</v>
      </c>
      <c r="U42" s="1508">
        <f t="shared" si="13"/>
        <v>100</v>
      </c>
      <c r="V42" s="1507" t="s">
        <v>8</v>
      </c>
      <c r="W42" s="1508">
        <f t="shared" si="14"/>
        <v>100</v>
      </c>
      <c r="X42" s="1501"/>
      <c r="Y42" s="352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8"/>
      <c r="Q43" s="1506" t="str">
        <f t="shared" si="11"/>
        <v>内部装修维护情况</v>
      </c>
      <c r="R43" s="1507" t="s">
        <v>8</v>
      </c>
      <c r="S43" s="1508">
        <f t="shared" si="12"/>
        <v>100</v>
      </c>
      <c r="T43" s="1507" t="s">
        <v>8</v>
      </c>
      <c r="U43" s="1508">
        <f t="shared" si="13"/>
        <v>100</v>
      </c>
      <c r="V43" s="1507" t="s">
        <v>8</v>
      </c>
      <c r="W43" s="1508">
        <f t="shared" si="14"/>
        <v>100</v>
      </c>
      <c r="X43" s="1501"/>
      <c r="Y43" s="352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8"/>
      <c r="Q44" s="1133">
        <f t="shared" si="11"/>
        <v>111</v>
      </c>
      <c r="R44" s="1502" t="s">
        <v>8</v>
      </c>
      <c r="S44" s="1503">
        <f t="shared" si="12"/>
        <v>100</v>
      </c>
      <c r="T44" s="1502" t="s">
        <v>8</v>
      </c>
      <c r="U44" s="1503">
        <f t="shared" si="13"/>
        <v>100</v>
      </c>
      <c r="V44" s="1502" t="s">
        <v>8</v>
      </c>
      <c r="W44" s="1503">
        <f t="shared" si="14"/>
        <v>100</v>
      </c>
      <c r="X44" s="1504"/>
      <c r="Y44" s="352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8"/>
      <c r="Q45" s="1506">
        <f t="shared" si="11"/>
        <v>111</v>
      </c>
      <c r="R45" s="1507" t="s">
        <v>8</v>
      </c>
      <c r="S45" s="1508">
        <f t="shared" si="12"/>
        <v>100</v>
      </c>
      <c r="T45" s="1507" t="s">
        <v>8</v>
      </c>
      <c r="U45" s="1508">
        <f t="shared" si="13"/>
        <v>100</v>
      </c>
      <c r="V45" s="1507" t="s">
        <v>8</v>
      </c>
      <c r="W45" s="1508">
        <f t="shared" si="14"/>
        <v>100</v>
      </c>
      <c r="X45" s="1501"/>
      <c r="Y45" s="352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1"/>
      <c r="Q46" s="1506">
        <f t="shared" si="11"/>
        <v>111</v>
      </c>
      <c r="R46" s="1507" t="s">
        <v>8</v>
      </c>
      <c r="S46" s="1508">
        <f t="shared" si="12"/>
        <v>100</v>
      </c>
      <c r="T46" s="1507" t="s">
        <v>8</v>
      </c>
      <c r="U46" s="1508">
        <f t="shared" si="13"/>
        <v>100</v>
      </c>
      <c r="V46" s="1507" t="s">
        <v>8</v>
      </c>
      <c r="W46" s="1508">
        <f t="shared" si="14"/>
        <v>100</v>
      </c>
      <c r="X46" s="1501"/>
      <c r="Y46" s="3631"/>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23" t="str">
        <f>A47</f>
        <v>成交单价（元/平方米）</v>
      </c>
      <c r="Q47" s="3523"/>
      <c r="R47" s="3630">
        <f>E47</f>
        <v>0</v>
      </c>
      <c r="S47" s="3630"/>
      <c r="T47" s="3630">
        <f>G47</f>
        <v>0</v>
      </c>
      <c r="U47" s="3630"/>
      <c r="V47" s="3630">
        <f>I47</f>
        <v>0</v>
      </c>
      <c r="W47" s="3630"/>
      <c r="X47" s="1496"/>
      <c r="Y47" s="1515"/>
      <c r="Z47" s="1496"/>
      <c r="AA47" s="1496"/>
      <c r="AB47" s="1496"/>
      <c r="AC47" s="1496"/>
    </row>
    <row r="48" spans="1:29" ht="15.75" thickBot="1">
      <c r="A48" s="609" t="s">
        <v>2740</v>
      </c>
      <c r="B48" s="876"/>
      <c r="C48" s="2476" t="e">
        <f>R49</f>
        <v>#DIV/0!</v>
      </c>
      <c r="D48" s="3011" t="s">
        <v>2969</v>
      </c>
      <c r="E48" s="2477" t="e">
        <f>R48</f>
        <v>#DIV/0!</v>
      </c>
      <c r="F48" s="3012"/>
      <c r="G48" s="2476" t="e">
        <f>T48</f>
        <v>#DIV/0!</v>
      </c>
      <c r="H48" s="3012"/>
      <c r="I48" s="2477" t="e">
        <f>V48</f>
        <v>#DIV/0!</v>
      </c>
      <c r="J48" s="3012"/>
      <c r="K48" s="3020">
        <f>F48+H48+J48</f>
        <v>0</v>
      </c>
      <c r="L48" s="2026"/>
      <c r="M48" s="2027"/>
      <c r="N48" s="2016"/>
      <c r="O48" s="2027"/>
      <c r="P48" s="3523" t="str">
        <f>A48</f>
        <v>比较价格（元/平方米）</v>
      </c>
      <c r="Q48" s="3523"/>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6"/>
      <c r="Y48" s="1496"/>
      <c r="Z48" s="1496"/>
      <c r="AA48" s="1496"/>
      <c r="AB48" s="1496"/>
      <c r="AC48" s="1496"/>
    </row>
    <row r="49" spans="1:29" ht="15.75" thickBot="1">
      <c r="A49" s="613" t="s">
        <v>2901</v>
      </c>
      <c r="B49" s="614"/>
      <c r="C49" s="2478" t="e">
        <f>R49</f>
        <v>#DIV/0!</v>
      </c>
      <c r="D49" s="2478"/>
      <c r="E49" s="2478"/>
      <c r="F49" s="2478"/>
      <c r="G49" s="2478"/>
      <c r="H49" s="2478"/>
      <c r="I49" s="2478"/>
      <c r="J49" s="2478"/>
      <c r="K49" s="1541"/>
      <c r="L49" s="2026"/>
      <c r="M49" s="2027"/>
      <c r="N49" s="2016"/>
      <c r="O49" s="2027"/>
      <c r="P49" s="3544" t="str">
        <f>A49</f>
        <v>估价对象XX用房的比较价格（楼面单价，元/平方米）</v>
      </c>
      <c r="Q49" s="3545"/>
      <c r="R49" s="3629" t="e">
        <f>IF(F1="售价",ROUND(IF(D48="简单平均",AVERAGE(R48:V48),R48*F48+T48*H48+V48*J48),0),ROUND(IF(D48="简单平均",AVERAGE(R48:V48),R48*F48+T48*H48+V48*J48),1))</f>
        <v>#DIV/0!</v>
      </c>
      <c r="S49" s="3629"/>
      <c r="T49" s="3629"/>
      <c r="U49" s="3629"/>
      <c r="V49" s="3629"/>
      <c r="W49" s="362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29" t="s">
        <v>516</v>
      </c>
      <c r="D4" s="3530"/>
      <c r="E4" s="3554" t="s">
        <v>517</v>
      </c>
      <c r="F4" s="3555"/>
      <c r="G4" s="3529" t="s">
        <v>518</v>
      </c>
      <c r="H4" s="3530"/>
      <c r="I4" s="3529" t="s">
        <v>519</v>
      </c>
      <c r="J4" s="3530"/>
      <c r="K4" s="508" t="s">
        <v>520</v>
      </c>
      <c r="L4" s="2015"/>
      <c r="M4" s="2016"/>
      <c r="N4" s="2016"/>
      <c r="O4" s="2016"/>
      <c r="P4" s="3632" t="s">
        <v>521</v>
      </c>
      <c r="Q4" s="3532"/>
      <c r="R4" s="3517" t="s">
        <v>517</v>
      </c>
      <c r="S4" s="3518"/>
      <c r="T4" s="3517" t="s">
        <v>518</v>
      </c>
      <c r="U4" s="3518"/>
      <c r="V4" s="3537" t="s">
        <v>519</v>
      </c>
      <c r="W4" s="3537"/>
      <c r="X4" s="1501"/>
      <c r="Y4" s="3517" t="s">
        <v>521</v>
      </c>
      <c r="Z4" s="3518"/>
      <c r="AA4" s="3512" t="s">
        <v>517</v>
      </c>
      <c r="AB4" s="3512"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6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634"/>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4"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4" t="s">
        <v>527</v>
      </c>
      <c r="Q8" s="3516"/>
      <c r="R8" s="1502" t="s">
        <v>8</v>
      </c>
      <c r="S8" s="1503">
        <f t="shared" si="0"/>
        <v>0</v>
      </c>
      <c r="T8" s="1502" t="s">
        <v>8</v>
      </c>
      <c r="U8" s="1503">
        <f t="shared" si="1"/>
        <v>0</v>
      </c>
      <c r="V8" s="1502" t="s">
        <v>8</v>
      </c>
      <c r="W8" s="1503">
        <f t="shared" si="2"/>
        <v>0</v>
      </c>
      <c r="X8" s="1504"/>
      <c r="Y8" s="3515" t="s">
        <v>527</v>
      </c>
      <c r="Z8" s="3516"/>
      <c r="AA8" s="1505" t="e">
        <f t="shared" ref="AA8:AA47" si="3">D8/F8</f>
        <v>#DIV/0!</v>
      </c>
      <c r="AB8" s="1505" t="e">
        <f t="shared" ref="AB8:AB47" si="4">D8/H8</f>
        <v>#DIV/0!</v>
      </c>
      <c r="AC8" s="1505"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25" t="s">
        <v>534</v>
      </c>
      <c r="Q15" s="1506" t="str">
        <f t="shared" si="6"/>
        <v>办公集聚程度</v>
      </c>
      <c r="R15" s="1507" t="s">
        <v>8</v>
      </c>
      <c r="S15" s="1508">
        <f t="shared" si="0"/>
        <v>100</v>
      </c>
      <c r="T15" s="1507" t="s">
        <v>8</v>
      </c>
      <c r="U15" s="1508">
        <f t="shared" si="1"/>
        <v>100</v>
      </c>
      <c r="V15" s="1507" t="s">
        <v>8</v>
      </c>
      <c r="W15" s="1508">
        <f t="shared" si="2"/>
        <v>100</v>
      </c>
      <c r="X15" s="1501"/>
      <c r="Y15" s="352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26"/>
      <c r="Q16" s="1506"/>
      <c r="R16" s="1507"/>
      <c r="S16" s="1508"/>
      <c r="T16" s="1507"/>
      <c r="U16" s="1508"/>
      <c r="V16" s="1507"/>
      <c r="W16" s="1508"/>
      <c r="X16" s="1501"/>
      <c r="Y16" s="352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26"/>
      <c r="Q18" s="1506"/>
      <c r="R18" s="1507"/>
      <c r="S18" s="1508"/>
      <c r="T18" s="1507"/>
      <c r="U18" s="1508"/>
      <c r="V18" s="1507"/>
      <c r="W18" s="1508"/>
      <c r="X18" s="1501"/>
      <c r="Y18" s="3526"/>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26"/>
      <c r="Q20" s="1506"/>
      <c r="R20" s="1507"/>
      <c r="S20" s="1508"/>
      <c r="T20" s="1507"/>
      <c r="U20" s="1508"/>
      <c r="V20" s="1507"/>
      <c r="W20" s="1508"/>
      <c r="X20" s="1501"/>
      <c r="Y20" s="3526"/>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26"/>
      <c r="Q22" s="2429"/>
      <c r="R22" s="1507"/>
      <c r="S22" s="1508"/>
      <c r="T22" s="1507"/>
      <c r="U22" s="1508"/>
      <c r="V22" s="1507"/>
      <c r="W22" s="1508"/>
      <c r="X22" s="2431"/>
      <c r="Y22" s="352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26"/>
      <c r="Q23" s="1506" t="str">
        <f>B23</f>
        <v>环境质量</v>
      </c>
      <c r="R23" s="1507" t="s">
        <v>8</v>
      </c>
      <c r="S23" s="1508">
        <f>F23</f>
        <v>100</v>
      </c>
      <c r="T23" s="1507" t="s">
        <v>8</v>
      </c>
      <c r="U23" s="1508">
        <f>H23</f>
        <v>100</v>
      </c>
      <c r="V23" s="1507" t="s">
        <v>8</v>
      </c>
      <c r="W23" s="1508">
        <f>J23</f>
        <v>100</v>
      </c>
      <c r="X23" s="1501"/>
      <c r="Y23" s="352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26"/>
      <c r="Q24" s="1506"/>
      <c r="R24" s="1507"/>
      <c r="S24" s="1508"/>
      <c r="T24" s="1507"/>
      <c r="U24" s="1508"/>
      <c r="V24" s="1507"/>
      <c r="W24" s="1508"/>
      <c r="X24" s="1501"/>
      <c r="Y24" s="352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26"/>
      <c r="Q25" s="1506" t="str">
        <f>B25</f>
        <v>毗邻道路的类型与等级</v>
      </c>
      <c r="R25" s="1507" t="s">
        <v>8</v>
      </c>
      <c r="S25" s="1508">
        <f>F25</f>
        <v>100</v>
      </c>
      <c r="T25" s="1507" t="s">
        <v>8</v>
      </c>
      <c r="U25" s="1508">
        <f>H25</f>
        <v>100</v>
      </c>
      <c r="V25" s="1507" t="s">
        <v>8</v>
      </c>
      <c r="W25" s="1508">
        <f>J25</f>
        <v>100</v>
      </c>
      <c r="X25" s="1501"/>
      <c r="Y25" s="352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26"/>
      <c r="Q26" s="1506"/>
      <c r="R26" s="1507"/>
      <c r="S26" s="1508"/>
      <c r="T26" s="1507"/>
      <c r="U26" s="1508"/>
      <c r="V26" s="1507"/>
      <c r="W26" s="1508"/>
      <c r="X26" s="1501"/>
      <c r="Y26" s="352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6"/>
      <c r="Q27" s="1506" t="str">
        <f t="shared" ref="Q27:Q47" si="11">B27</f>
        <v>楼层</v>
      </c>
      <c r="R27" s="1507" t="s">
        <v>8</v>
      </c>
      <c r="S27" s="1508">
        <f>F27</f>
        <v>100</v>
      </c>
      <c r="T27" s="1507" t="s">
        <v>8</v>
      </c>
      <c r="U27" s="1508">
        <f>H27</f>
        <v>100</v>
      </c>
      <c r="V27" s="1507" t="s">
        <v>8</v>
      </c>
      <c r="W27" s="1508">
        <f>J27</f>
        <v>100</v>
      </c>
      <c r="X27" s="1501"/>
      <c r="Y27" s="352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26"/>
      <c r="Q28" s="1133" t="str">
        <f t="shared" si="11"/>
        <v>朝向</v>
      </c>
      <c r="R28" s="1502" t="s">
        <v>8</v>
      </c>
      <c r="S28" s="1503">
        <f>F28</f>
        <v>100</v>
      </c>
      <c r="T28" s="1502" t="s">
        <v>8</v>
      </c>
      <c r="U28" s="1503">
        <f>H28</f>
        <v>100</v>
      </c>
      <c r="V28" s="1502" t="s">
        <v>8</v>
      </c>
      <c r="W28" s="1503">
        <f>J28</f>
        <v>100</v>
      </c>
      <c r="X28" s="1504"/>
      <c r="Y28" s="352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26"/>
      <c r="Q29" s="1506">
        <f t="shared" si="11"/>
        <v>111</v>
      </c>
      <c r="R29" s="1507" t="s">
        <v>8</v>
      </c>
      <c r="S29" s="1508">
        <f t="shared" ref="S29:S47" si="12">F29</f>
        <v>100</v>
      </c>
      <c r="T29" s="1507" t="s">
        <v>8</v>
      </c>
      <c r="U29" s="1508">
        <f t="shared" ref="U29:U47" si="13">H29</f>
        <v>100</v>
      </c>
      <c r="V29" s="1507" t="s">
        <v>8</v>
      </c>
      <c r="W29" s="1508">
        <f t="shared" ref="W29:W47" si="14">J29</f>
        <v>100</v>
      </c>
      <c r="X29" s="1501"/>
      <c r="Y29" s="352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26"/>
      <c r="Q30" s="1506">
        <f t="shared" si="11"/>
        <v>111</v>
      </c>
      <c r="R30" s="1507" t="s">
        <v>8</v>
      </c>
      <c r="S30" s="1508">
        <f t="shared" si="12"/>
        <v>100</v>
      </c>
      <c r="T30" s="1507" t="s">
        <v>8</v>
      </c>
      <c r="U30" s="1508">
        <f t="shared" si="13"/>
        <v>100</v>
      </c>
      <c r="V30" s="1507" t="s">
        <v>8</v>
      </c>
      <c r="W30" s="1508">
        <f t="shared" si="14"/>
        <v>100</v>
      </c>
      <c r="X30" s="1501"/>
      <c r="Y30" s="352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26"/>
      <c r="Q31" s="1506">
        <f t="shared" si="11"/>
        <v>111</v>
      </c>
      <c r="R31" s="1507" t="s">
        <v>8</v>
      </c>
      <c r="S31" s="1508">
        <f t="shared" si="12"/>
        <v>100</v>
      </c>
      <c r="T31" s="1507" t="s">
        <v>8</v>
      </c>
      <c r="U31" s="1508">
        <f t="shared" si="13"/>
        <v>100</v>
      </c>
      <c r="V31" s="1507" t="s">
        <v>8</v>
      </c>
      <c r="W31" s="1508">
        <f t="shared" si="14"/>
        <v>100</v>
      </c>
      <c r="X31" s="1501"/>
      <c r="Y31" s="352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26"/>
      <c r="Q32" s="1506">
        <f t="shared" si="11"/>
        <v>111</v>
      </c>
      <c r="R32" s="1507" t="s">
        <v>8</v>
      </c>
      <c r="S32" s="1508">
        <f t="shared" si="12"/>
        <v>100</v>
      </c>
      <c r="T32" s="1507" t="s">
        <v>8</v>
      </c>
      <c r="U32" s="1508">
        <f t="shared" si="13"/>
        <v>100</v>
      </c>
      <c r="V32" s="1507" t="s">
        <v>8</v>
      </c>
      <c r="W32" s="1508">
        <f t="shared" si="14"/>
        <v>100</v>
      </c>
      <c r="X32" s="1501"/>
      <c r="Y32" s="3526"/>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27" t="s">
        <v>544</v>
      </c>
      <c r="Q33" s="1506" t="str">
        <f t="shared" si="11"/>
        <v>建筑类型</v>
      </c>
      <c r="R33" s="1507" t="s">
        <v>8</v>
      </c>
      <c r="S33" s="1508">
        <f t="shared" si="12"/>
        <v>100</v>
      </c>
      <c r="T33" s="1507" t="s">
        <v>8</v>
      </c>
      <c r="U33" s="1508">
        <f t="shared" si="13"/>
        <v>100</v>
      </c>
      <c r="V33" s="1507" t="s">
        <v>8</v>
      </c>
      <c r="W33" s="1508">
        <f t="shared" si="14"/>
        <v>100</v>
      </c>
      <c r="X33" s="1501"/>
      <c r="Y33" s="352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8"/>
      <c r="Q34" s="1535" t="str">
        <f t="shared" si="11"/>
        <v>项目建筑规模</v>
      </c>
      <c r="R34" s="1511" t="s">
        <v>8</v>
      </c>
      <c r="S34" s="1512" t="e">
        <f t="shared" si="12"/>
        <v>#N/A</v>
      </c>
      <c r="T34" s="1511" t="s">
        <v>8</v>
      </c>
      <c r="U34" s="1512" t="e">
        <f t="shared" si="13"/>
        <v>#N/A</v>
      </c>
      <c r="V34" s="1511" t="s">
        <v>8</v>
      </c>
      <c r="W34" s="1512" t="e">
        <f t="shared" si="14"/>
        <v>#N/A</v>
      </c>
      <c r="X34" s="1513"/>
      <c r="Y34" s="352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8"/>
      <c r="Q35" s="1506" t="str">
        <f t="shared" si="11"/>
        <v>建筑结构</v>
      </c>
      <c r="R35" s="1507" t="s">
        <v>8</v>
      </c>
      <c r="S35" s="1508">
        <f t="shared" si="12"/>
        <v>100</v>
      </c>
      <c r="T35" s="1507" t="s">
        <v>8</v>
      </c>
      <c r="U35" s="1508">
        <f t="shared" si="13"/>
        <v>100</v>
      </c>
      <c r="V35" s="1507" t="s">
        <v>8</v>
      </c>
      <c r="W35" s="1508">
        <f t="shared" si="14"/>
        <v>100</v>
      </c>
      <c r="X35" s="1501"/>
      <c r="Y35" s="352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8"/>
      <c r="Q36" s="1506" t="str">
        <f t="shared" si="11"/>
        <v>公共部分装修</v>
      </c>
      <c r="R36" s="1507" t="s">
        <v>8</v>
      </c>
      <c r="S36" s="1508">
        <f t="shared" si="12"/>
        <v>100</v>
      </c>
      <c r="T36" s="1507" t="s">
        <v>8</v>
      </c>
      <c r="U36" s="1508">
        <f t="shared" si="13"/>
        <v>100</v>
      </c>
      <c r="V36" s="1507" t="s">
        <v>8</v>
      </c>
      <c r="W36" s="1508">
        <f t="shared" si="14"/>
        <v>100</v>
      </c>
      <c r="X36" s="1501"/>
      <c r="Y36" s="352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28"/>
      <c r="Q37" s="1506" t="str">
        <f t="shared" si="11"/>
        <v>成新度</v>
      </c>
      <c r="R37" s="1507" t="s">
        <v>8</v>
      </c>
      <c r="S37" s="1508" t="e">
        <f t="shared" si="12"/>
        <v>#N/A</v>
      </c>
      <c r="T37" s="1507" t="s">
        <v>8</v>
      </c>
      <c r="U37" s="1508" t="e">
        <f t="shared" si="13"/>
        <v>#N/A</v>
      </c>
      <c r="V37" s="1507" t="s">
        <v>8</v>
      </c>
      <c r="W37" s="1508" t="e">
        <f t="shared" si="14"/>
        <v>#N/A</v>
      </c>
      <c r="X37" s="1501"/>
      <c r="Y37" s="352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8"/>
      <c r="Q38" s="1133" t="str">
        <f t="shared" si="11"/>
        <v>写字楼等级</v>
      </c>
      <c r="R38" s="1502" t="s">
        <v>8</v>
      </c>
      <c r="S38" s="1503">
        <f t="shared" si="12"/>
        <v>100</v>
      </c>
      <c r="T38" s="1502" t="s">
        <v>8</v>
      </c>
      <c r="U38" s="1503">
        <f t="shared" si="13"/>
        <v>100</v>
      </c>
      <c r="V38" s="1502" t="s">
        <v>8</v>
      </c>
      <c r="W38" s="1503">
        <f t="shared" si="14"/>
        <v>100</v>
      </c>
      <c r="X38" s="1504"/>
      <c r="Y38" s="352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8" t="s">
        <v>544</v>
      </c>
      <c r="Q39" s="1506" t="str">
        <f t="shared" si="11"/>
        <v>物业管理</v>
      </c>
      <c r="R39" s="1507" t="s">
        <v>8</v>
      </c>
      <c r="S39" s="1508">
        <f t="shared" si="12"/>
        <v>100</v>
      </c>
      <c r="T39" s="1507" t="s">
        <v>8</v>
      </c>
      <c r="U39" s="1508">
        <f t="shared" si="13"/>
        <v>100</v>
      </c>
      <c r="V39" s="1507" t="s">
        <v>8</v>
      </c>
      <c r="W39" s="1508">
        <f t="shared" si="14"/>
        <v>100</v>
      </c>
      <c r="X39" s="1501"/>
      <c r="Y39" s="352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8"/>
      <c r="Q40" s="1506" t="str">
        <f t="shared" si="11"/>
        <v>市政基础设施</v>
      </c>
      <c r="R40" s="1507" t="s">
        <v>8</v>
      </c>
      <c r="S40" s="1508">
        <f t="shared" si="12"/>
        <v>100</v>
      </c>
      <c r="T40" s="1507" t="s">
        <v>8</v>
      </c>
      <c r="U40" s="1508">
        <f t="shared" si="13"/>
        <v>100</v>
      </c>
      <c r="V40" s="1507" t="s">
        <v>8</v>
      </c>
      <c r="W40" s="1508">
        <f t="shared" si="14"/>
        <v>100</v>
      </c>
      <c r="X40" s="1501"/>
      <c r="Y40" s="352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8"/>
      <c r="Q41" s="1506" t="str">
        <f t="shared" si="11"/>
        <v>层高</v>
      </c>
      <c r="R41" s="1507" t="s">
        <v>8</v>
      </c>
      <c r="S41" s="1508">
        <f t="shared" si="12"/>
        <v>100</v>
      </c>
      <c r="T41" s="1507" t="s">
        <v>8</v>
      </c>
      <c r="U41" s="1508">
        <f t="shared" si="13"/>
        <v>100</v>
      </c>
      <c r="V41" s="1507" t="s">
        <v>8</v>
      </c>
      <c r="W41" s="1508">
        <f t="shared" si="14"/>
        <v>100</v>
      </c>
      <c r="X41" s="1501"/>
      <c r="Y41" s="352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8"/>
      <c r="Q42" s="1535" t="str">
        <f t="shared" si="11"/>
        <v>单套建筑面积</v>
      </c>
      <c r="R42" s="1511" t="s">
        <v>8</v>
      </c>
      <c r="S42" s="1512">
        <f t="shared" si="12"/>
        <v>100</v>
      </c>
      <c r="T42" s="1511" t="s">
        <v>8</v>
      </c>
      <c r="U42" s="1512">
        <f t="shared" si="13"/>
        <v>100</v>
      </c>
      <c r="V42" s="1511" t="s">
        <v>8</v>
      </c>
      <c r="W42" s="1512">
        <f t="shared" si="14"/>
        <v>100</v>
      </c>
      <c r="X42" s="1513"/>
      <c r="Y42" s="352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8"/>
      <c r="Q43" s="1506" t="str">
        <f t="shared" si="11"/>
        <v>内部装修</v>
      </c>
      <c r="R43" s="1507" t="s">
        <v>8</v>
      </c>
      <c r="S43" s="1508">
        <f t="shared" si="12"/>
        <v>100</v>
      </c>
      <c r="T43" s="1507" t="s">
        <v>8</v>
      </c>
      <c r="U43" s="1508">
        <f t="shared" si="13"/>
        <v>100</v>
      </c>
      <c r="V43" s="1507" t="s">
        <v>8</v>
      </c>
      <c r="W43" s="1508">
        <f t="shared" si="14"/>
        <v>100</v>
      </c>
      <c r="X43" s="1501"/>
      <c r="Y43" s="352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8"/>
      <c r="Q44" s="1506" t="str">
        <f t="shared" si="11"/>
        <v>内部装修维护情况</v>
      </c>
      <c r="R44" s="1507" t="s">
        <v>8</v>
      </c>
      <c r="S44" s="1508">
        <f t="shared" si="12"/>
        <v>100</v>
      </c>
      <c r="T44" s="1507" t="s">
        <v>8</v>
      </c>
      <c r="U44" s="1508">
        <f t="shared" si="13"/>
        <v>100</v>
      </c>
      <c r="V44" s="1507" t="s">
        <v>8</v>
      </c>
      <c r="W44" s="1508">
        <f t="shared" si="14"/>
        <v>100</v>
      </c>
      <c r="X44" s="1501"/>
      <c r="Y44" s="352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8"/>
      <c r="Q45" s="1133">
        <f t="shared" si="11"/>
        <v>111</v>
      </c>
      <c r="R45" s="1502" t="s">
        <v>8</v>
      </c>
      <c r="S45" s="1503">
        <f t="shared" si="12"/>
        <v>100</v>
      </c>
      <c r="T45" s="1502" t="s">
        <v>8</v>
      </c>
      <c r="U45" s="1503">
        <f t="shared" si="13"/>
        <v>100</v>
      </c>
      <c r="V45" s="1502" t="s">
        <v>8</v>
      </c>
      <c r="W45" s="1503">
        <f t="shared" si="14"/>
        <v>100</v>
      </c>
      <c r="X45" s="1504"/>
      <c r="Y45" s="352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8"/>
      <c r="Q46" s="1506">
        <f t="shared" si="11"/>
        <v>111</v>
      </c>
      <c r="R46" s="1507" t="s">
        <v>8</v>
      </c>
      <c r="S46" s="1508">
        <f t="shared" si="12"/>
        <v>100</v>
      </c>
      <c r="T46" s="1507" t="s">
        <v>8</v>
      </c>
      <c r="U46" s="1508">
        <f t="shared" si="13"/>
        <v>100</v>
      </c>
      <c r="V46" s="1507" t="s">
        <v>8</v>
      </c>
      <c r="W46" s="1508">
        <f t="shared" si="14"/>
        <v>100</v>
      </c>
      <c r="X46" s="1501"/>
      <c r="Y46" s="352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1"/>
      <c r="Q47" s="1506">
        <f t="shared" si="11"/>
        <v>111</v>
      </c>
      <c r="R47" s="1507" t="s">
        <v>8</v>
      </c>
      <c r="S47" s="1508">
        <f t="shared" si="12"/>
        <v>100</v>
      </c>
      <c r="T47" s="1507" t="s">
        <v>8</v>
      </c>
      <c r="U47" s="1508">
        <f t="shared" si="13"/>
        <v>100</v>
      </c>
      <c r="V47" s="1507" t="s">
        <v>8</v>
      </c>
      <c r="W47" s="1508">
        <f t="shared" si="14"/>
        <v>100</v>
      </c>
      <c r="X47" s="1501"/>
      <c r="Y47" s="3631"/>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45" t="str">
        <f>A48</f>
        <v>成交单价（元/平方米）</v>
      </c>
      <c r="Q48" s="3523"/>
      <c r="R48" s="3630">
        <f>E48</f>
        <v>0</v>
      </c>
      <c r="S48" s="3630"/>
      <c r="T48" s="3630">
        <f>G48</f>
        <v>0</v>
      </c>
      <c r="U48" s="3630"/>
      <c r="V48" s="3630">
        <f>I48</f>
        <v>0</v>
      </c>
      <c r="W48" s="3630"/>
      <c r="X48" s="1496"/>
      <c r="Y48" s="1515"/>
      <c r="Z48" s="1496"/>
      <c r="AA48" s="1496"/>
      <c r="AB48" s="1496"/>
      <c r="AC48" s="1496"/>
    </row>
    <row r="49" spans="1:29" ht="15.75" thickBot="1">
      <c r="A49" s="609" t="s">
        <v>2740</v>
      </c>
      <c r="B49" s="876"/>
      <c r="C49" s="2476" t="e">
        <f>R50</f>
        <v>#DIV/0!</v>
      </c>
      <c r="D49" s="3011" t="s">
        <v>2969</v>
      </c>
      <c r="E49" s="2477" t="e">
        <f>R49</f>
        <v>#DIV/0!</v>
      </c>
      <c r="F49" s="3012"/>
      <c r="G49" s="2476" t="e">
        <f>T49</f>
        <v>#DIV/0!</v>
      </c>
      <c r="H49" s="3012"/>
      <c r="I49" s="2477" t="e">
        <f>V49</f>
        <v>#DIV/0!</v>
      </c>
      <c r="J49" s="3012"/>
      <c r="K49" s="3020">
        <f>F49+H49+J49</f>
        <v>0</v>
      </c>
      <c r="L49" s="2026"/>
      <c r="M49" s="2016"/>
      <c r="N49" s="2016"/>
      <c r="O49" s="2016"/>
      <c r="P49" s="3545" t="str">
        <f>A49</f>
        <v>比较价格（元/平方米）</v>
      </c>
      <c r="Q49" s="3523"/>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496"/>
      <c r="Y49" s="1496"/>
      <c r="Z49" s="1496"/>
      <c r="AA49" s="1496"/>
      <c r="AB49" s="1496"/>
      <c r="AC49" s="1496"/>
    </row>
    <row r="50" spans="1:29" ht="15.75" thickBot="1">
      <c r="A50" s="613" t="s">
        <v>2901</v>
      </c>
      <c r="B50" s="614"/>
      <c r="C50" s="2478" t="e">
        <f>R50</f>
        <v>#DIV/0!</v>
      </c>
      <c r="D50" s="2478"/>
      <c r="E50" s="2478"/>
      <c r="F50" s="2478"/>
      <c r="G50" s="2478"/>
      <c r="H50" s="2478"/>
      <c r="I50" s="2478"/>
      <c r="J50" s="2478"/>
      <c r="K50" s="1541"/>
      <c r="L50" s="2026"/>
      <c r="M50" s="2016"/>
      <c r="N50" s="2016"/>
      <c r="O50" s="2016"/>
      <c r="P50" s="3635" t="str">
        <f>A50</f>
        <v>估价对象XX用房的比较价格（楼面单价，元/平方米）</v>
      </c>
      <c r="Q50" s="3545"/>
      <c r="R50" s="3629" t="e">
        <f>IF(F1="售价",ROUND(IF(D49="简单平均",AVERAGE(R49:V49),R49*F49+T49*H49+V49*J49),0),ROUND(IF(D49="简单平均",AVERAGE(R49:V49),R49*F49+T49*H49+V49*J49),1))</f>
        <v>#DIV/0!</v>
      </c>
      <c r="S50" s="3629"/>
      <c r="T50" s="3629"/>
      <c r="U50" s="3629"/>
      <c r="V50" s="3629"/>
      <c r="W50" s="3629"/>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29" t="s">
        <v>516</v>
      </c>
      <c r="D4" s="3530"/>
      <c r="E4" s="3554" t="s">
        <v>517</v>
      </c>
      <c r="F4" s="3555"/>
      <c r="G4" s="3529" t="s">
        <v>518</v>
      </c>
      <c r="H4" s="3530"/>
      <c r="I4" s="3529" t="s">
        <v>519</v>
      </c>
      <c r="J4" s="3530"/>
      <c r="K4" s="508"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13"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5"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40" si="3">D8/F8</f>
        <v>#DIV/0!</v>
      </c>
      <c r="AB8" s="1505" t="e">
        <f t="shared" ref="AB8:AB40" si="4">D8/H8</f>
        <v>#DIV/0!</v>
      </c>
      <c r="AC8" s="1505"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25" t="s">
        <v>534</v>
      </c>
      <c r="Q15" s="1506" t="str">
        <f t="shared" si="6"/>
        <v>产业集聚程度</v>
      </c>
      <c r="R15" s="1507" t="s">
        <v>8</v>
      </c>
      <c r="S15" s="1508">
        <f t="shared" si="0"/>
        <v>100</v>
      </c>
      <c r="T15" s="1507" t="s">
        <v>8</v>
      </c>
      <c r="U15" s="1508">
        <f t="shared" si="1"/>
        <v>100</v>
      </c>
      <c r="V15" s="1507" t="s">
        <v>8</v>
      </c>
      <c r="W15" s="1508">
        <f t="shared" si="2"/>
        <v>100</v>
      </c>
      <c r="X15" s="1501"/>
      <c r="Y15" s="352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26"/>
      <c r="Q22" s="2429"/>
      <c r="R22" s="1507"/>
      <c r="S22" s="1508"/>
      <c r="T22" s="1507"/>
      <c r="U22" s="1508"/>
      <c r="V22" s="1507"/>
      <c r="W22" s="1508"/>
      <c r="X22" s="2431"/>
      <c r="Y22" s="352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26"/>
      <c r="Q23" s="1506" t="str">
        <f>B23</f>
        <v>环境质量</v>
      </c>
      <c r="R23" s="1507" t="s">
        <v>8</v>
      </c>
      <c r="S23" s="1508">
        <f>F23</f>
        <v>100</v>
      </c>
      <c r="T23" s="1507" t="s">
        <v>8</v>
      </c>
      <c r="U23" s="1508">
        <f>H23</f>
        <v>100</v>
      </c>
      <c r="V23" s="1507" t="s">
        <v>8</v>
      </c>
      <c r="W23" s="1508">
        <f>J23</f>
        <v>100</v>
      </c>
      <c r="X23" s="1501"/>
      <c r="Y23" s="352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6"/>
      <c r="Q25" s="1506">
        <f>B25</f>
        <v>111</v>
      </c>
      <c r="R25" s="1507" t="s">
        <v>8</v>
      </c>
      <c r="S25" s="1508">
        <f>F25</f>
        <v>100</v>
      </c>
      <c r="T25" s="1507" t="s">
        <v>8</v>
      </c>
      <c r="U25" s="1508">
        <f>H25</f>
        <v>100</v>
      </c>
      <c r="V25" s="1507" t="s">
        <v>8</v>
      </c>
      <c r="W25" s="1508">
        <f>J25</f>
        <v>100</v>
      </c>
      <c r="X25" s="1501"/>
      <c r="Y25" s="352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6"/>
      <c r="Q26" s="1506">
        <f t="shared" ref="Q26:Q40" si="11">B26</f>
        <v>111</v>
      </c>
      <c r="R26" s="1507" t="s">
        <v>8</v>
      </c>
      <c r="S26" s="1508">
        <f>F26</f>
        <v>100</v>
      </c>
      <c r="T26" s="1507" t="s">
        <v>8</v>
      </c>
      <c r="U26" s="1508">
        <f>H26</f>
        <v>100</v>
      </c>
      <c r="V26" s="1507" t="s">
        <v>8</v>
      </c>
      <c r="W26" s="1508">
        <f>J26</f>
        <v>100</v>
      </c>
      <c r="X26" s="1501"/>
      <c r="Y26" s="352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6"/>
      <c r="Q27" s="1133">
        <f t="shared" si="11"/>
        <v>111</v>
      </c>
      <c r="R27" s="1502" t="s">
        <v>8</v>
      </c>
      <c r="S27" s="1503">
        <f>F27</f>
        <v>100</v>
      </c>
      <c r="T27" s="1502" t="s">
        <v>8</v>
      </c>
      <c r="U27" s="1503">
        <f>H27</f>
        <v>100</v>
      </c>
      <c r="V27" s="1502" t="s">
        <v>8</v>
      </c>
      <c r="W27" s="1503">
        <f>J27</f>
        <v>100</v>
      </c>
      <c r="X27" s="1504"/>
      <c r="Y27" s="352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26"/>
      <c r="Q28" s="1506">
        <f t="shared" si="11"/>
        <v>111</v>
      </c>
      <c r="R28" s="1507" t="s">
        <v>8</v>
      </c>
      <c r="S28" s="1508">
        <f t="shared" ref="S28:S40" si="12">F28</f>
        <v>100</v>
      </c>
      <c r="T28" s="1507" t="s">
        <v>8</v>
      </c>
      <c r="U28" s="1508">
        <f t="shared" ref="U28:U40" si="13">H28</f>
        <v>100</v>
      </c>
      <c r="V28" s="1507" t="s">
        <v>8</v>
      </c>
      <c r="W28" s="1508">
        <f t="shared" ref="W28:W40" si="14">J28</f>
        <v>100</v>
      </c>
      <c r="X28" s="1501"/>
      <c r="Y28" s="3526"/>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27" t="s">
        <v>544</v>
      </c>
      <c r="Q29" s="1506" t="str">
        <f t="shared" si="11"/>
        <v>建筑类型</v>
      </c>
      <c r="R29" s="1507" t="s">
        <v>8</v>
      </c>
      <c r="S29" s="1508">
        <f t="shared" si="12"/>
        <v>100</v>
      </c>
      <c r="T29" s="1507" t="s">
        <v>8</v>
      </c>
      <c r="U29" s="1508">
        <f t="shared" si="13"/>
        <v>100</v>
      </c>
      <c r="V29" s="1507" t="s">
        <v>8</v>
      </c>
      <c r="W29" s="1508">
        <f t="shared" si="14"/>
        <v>100</v>
      </c>
      <c r="X29" s="1501"/>
      <c r="Y29" s="352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8"/>
      <c r="Q30" s="1535" t="str">
        <f t="shared" si="11"/>
        <v>项目建筑规模</v>
      </c>
      <c r="R30" s="1511" t="s">
        <v>8</v>
      </c>
      <c r="S30" s="1512" t="e">
        <f t="shared" si="12"/>
        <v>#N/A</v>
      </c>
      <c r="T30" s="1511" t="s">
        <v>8</v>
      </c>
      <c r="U30" s="1512" t="e">
        <f t="shared" si="13"/>
        <v>#N/A</v>
      </c>
      <c r="V30" s="1511" t="s">
        <v>8</v>
      </c>
      <c r="W30" s="1512" t="e">
        <f t="shared" si="14"/>
        <v>#N/A</v>
      </c>
      <c r="X30" s="1513"/>
      <c r="Y30" s="352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8"/>
      <c r="Q31" s="1506" t="str">
        <f t="shared" si="11"/>
        <v>建筑结构</v>
      </c>
      <c r="R31" s="1507" t="s">
        <v>8</v>
      </c>
      <c r="S31" s="1508">
        <f t="shared" si="12"/>
        <v>100</v>
      </c>
      <c r="T31" s="1507" t="s">
        <v>8</v>
      </c>
      <c r="U31" s="1508">
        <f t="shared" si="13"/>
        <v>100</v>
      </c>
      <c r="V31" s="1507" t="s">
        <v>8</v>
      </c>
      <c r="W31" s="1508">
        <f t="shared" si="14"/>
        <v>100</v>
      </c>
      <c r="X31" s="1501"/>
      <c r="Y31" s="352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8"/>
      <c r="Q32" s="1506" t="str">
        <f t="shared" si="11"/>
        <v>公共部分装修</v>
      </c>
      <c r="R32" s="1507" t="s">
        <v>8</v>
      </c>
      <c r="S32" s="1508">
        <f t="shared" si="12"/>
        <v>100</v>
      </c>
      <c r="T32" s="1507" t="s">
        <v>8</v>
      </c>
      <c r="U32" s="1508">
        <f t="shared" si="13"/>
        <v>100</v>
      </c>
      <c r="V32" s="1507" t="s">
        <v>8</v>
      </c>
      <c r="W32" s="1508">
        <f t="shared" si="14"/>
        <v>100</v>
      </c>
      <c r="X32" s="1501"/>
      <c r="Y32" s="352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28"/>
      <c r="Q33" s="1506" t="str">
        <f t="shared" si="11"/>
        <v>成新度</v>
      </c>
      <c r="R33" s="1507" t="s">
        <v>8</v>
      </c>
      <c r="S33" s="1508" t="e">
        <f t="shared" si="12"/>
        <v>#N/A</v>
      </c>
      <c r="T33" s="1507" t="s">
        <v>8</v>
      </c>
      <c r="U33" s="1508" t="e">
        <f t="shared" si="13"/>
        <v>#N/A</v>
      </c>
      <c r="V33" s="1507" t="s">
        <v>8</v>
      </c>
      <c r="W33" s="1508" t="e">
        <f t="shared" si="14"/>
        <v>#N/A</v>
      </c>
      <c r="X33" s="1501"/>
      <c r="Y33" s="352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8"/>
      <c r="Q34" s="1133" t="str">
        <f t="shared" si="11"/>
        <v>物业管理</v>
      </c>
      <c r="R34" s="1502" t="s">
        <v>8</v>
      </c>
      <c r="S34" s="1503">
        <f t="shared" si="12"/>
        <v>100</v>
      </c>
      <c r="T34" s="1502" t="s">
        <v>8</v>
      </c>
      <c r="U34" s="1503">
        <f t="shared" si="13"/>
        <v>100</v>
      </c>
      <c r="V34" s="1502" t="s">
        <v>8</v>
      </c>
      <c r="W34" s="1503">
        <f t="shared" si="14"/>
        <v>100</v>
      </c>
      <c r="X34" s="1504"/>
      <c r="Y34" s="3528"/>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8" t="s">
        <v>544</v>
      </c>
      <c r="Q35" s="1506" t="str">
        <f t="shared" si="11"/>
        <v>市政基础设施</v>
      </c>
      <c r="R35" s="1507" t="s">
        <v>8</v>
      </c>
      <c r="S35" s="1508">
        <f t="shared" si="12"/>
        <v>100</v>
      </c>
      <c r="T35" s="1507" t="s">
        <v>8</v>
      </c>
      <c r="U35" s="1508">
        <f t="shared" si="13"/>
        <v>100</v>
      </c>
      <c r="V35" s="1507" t="s">
        <v>8</v>
      </c>
      <c r="W35" s="1508">
        <f t="shared" si="14"/>
        <v>100</v>
      </c>
      <c r="X35" s="1501"/>
      <c r="Y35" s="352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8"/>
      <c r="Q36" s="1506" t="str">
        <f t="shared" si="11"/>
        <v>内部装修</v>
      </c>
      <c r="R36" s="1507" t="s">
        <v>8</v>
      </c>
      <c r="S36" s="1508">
        <f t="shared" si="12"/>
        <v>100</v>
      </c>
      <c r="T36" s="1507" t="s">
        <v>8</v>
      </c>
      <c r="U36" s="1508">
        <f t="shared" si="13"/>
        <v>100</v>
      </c>
      <c r="V36" s="1507" t="s">
        <v>8</v>
      </c>
      <c r="W36" s="1508">
        <f t="shared" si="14"/>
        <v>100</v>
      </c>
      <c r="X36" s="1501"/>
      <c r="Y36" s="352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8"/>
      <c r="Q37" s="1506" t="str">
        <f t="shared" si="11"/>
        <v>内部装修状况</v>
      </c>
      <c r="R37" s="1507" t="s">
        <v>8</v>
      </c>
      <c r="S37" s="1508">
        <f t="shared" si="12"/>
        <v>100</v>
      </c>
      <c r="T37" s="1507" t="s">
        <v>8</v>
      </c>
      <c r="U37" s="1508">
        <f t="shared" si="13"/>
        <v>100</v>
      </c>
      <c r="V37" s="1507" t="s">
        <v>8</v>
      </c>
      <c r="W37" s="1508">
        <f t="shared" si="14"/>
        <v>100</v>
      </c>
      <c r="X37" s="1501"/>
      <c r="Y37" s="352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28"/>
      <c r="Q38" s="1535">
        <f t="shared" si="11"/>
        <v>111</v>
      </c>
      <c r="R38" s="1511" t="s">
        <v>8</v>
      </c>
      <c r="S38" s="1512">
        <f t="shared" si="12"/>
        <v>100</v>
      </c>
      <c r="T38" s="1511" t="s">
        <v>8</v>
      </c>
      <c r="U38" s="1512">
        <f t="shared" si="13"/>
        <v>100</v>
      </c>
      <c r="V38" s="1511" t="s">
        <v>8</v>
      </c>
      <c r="W38" s="1512">
        <f t="shared" si="14"/>
        <v>100</v>
      </c>
      <c r="X38" s="1513"/>
      <c r="Y38" s="352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28"/>
      <c r="Q39" s="1506">
        <f t="shared" si="11"/>
        <v>111</v>
      </c>
      <c r="R39" s="1507" t="s">
        <v>8</v>
      </c>
      <c r="S39" s="1508">
        <f t="shared" si="12"/>
        <v>100</v>
      </c>
      <c r="T39" s="1507" t="s">
        <v>8</v>
      </c>
      <c r="U39" s="1508">
        <f t="shared" si="13"/>
        <v>100</v>
      </c>
      <c r="V39" s="1507" t="s">
        <v>8</v>
      </c>
      <c r="W39" s="1508">
        <f t="shared" si="14"/>
        <v>100</v>
      </c>
      <c r="X39" s="1501"/>
      <c r="Y39" s="352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31"/>
      <c r="Q40" s="1506">
        <f t="shared" si="11"/>
        <v>111</v>
      </c>
      <c r="R40" s="1507" t="s">
        <v>8</v>
      </c>
      <c r="S40" s="1508">
        <f t="shared" si="12"/>
        <v>100</v>
      </c>
      <c r="T40" s="1507" t="s">
        <v>8</v>
      </c>
      <c r="U40" s="1508">
        <f t="shared" si="13"/>
        <v>100</v>
      </c>
      <c r="V40" s="1507" t="s">
        <v>8</v>
      </c>
      <c r="W40" s="1508">
        <f t="shared" si="14"/>
        <v>100</v>
      </c>
      <c r="X40" s="1501"/>
      <c r="Y40" s="3631"/>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23" t="str">
        <f>A41</f>
        <v>成交单价（元/平方米）</v>
      </c>
      <c r="Q41" s="3523"/>
      <c r="R41" s="3630">
        <f>E41</f>
        <v>0</v>
      </c>
      <c r="S41" s="3630"/>
      <c r="T41" s="3630">
        <f>G41</f>
        <v>0</v>
      </c>
      <c r="U41" s="3630"/>
      <c r="V41" s="3630">
        <f>I41</f>
        <v>0</v>
      </c>
      <c r="W41" s="3630"/>
      <c r="X41" s="1496"/>
      <c r="Y41" s="1515"/>
      <c r="Z41" s="1496"/>
      <c r="AA41" s="1496"/>
      <c r="AB41" s="1496"/>
      <c r="AC41" s="1496"/>
    </row>
    <row r="42" spans="1:29" ht="15.75" thickBot="1">
      <c r="A42" s="609" t="s">
        <v>2740</v>
      </c>
      <c r="B42" s="876"/>
      <c r="C42" s="2476" t="e">
        <f>R43</f>
        <v>#DIV/0!</v>
      </c>
      <c r="D42" s="3011" t="s">
        <v>2969</v>
      </c>
      <c r="E42" s="2477" t="e">
        <f>R42</f>
        <v>#DIV/0!</v>
      </c>
      <c r="F42" s="3012"/>
      <c r="G42" s="2476" t="e">
        <f>T42</f>
        <v>#DIV/0!</v>
      </c>
      <c r="H42" s="3012"/>
      <c r="I42" s="2477" t="e">
        <f>V42</f>
        <v>#DIV/0!</v>
      </c>
      <c r="J42" s="3012"/>
      <c r="K42" s="3020">
        <f>F42+H42+J42</f>
        <v>0</v>
      </c>
      <c r="L42" s="2026"/>
      <c r="M42" s="2027"/>
      <c r="N42" s="2016"/>
      <c r="O42" s="2027"/>
      <c r="P42" s="3523" t="str">
        <f>A42</f>
        <v>比较价格（元/平方米）</v>
      </c>
      <c r="Q42" s="3523"/>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496"/>
      <c r="Y42" s="1496"/>
      <c r="Z42" s="1496"/>
      <c r="AA42" s="1496"/>
      <c r="AB42" s="1496"/>
      <c r="AC42" s="1496"/>
    </row>
    <row r="43" spans="1:29" ht="15.75" thickBot="1">
      <c r="A43" s="613" t="s">
        <v>2901</v>
      </c>
      <c r="B43" s="614"/>
      <c r="C43" s="2478" t="e">
        <f>R43</f>
        <v>#DIV/0!</v>
      </c>
      <c r="D43" s="2478"/>
      <c r="E43" s="2478"/>
      <c r="F43" s="2478"/>
      <c r="G43" s="2478"/>
      <c r="H43" s="2478"/>
      <c r="I43" s="2478"/>
      <c r="J43" s="2478"/>
      <c r="K43" s="1541"/>
      <c r="L43" s="2026"/>
      <c r="M43" s="2027"/>
      <c r="N43" s="2027"/>
      <c r="O43" s="2027"/>
      <c r="P43" s="3544" t="str">
        <f>A43</f>
        <v>估价对象XX用房的比较价格（楼面单价，元/平方米）</v>
      </c>
      <c r="Q43" s="3545"/>
      <c r="R43" s="3629" t="e">
        <f>IF(F1="售价",ROUND(IF(D42="简单平均",AVERAGE(R42:V42),R42*F42+T42*H42+V42*J42),0),ROUND(IF(D42="简单平均",AVERAGE(R42:V42),R42*F42+T42*H42+V42*J42),1))</f>
        <v>#DIV/0!</v>
      </c>
      <c r="S43" s="3629"/>
      <c r="T43" s="3629"/>
      <c r="U43" s="3629"/>
      <c r="V43" s="3629"/>
      <c r="W43" s="3629"/>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9" t="s">
        <v>792</v>
      </c>
      <c r="D4" s="3530"/>
      <c r="E4" s="3529" t="s">
        <v>793</v>
      </c>
      <c r="F4" s="3530"/>
      <c r="G4" s="3529" t="s">
        <v>794</v>
      </c>
      <c r="H4" s="3530"/>
      <c r="I4" s="3529" t="s">
        <v>795</v>
      </c>
      <c r="J4" s="3530"/>
      <c r="K4" s="508" t="s">
        <v>796</v>
      </c>
      <c r="L4" s="2015"/>
      <c r="M4" s="2016"/>
      <c r="N4" s="2016"/>
      <c r="O4" s="2016"/>
      <c r="P4" s="3531" t="s">
        <v>797</v>
      </c>
      <c r="Q4" s="3532"/>
      <c r="R4" s="3517" t="s">
        <v>793</v>
      </c>
      <c r="S4" s="3518"/>
      <c r="T4" s="3517" t="s">
        <v>794</v>
      </c>
      <c r="U4" s="3518"/>
      <c r="V4" s="3537" t="s">
        <v>795</v>
      </c>
      <c r="W4" s="3537"/>
      <c r="X4" s="1501"/>
      <c r="Y4" s="3517" t="s">
        <v>797</v>
      </c>
      <c r="Z4" s="3518"/>
      <c r="AA4" s="3512" t="s">
        <v>793</v>
      </c>
      <c r="AB4" s="3513" t="s">
        <v>794</v>
      </c>
      <c r="AC4" s="3512" t="s">
        <v>795</v>
      </c>
    </row>
    <row r="5" spans="1:29" ht="15">
      <c r="A5" s="509"/>
      <c r="B5" s="510"/>
      <c r="C5" s="3540" t="s">
        <v>2895</v>
      </c>
      <c r="D5" s="3541"/>
      <c r="E5" s="3540" t="s">
        <v>2896</v>
      </c>
      <c r="F5" s="3541"/>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42" t="s">
        <v>2899</v>
      </c>
      <c r="F6" s="3543"/>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5" t="s">
        <v>524</v>
      </c>
      <c r="Q7" s="3524"/>
      <c r="R7" s="1502" t="s">
        <v>8</v>
      </c>
      <c r="S7" s="1503">
        <f t="shared" ref="S7:S14" si="0">F7</f>
        <v>0</v>
      </c>
      <c r="T7" s="1502" t="s">
        <v>8</v>
      </c>
      <c r="U7" s="1503">
        <f t="shared" ref="U7:U14" si="1">H7</f>
        <v>0</v>
      </c>
      <c r="V7" s="1502" t="s">
        <v>8</v>
      </c>
      <c r="W7" s="1503">
        <f t="shared" ref="W7:W14"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36" si="3">D8/F8</f>
        <v>#DIV/0!</v>
      </c>
      <c r="AB8" s="1505" t="e">
        <f t="shared" ref="AB8:AB36" si="4">D8/H8</f>
        <v>#DIV/0!</v>
      </c>
      <c r="AC8" s="1505"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3" t="s">
        <v>529</v>
      </c>
      <c r="Q9" s="1133" t="str">
        <f t="shared" ref="Q9:Q14" si="6">B9</f>
        <v>用途</v>
      </c>
      <c r="R9" s="1502" t="s">
        <v>8</v>
      </c>
      <c r="S9" s="1503">
        <f t="shared" si="0"/>
        <v>100</v>
      </c>
      <c r="T9" s="1502" t="s">
        <v>8</v>
      </c>
      <c r="U9" s="1503">
        <f t="shared" si="1"/>
        <v>100</v>
      </c>
      <c r="V9" s="1502" t="s">
        <v>8</v>
      </c>
      <c r="W9" s="1503">
        <f t="shared" si="2"/>
        <v>100</v>
      </c>
      <c r="X9" s="1504"/>
      <c r="Y9" s="3474"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3"/>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3"/>
      <c r="Q11" s="1133">
        <f t="shared" si="6"/>
        <v>111</v>
      </c>
      <c r="R11" s="1502" t="s">
        <v>8</v>
      </c>
      <c r="S11" s="1503">
        <f t="shared" si="0"/>
        <v>100</v>
      </c>
      <c r="T11" s="1502" t="s">
        <v>8</v>
      </c>
      <c r="U11" s="1503">
        <f t="shared" si="1"/>
        <v>100</v>
      </c>
      <c r="V11" s="1502" t="s">
        <v>8</v>
      </c>
      <c r="W11" s="1503">
        <f t="shared" si="2"/>
        <v>100</v>
      </c>
      <c r="X11" s="1504"/>
      <c r="Y11" s="3474"/>
      <c r="Z11" s="1132">
        <f t="shared" si="7"/>
        <v>111</v>
      </c>
      <c r="AA11" s="1505">
        <f t="shared" si="3"/>
        <v>1</v>
      </c>
      <c r="AB11" s="1505">
        <f t="shared" si="4"/>
        <v>1</v>
      </c>
      <c r="AC11" s="1505">
        <f t="shared" si="5"/>
        <v>1</v>
      </c>
    </row>
    <row r="12" spans="1:29" s="1202" customFormat="1" ht="15">
      <c r="A12" s="2633"/>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75" thickBot="1">
      <c r="A13" s="2634"/>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25" t="s">
        <v>534</v>
      </c>
      <c r="Q14" s="1506" t="str">
        <f t="shared" si="6"/>
        <v>交通便捷度</v>
      </c>
      <c r="R14" s="1507" t="s">
        <v>8</v>
      </c>
      <c r="S14" s="1508">
        <f t="shared" si="0"/>
        <v>100</v>
      </c>
      <c r="T14" s="1507" t="s">
        <v>8</v>
      </c>
      <c r="U14" s="1508">
        <f t="shared" si="1"/>
        <v>100</v>
      </c>
      <c r="V14" s="1507" t="s">
        <v>8</v>
      </c>
      <c r="W14" s="1508">
        <f t="shared" si="2"/>
        <v>100</v>
      </c>
      <c r="X14" s="1501"/>
      <c r="Y14" s="352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26"/>
      <c r="Q15" s="1506"/>
      <c r="R15" s="1507"/>
      <c r="S15" s="1508"/>
      <c r="T15" s="1507"/>
      <c r="U15" s="1508"/>
      <c r="V15" s="1507"/>
      <c r="W15" s="1508"/>
      <c r="X15" s="1501"/>
      <c r="Y15" s="3526"/>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26"/>
      <c r="Q16" s="1506" t="str">
        <f>B16</f>
        <v>公共配套设施</v>
      </c>
      <c r="R16" s="1507" t="s">
        <v>8</v>
      </c>
      <c r="S16" s="1508">
        <f>F16</f>
        <v>100</v>
      </c>
      <c r="T16" s="1507" t="s">
        <v>8</v>
      </c>
      <c r="U16" s="1508">
        <f>H16</f>
        <v>100</v>
      </c>
      <c r="V16" s="1507" t="s">
        <v>8</v>
      </c>
      <c r="W16" s="1508">
        <f>J16</f>
        <v>100</v>
      </c>
      <c r="X16" s="1501"/>
      <c r="Y16" s="352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26"/>
      <c r="Q17" s="1506"/>
      <c r="R17" s="1507"/>
      <c r="S17" s="1508"/>
      <c r="T17" s="1507"/>
      <c r="U17" s="1508"/>
      <c r="V17" s="1507"/>
      <c r="W17" s="1508"/>
      <c r="X17" s="1501"/>
      <c r="Y17" s="3526"/>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26"/>
      <c r="Q18" s="2429" t="str">
        <f>B18</f>
        <v>基础设施水平</v>
      </c>
      <c r="R18" s="1507" t="s">
        <v>8</v>
      </c>
      <c r="S18" s="1508">
        <f>F18</f>
        <v>100</v>
      </c>
      <c r="T18" s="1507" t="s">
        <v>8</v>
      </c>
      <c r="U18" s="1508">
        <f>H18</f>
        <v>100</v>
      </c>
      <c r="V18" s="1507" t="s">
        <v>8</v>
      </c>
      <c r="W18" s="1508">
        <f>J18</f>
        <v>100</v>
      </c>
      <c r="X18" s="2431"/>
      <c r="Y18" s="352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26"/>
      <c r="Q19" s="2429"/>
      <c r="R19" s="1507"/>
      <c r="S19" s="1508"/>
      <c r="T19" s="1507"/>
      <c r="U19" s="1508"/>
      <c r="V19" s="1507"/>
      <c r="W19" s="1508"/>
      <c r="X19" s="2431"/>
      <c r="Y19" s="352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26"/>
      <c r="Q20" s="1506" t="str">
        <f>B20</f>
        <v>自然及人文环境</v>
      </c>
      <c r="R20" s="1507" t="s">
        <v>8</v>
      </c>
      <c r="S20" s="1508">
        <f>F20</f>
        <v>100</v>
      </c>
      <c r="T20" s="1507" t="s">
        <v>8</v>
      </c>
      <c r="U20" s="1508">
        <f>H20</f>
        <v>100</v>
      </c>
      <c r="V20" s="1507" t="s">
        <v>8</v>
      </c>
      <c r="W20" s="1508">
        <f>J20</f>
        <v>100</v>
      </c>
      <c r="X20" s="1501"/>
      <c r="Y20" s="352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26"/>
      <c r="Q21" s="1506"/>
      <c r="R21" s="1507"/>
      <c r="S21" s="1508"/>
      <c r="T21" s="1507"/>
      <c r="U21" s="1508"/>
      <c r="V21" s="1507"/>
      <c r="W21" s="1508"/>
      <c r="X21" s="1501"/>
      <c r="Y21" s="352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6"/>
      <c r="Q22" s="1506" t="str">
        <f>B22</f>
        <v>楼层</v>
      </c>
      <c r="R22" s="1507" t="s">
        <v>8</v>
      </c>
      <c r="S22" s="1508">
        <f>F22</f>
        <v>100</v>
      </c>
      <c r="T22" s="1507" t="s">
        <v>8</v>
      </c>
      <c r="U22" s="1508">
        <f>H22</f>
        <v>100</v>
      </c>
      <c r="V22" s="1507" t="s">
        <v>8</v>
      </c>
      <c r="W22" s="1508">
        <f>J22</f>
        <v>100</v>
      </c>
      <c r="X22" s="1501"/>
      <c r="Y22" s="352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6"/>
      <c r="Q23" s="1506">
        <f>B23</f>
        <v>111</v>
      </c>
      <c r="R23" s="1507" t="s">
        <v>8</v>
      </c>
      <c r="S23" s="1508">
        <f>F23</f>
        <v>100</v>
      </c>
      <c r="T23" s="1507" t="s">
        <v>8</v>
      </c>
      <c r="U23" s="1508">
        <f>H23</f>
        <v>100</v>
      </c>
      <c r="V23" s="1507" t="s">
        <v>8</v>
      </c>
      <c r="W23" s="1508">
        <f>J23</f>
        <v>100</v>
      </c>
      <c r="X23" s="1501"/>
      <c r="Y23" s="352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6"/>
      <c r="Q24" s="1506">
        <f t="shared" ref="Q24:Q36" si="11">B24</f>
        <v>111</v>
      </c>
      <c r="R24" s="1507" t="s">
        <v>8</v>
      </c>
      <c r="S24" s="1508">
        <f>F24</f>
        <v>100</v>
      </c>
      <c r="T24" s="1507" t="s">
        <v>8</v>
      </c>
      <c r="U24" s="1508">
        <f>H24</f>
        <v>100</v>
      </c>
      <c r="V24" s="1507" t="s">
        <v>8</v>
      </c>
      <c r="W24" s="1508">
        <f>J24</f>
        <v>100</v>
      </c>
      <c r="X24" s="1501"/>
      <c r="Y24" s="352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26"/>
      <c r="Q25" s="1133">
        <f t="shared" si="11"/>
        <v>111</v>
      </c>
      <c r="R25" s="1502" t="s">
        <v>8</v>
      </c>
      <c r="S25" s="1503">
        <f>F25</f>
        <v>100</v>
      </c>
      <c r="T25" s="1502" t="s">
        <v>8</v>
      </c>
      <c r="U25" s="1503">
        <f>H25</f>
        <v>100</v>
      </c>
      <c r="V25" s="1502" t="s">
        <v>8</v>
      </c>
      <c r="W25" s="1503">
        <f>J25</f>
        <v>100</v>
      </c>
      <c r="X25" s="1504"/>
      <c r="Y25" s="3526"/>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28"/>
      <c r="Q27" s="1535" t="str">
        <f t="shared" si="11"/>
        <v>项目停车位配比</v>
      </c>
      <c r="R27" s="1511" t="s">
        <v>8</v>
      </c>
      <c r="S27" s="1512">
        <f t="shared" si="12"/>
        <v>100</v>
      </c>
      <c r="T27" s="1511" t="s">
        <v>8</v>
      </c>
      <c r="U27" s="1512">
        <f t="shared" si="13"/>
        <v>100</v>
      </c>
      <c r="V27" s="1511" t="s">
        <v>8</v>
      </c>
      <c r="W27" s="1512">
        <f t="shared" si="14"/>
        <v>100</v>
      </c>
      <c r="X27" s="1513"/>
      <c r="Y27" s="352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8"/>
      <c r="Q28" s="1506" t="str">
        <f t="shared" si="11"/>
        <v>公共部分装修</v>
      </c>
      <c r="R28" s="1507" t="s">
        <v>8</v>
      </c>
      <c r="S28" s="1508">
        <f t="shared" si="12"/>
        <v>100</v>
      </c>
      <c r="T28" s="1507" t="s">
        <v>8</v>
      </c>
      <c r="U28" s="1508">
        <f t="shared" si="13"/>
        <v>100</v>
      </c>
      <c r="V28" s="1507" t="s">
        <v>8</v>
      </c>
      <c r="W28" s="1508">
        <f t="shared" si="14"/>
        <v>100</v>
      </c>
      <c r="X28" s="1501"/>
      <c r="Y28" s="352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28"/>
      <c r="Q29" s="1506" t="str">
        <f t="shared" si="11"/>
        <v>成新率</v>
      </c>
      <c r="R29" s="1507" t="s">
        <v>8</v>
      </c>
      <c r="S29" s="1508" t="e">
        <f t="shared" si="12"/>
        <v>#N/A</v>
      </c>
      <c r="T29" s="1507" t="s">
        <v>8</v>
      </c>
      <c r="U29" s="1508" t="e">
        <f t="shared" si="13"/>
        <v>#N/A</v>
      </c>
      <c r="V29" s="1507" t="s">
        <v>8</v>
      </c>
      <c r="W29" s="1508" t="e">
        <f t="shared" si="14"/>
        <v>#N/A</v>
      </c>
      <c r="X29" s="1501"/>
      <c r="Y29" s="352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28"/>
      <c r="Q30" s="1506" t="str">
        <f t="shared" si="11"/>
        <v>物业等级</v>
      </c>
      <c r="R30" s="1507" t="s">
        <v>8</v>
      </c>
      <c r="S30" s="1508">
        <f t="shared" si="12"/>
        <v>100</v>
      </c>
      <c r="T30" s="1507" t="s">
        <v>8</v>
      </c>
      <c r="U30" s="1508">
        <f t="shared" si="13"/>
        <v>100</v>
      </c>
      <c r="V30" s="1507" t="s">
        <v>8</v>
      </c>
      <c r="W30" s="1508">
        <f t="shared" si="14"/>
        <v>100</v>
      </c>
      <c r="X30" s="1501"/>
      <c r="Y30" s="352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28"/>
      <c r="Q31" s="1133" t="str">
        <f t="shared" si="11"/>
        <v>停车位面积</v>
      </c>
      <c r="R31" s="1502" t="s">
        <v>8</v>
      </c>
      <c r="S31" s="1503" t="e">
        <f t="shared" si="12"/>
        <v>#N/A</v>
      </c>
      <c r="T31" s="1502" t="s">
        <v>8</v>
      </c>
      <c r="U31" s="1503" t="e">
        <f t="shared" si="13"/>
        <v>#N/A</v>
      </c>
      <c r="V31" s="1502" t="s">
        <v>8</v>
      </c>
      <c r="W31" s="1503" t="e">
        <f t="shared" si="14"/>
        <v>#N/A</v>
      </c>
      <c r="X31" s="1504"/>
      <c r="Y31" s="352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8" t="s">
        <v>544</v>
      </c>
      <c r="Q32" s="1506" t="str">
        <f t="shared" si="11"/>
        <v>车位类型</v>
      </c>
      <c r="R32" s="1507" t="s">
        <v>8</v>
      </c>
      <c r="S32" s="1508">
        <f t="shared" si="12"/>
        <v>100</v>
      </c>
      <c r="T32" s="1507" t="s">
        <v>8</v>
      </c>
      <c r="U32" s="1508">
        <f t="shared" si="13"/>
        <v>100</v>
      </c>
      <c r="V32" s="1507" t="s">
        <v>8</v>
      </c>
      <c r="W32" s="1508">
        <f t="shared" si="14"/>
        <v>100</v>
      </c>
      <c r="X32" s="1501"/>
      <c r="Y32" s="352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8"/>
      <c r="Q33" s="1506" t="str">
        <f t="shared" si="11"/>
        <v>是否直接入户</v>
      </c>
      <c r="R33" s="1507" t="s">
        <v>8</v>
      </c>
      <c r="S33" s="1508">
        <f t="shared" si="12"/>
        <v>100</v>
      </c>
      <c r="T33" s="1507" t="s">
        <v>8</v>
      </c>
      <c r="U33" s="1508">
        <f t="shared" si="13"/>
        <v>100</v>
      </c>
      <c r="V33" s="1507" t="s">
        <v>8</v>
      </c>
      <c r="W33" s="1508">
        <f t="shared" si="14"/>
        <v>100</v>
      </c>
      <c r="X33" s="1501"/>
      <c r="Y33" s="352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8"/>
      <c r="Q34" s="1506">
        <f t="shared" si="11"/>
        <v>111</v>
      </c>
      <c r="R34" s="1507" t="s">
        <v>8</v>
      </c>
      <c r="S34" s="1508">
        <f t="shared" si="12"/>
        <v>100</v>
      </c>
      <c r="T34" s="1507" t="s">
        <v>8</v>
      </c>
      <c r="U34" s="1508">
        <f t="shared" si="13"/>
        <v>100</v>
      </c>
      <c r="V34" s="1507" t="s">
        <v>8</v>
      </c>
      <c r="W34" s="1508">
        <f t="shared" si="14"/>
        <v>100</v>
      </c>
      <c r="X34" s="1501"/>
      <c r="Y34" s="352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8"/>
      <c r="Q35" s="1535">
        <f t="shared" si="11"/>
        <v>111</v>
      </c>
      <c r="R35" s="1511" t="s">
        <v>8</v>
      </c>
      <c r="S35" s="1512">
        <f t="shared" si="12"/>
        <v>100</v>
      </c>
      <c r="T35" s="1511" t="s">
        <v>8</v>
      </c>
      <c r="U35" s="1512">
        <f t="shared" si="13"/>
        <v>100</v>
      </c>
      <c r="V35" s="1511" t="s">
        <v>8</v>
      </c>
      <c r="W35" s="1512">
        <f t="shared" si="14"/>
        <v>100</v>
      </c>
      <c r="X35" s="1513"/>
      <c r="Y35" s="352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8"/>
      <c r="Q36" s="1506">
        <f t="shared" si="11"/>
        <v>111</v>
      </c>
      <c r="R36" s="1507" t="s">
        <v>8</v>
      </c>
      <c r="S36" s="1508">
        <f t="shared" si="12"/>
        <v>100</v>
      </c>
      <c r="T36" s="1507" t="s">
        <v>8</v>
      </c>
      <c r="U36" s="1508">
        <f t="shared" si="13"/>
        <v>100</v>
      </c>
      <c r="V36" s="1507" t="s">
        <v>8</v>
      </c>
      <c r="W36" s="1508">
        <f t="shared" si="14"/>
        <v>100</v>
      </c>
      <c r="X36" s="1501"/>
      <c r="Y36" s="352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523" t="str">
        <f>A37</f>
        <v>成交单价</v>
      </c>
      <c r="Q37" s="3523"/>
      <c r="R37" s="3630">
        <f>E37</f>
        <v>0</v>
      </c>
      <c r="S37" s="3630"/>
      <c r="T37" s="3630">
        <f>G37</f>
        <v>0</v>
      </c>
      <c r="U37" s="3630"/>
      <c r="V37" s="3630">
        <f>I37</f>
        <v>0</v>
      </c>
      <c r="W37" s="3630"/>
      <c r="X37" s="1496"/>
      <c r="Y37" s="1515"/>
      <c r="Z37" s="1496"/>
      <c r="AA37" s="1496"/>
      <c r="AB37" s="1496"/>
      <c r="AC37" s="1496"/>
    </row>
    <row r="38" spans="1:29" ht="15.75" thickBot="1">
      <c r="A38" s="609" t="s">
        <v>2740</v>
      </c>
      <c r="B38" s="876"/>
      <c r="C38" s="2476" t="e">
        <f>R39</f>
        <v>#DIV/0!</v>
      </c>
      <c r="D38" s="3011" t="s">
        <v>2969</v>
      </c>
      <c r="E38" s="2477" t="e">
        <f>R38</f>
        <v>#DIV/0!</v>
      </c>
      <c r="F38" s="3012"/>
      <c r="G38" s="2476" t="e">
        <f>T38</f>
        <v>#DIV/0!</v>
      </c>
      <c r="H38" s="3012"/>
      <c r="I38" s="2477" t="e">
        <f>V38</f>
        <v>#DIV/0!</v>
      </c>
      <c r="J38" s="3012"/>
      <c r="K38" s="3020">
        <f>F38+H38+J38</f>
        <v>0</v>
      </c>
      <c r="L38" s="2026"/>
      <c r="M38" s="2027"/>
      <c r="N38" s="2027"/>
      <c r="O38" s="2027"/>
      <c r="P38" s="3523" t="str">
        <f>A38</f>
        <v>比较价格（元/平方米）</v>
      </c>
      <c r="Q38" s="3523"/>
      <c r="R38" s="3630" t="e">
        <f>IF(F1="售价",ROUND(PRODUCT(R37,AA7:AA36),0),ROUND(PRODUCT(R37,AA7:AA36),1))</f>
        <v>#DIV/0!</v>
      </c>
      <c r="S38" s="3630"/>
      <c r="T38" s="3630" t="e">
        <f>IF(F1="售价",ROUND(PRODUCT(T37,AB7:AB36),0),ROUND(PRODUCT(T37,AB7:AB36),1))</f>
        <v>#DIV/0!</v>
      </c>
      <c r="U38" s="3630"/>
      <c r="V38" s="3630" t="e">
        <f>IF(F1="售价",ROUND(PRODUCT(V37,AC7:AC36),0),ROUND(PRODUCT(V37,AC7:AC36),1))</f>
        <v>#DIV/0!</v>
      </c>
      <c r="W38" s="3630"/>
      <c r="X38" s="1496"/>
      <c r="Y38" s="1496"/>
      <c r="Z38" s="1496"/>
      <c r="AA38" s="1496"/>
      <c r="AB38" s="1496"/>
      <c r="AC38" s="1496"/>
    </row>
    <row r="39" spans="1:29" ht="15.75" thickBot="1">
      <c r="A39" s="613" t="s">
        <v>2901</v>
      </c>
      <c r="B39" s="614"/>
      <c r="C39" s="2478" t="e">
        <f>R39</f>
        <v>#DIV/0!</v>
      </c>
      <c r="D39" s="2478"/>
      <c r="E39" s="2478"/>
      <c r="F39" s="2478"/>
      <c r="G39" s="2478"/>
      <c r="H39" s="2478"/>
      <c r="I39" s="2478"/>
      <c r="J39" s="2478"/>
      <c r="K39" s="1541"/>
      <c r="L39" s="2026"/>
      <c r="M39" s="2027"/>
      <c r="N39" s="2027"/>
      <c r="O39" s="2027"/>
      <c r="P39" s="3544" t="str">
        <f>A39</f>
        <v>估价对象XX用房的比较价格（楼面单价，元/平方米）</v>
      </c>
      <c r="Q39" s="3545"/>
      <c r="R39" s="3629" t="e">
        <f>IF(F1="售价",ROUND(IF(D38="简单平均",AVERAGE(R38:W38),R38*F38+T38*H38+V38*J38),0),ROUND(IF(D38="简单平均",AVERAGE(R38:V38),R38*F38+T38*H38+V38*J38),1))</f>
        <v>#DIV/0!</v>
      </c>
      <c r="S39" s="3629"/>
      <c r="T39" s="3629"/>
      <c r="U39" s="3629"/>
      <c r="V39" s="3629"/>
      <c r="W39" s="3629"/>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7" spans="1:4" ht="93.75">
      <c r="A7" s="2590" t="s">
        <v>2728</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2021年7月28日（评估专业人员勘察现场之日）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根据《国有土地使用证》[]，估价对象（分摊）出让国有建设用地使用权面积为46514.49平方米。根据《建设工程规划许可证》[]、《出让合同》[]，估价对象规划建筑面积为106983.327平方米。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9" t="s">
        <v>792</v>
      </c>
      <c r="D4" s="3530"/>
      <c r="E4" s="3554" t="s">
        <v>793</v>
      </c>
      <c r="F4" s="3555"/>
      <c r="G4" s="3529" t="s">
        <v>794</v>
      </c>
      <c r="H4" s="3530"/>
      <c r="I4" s="3529" t="s">
        <v>795</v>
      </c>
      <c r="J4" s="3530"/>
      <c r="K4" s="508" t="s">
        <v>796</v>
      </c>
      <c r="L4" s="2015"/>
      <c r="M4" s="2016"/>
      <c r="N4" s="2016"/>
      <c r="O4" s="2016"/>
      <c r="P4" s="3531" t="s">
        <v>797</v>
      </c>
      <c r="Q4" s="3532"/>
      <c r="R4" s="3517" t="s">
        <v>793</v>
      </c>
      <c r="S4" s="3518"/>
      <c r="T4" s="3517" t="s">
        <v>794</v>
      </c>
      <c r="U4" s="3518"/>
      <c r="V4" s="3537" t="s">
        <v>795</v>
      </c>
      <c r="W4" s="3537"/>
      <c r="X4" s="1501"/>
      <c r="Y4" s="3517" t="s">
        <v>797</v>
      </c>
      <c r="Z4" s="3518"/>
      <c r="AA4" s="3512" t="s">
        <v>793</v>
      </c>
      <c r="AB4" s="3513" t="s">
        <v>794</v>
      </c>
      <c r="AC4" s="3512" t="s">
        <v>795</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5" t="s">
        <v>524</v>
      </c>
      <c r="Q7" s="3524"/>
      <c r="R7" s="1502" t="s">
        <v>8</v>
      </c>
      <c r="S7" s="1503">
        <f t="shared" ref="S7:S14" si="0">F7</f>
        <v>0</v>
      </c>
      <c r="T7" s="1502" t="s">
        <v>8</v>
      </c>
      <c r="U7" s="1503">
        <f t="shared" ref="U7:U14" si="1">H7</f>
        <v>0</v>
      </c>
      <c r="V7" s="1502" t="s">
        <v>8</v>
      </c>
      <c r="W7" s="1503">
        <f t="shared" ref="W7:W14"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34" si="3">D8/F8</f>
        <v>#DIV/0!</v>
      </c>
      <c r="AB8" s="1505" t="e">
        <f t="shared" ref="AB8:AB34" si="4">D8/H8</f>
        <v>#DIV/0!</v>
      </c>
      <c r="AC8" s="1505"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3" t="s">
        <v>529</v>
      </c>
      <c r="Q9" s="1133" t="str">
        <f t="shared" ref="Q9:Q14" si="6">B9</f>
        <v>用途</v>
      </c>
      <c r="R9" s="1502" t="s">
        <v>8</v>
      </c>
      <c r="S9" s="1503">
        <f t="shared" si="0"/>
        <v>100</v>
      </c>
      <c r="T9" s="1502" t="s">
        <v>8</v>
      </c>
      <c r="U9" s="1503">
        <f t="shared" si="1"/>
        <v>100</v>
      </c>
      <c r="V9" s="1502" t="s">
        <v>8</v>
      </c>
      <c r="W9" s="1503">
        <f t="shared" si="2"/>
        <v>100</v>
      </c>
      <c r="X9" s="1504"/>
      <c r="Y9" s="3474"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3"/>
      <c r="B11" s="2638">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23"/>
      <c r="Q11" s="1133">
        <f t="shared" si="6"/>
        <v>111</v>
      </c>
      <c r="R11" s="1502" t="s">
        <v>8</v>
      </c>
      <c r="S11" s="1503">
        <f t="shared" si="0"/>
        <v>100</v>
      </c>
      <c r="T11" s="1502" t="s">
        <v>8</v>
      </c>
      <c r="U11" s="1503">
        <f t="shared" si="1"/>
        <v>100</v>
      </c>
      <c r="V11" s="1502" t="s">
        <v>8</v>
      </c>
      <c r="W11" s="1503">
        <f t="shared" si="2"/>
        <v>100</v>
      </c>
      <c r="X11" s="1504"/>
      <c r="Y11" s="3474"/>
      <c r="Z11" s="1132">
        <f t="shared" si="7"/>
        <v>111</v>
      </c>
      <c r="AA11" s="1505">
        <f t="shared" si="3"/>
        <v>1</v>
      </c>
      <c r="AB11" s="1505">
        <f t="shared" si="4"/>
        <v>1</v>
      </c>
      <c r="AC11" s="1505">
        <f t="shared" si="5"/>
        <v>1</v>
      </c>
    </row>
    <row r="12" spans="1:29" s="1202" customFormat="1" ht="15">
      <c r="A12" s="2633"/>
      <c r="B12" s="2638">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75" thickBot="1">
      <c r="A13" s="2634"/>
      <c r="B13" s="2639">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25" t="s">
        <v>534</v>
      </c>
      <c r="Q14" s="1506" t="str">
        <f t="shared" si="6"/>
        <v>交通便捷度</v>
      </c>
      <c r="R14" s="1507" t="s">
        <v>8</v>
      </c>
      <c r="S14" s="1508">
        <f t="shared" si="0"/>
        <v>100</v>
      </c>
      <c r="T14" s="1507" t="s">
        <v>8</v>
      </c>
      <c r="U14" s="1508">
        <f t="shared" si="1"/>
        <v>100</v>
      </c>
      <c r="V14" s="1507" t="s">
        <v>8</v>
      </c>
      <c r="W14" s="1508">
        <f t="shared" si="2"/>
        <v>100</v>
      </c>
      <c r="X14" s="1501"/>
      <c r="Y14" s="352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26"/>
      <c r="Q15" s="1506"/>
      <c r="R15" s="1507"/>
      <c r="S15" s="1508"/>
      <c r="T15" s="1507"/>
      <c r="U15" s="1508"/>
      <c r="V15" s="1507"/>
      <c r="W15" s="1508"/>
      <c r="X15" s="1501"/>
      <c r="Y15" s="3526"/>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26"/>
      <c r="Q16" s="1506" t="str">
        <f>B16</f>
        <v>公共配套设施</v>
      </c>
      <c r="R16" s="1507" t="s">
        <v>8</v>
      </c>
      <c r="S16" s="1508">
        <f>F16</f>
        <v>100</v>
      </c>
      <c r="T16" s="1507" t="s">
        <v>8</v>
      </c>
      <c r="U16" s="1508">
        <f>H16</f>
        <v>100</v>
      </c>
      <c r="V16" s="1507" t="s">
        <v>8</v>
      </c>
      <c r="W16" s="1508">
        <f>J16</f>
        <v>100</v>
      </c>
      <c r="X16" s="1501"/>
      <c r="Y16" s="352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26"/>
      <c r="Q17" s="1506"/>
      <c r="R17" s="1507"/>
      <c r="S17" s="1508"/>
      <c r="T17" s="1507"/>
      <c r="U17" s="1508"/>
      <c r="V17" s="1507"/>
      <c r="W17" s="1508"/>
      <c r="X17" s="1501"/>
      <c r="Y17" s="3526"/>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26"/>
      <c r="Q18" s="2429" t="str">
        <f>B18</f>
        <v>基础设施水平</v>
      </c>
      <c r="R18" s="1507" t="s">
        <v>8</v>
      </c>
      <c r="S18" s="1508">
        <f>F18</f>
        <v>100</v>
      </c>
      <c r="T18" s="1507" t="s">
        <v>8</v>
      </c>
      <c r="U18" s="1508">
        <f>H18</f>
        <v>100</v>
      </c>
      <c r="V18" s="1507" t="s">
        <v>8</v>
      </c>
      <c r="W18" s="1508">
        <f>J18</f>
        <v>100</v>
      </c>
      <c r="X18" s="2431"/>
      <c r="Y18" s="352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26"/>
      <c r="Q19" s="2429"/>
      <c r="R19" s="1507"/>
      <c r="S19" s="1508"/>
      <c r="T19" s="1507"/>
      <c r="U19" s="1508"/>
      <c r="V19" s="1507"/>
      <c r="W19" s="1508"/>
      <c r="X19" s="2431"/>
      <c r="Y19" s="352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26"/>
      <c r="Q20" s="1506" t="str">
        <f>B20</f>
        <v>自然及人文环境</v>
      </c>
      <c r="R20" s="1507" t="s">
        <v>8</v>
      </c>
      <c r="S20" s="1508">
        <f>F20</f>
        <v>100</v>
      </c>
      <c r="T20" s="1507" t="s">
        <v>8</v>
      </c>
      <c r="U20" s="1508">
        <f>H20</f>
        <v>100</v>
      </c>
      <c r="V20" s="1507" t="s">
        <v>8</v>
      </c>
      <c r="W20" s="1508">
        <f>J20</f>
        <v>100</v>
      </c>
      <c r="X20" s="1501"/>
      <c r="Y20" s="352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26"/>
      <c r="Q21" s="1506"/>
      <c r="R21" s="1507"/>
      <c r="S21" s="1508"/>
      <c r="T21" s="1507"/>
      <c r="U21" s="1508"/>
      <c r="V21" s="1507"/>
      <c r="W21" s="1508"/>
      <c r="X21" s="1501"/>
      <c r="Y21" s="352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6"/>
      <c r="Q22" s="1506" t="str">
        <f>B22</f>
        <v>楼层</v>
      </c>
      <c r="R22" s="1507" t="s">
        <v>8</v>
      </c>
      <c r="S22" s="1508">
        <f>F22</f>
        <v>100</v>
      </c>
      <c r="T22" s="1507" t="s">
        <v>8</v>
      </c>
      <c r="U22" s="1508">
        <f>H22</f>
        <v>100</v>
      </c>
      <c r="V22" s="1507" t="s">
        <v>8</v>
      </c>
      <c r="W22" s="1508">
        <f>J22</f>
        <v>100</v>
      </c>
      <c r="X22" s="1501"/>
      <c r="Y22" s="352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6"/>
      <c r="Q23" s="1506">
        <f>B23</f>
        <v>111</v>
      </c>
      <c r="R23" s="1507" t="s">
        <v>8</v>
      </c>
      <c r="S23" s="1508">
        <f>F23</f>
        <v>100</v>
      </c>
      <c r="T23" s="1507" t="s">
        <v>8</v>
      </c>
      <c r="U23" s="1508">
        <f>H23</f>
        <v>100</v>
      </c>
      <c r="V23" s="1507" t="s">
        <v>8</v>
      </c>
      <c r="W23" s="1508">
        <f>J23</f>
        <v>100</v>
      </c>
      <c r="X23" s="1501"/>
      <c r="Y23" s="352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6"/>
      <c r="Q24" s="1506">
        <f t="shared" ref="Q24:Q34" si="11">B24</f>
        <v>111</v>
      </c>
      <c r="R24" s="1507" t="s">
        <v>8</v>
      </c>
      <c r="S24" s="1508">
        <f>F24</f>
        <v>100</v>
      </c>
      <c r="T24" s="1507" t="s">
        <v>8</v>
      </c>
      <c r="U24" s="1508">
        <f>H24</f>
        <v>100</v>
      </c>
      <c r="V24" s="1507" t="s">
        <v>8</v>
      </c>
      <c r="W24" s="1508">
        <f>J24</f>
        <v>100</v>
      </c>
      <c r="X24" s="1501"/>
      <c r="Y24" s="352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26"/>
      <c r="Q25" s="1133">
        <f t="shared" si="11"/>
        <v>111</v>
      </c>
      <c r="R25" s="1502" t="s">
        <v>8</v>
      </c>
      <c r="S25" s="1503">
        <f>F25</f>
        <v>100</v>
      </c>
      <c r="T25" s="1502" t="s">
        <v>8</v>
      </c>
      <c r="U25" s="1503">
        <f>H25</f>
        <v>100</v>
      </c>
      <c r="V25" s="1502" t="s">
        <v>8</v>
      </c>
      <c r="W25" s="1503">
        <f>J25</f>
        <v>100</v>
      </c>
      <c r="X25" s="1504"/>
      <c r="Y25" s="3526"/>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2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28"/>
      <c r="Q27" s="1535" t="str">
        <f t="shared" si="11"/>
        <v>成新率</v>
      </c>
      <c r="R27" s="1511" t="s">
        <v>8</v>
      </c>
      <c r="S27" s="1512" t="e">
        <f t="shared" si="12"/>
        <v>#N/A</v>
      </c>
      <c r="T27" s="1511" t="s">
        <v>8</v>
      </c>
      <c r="U27" s="1512" t="e">
        <f t="shared" si="13"/>
        <v>#N/A</v>
      </c>
      <c r="V27" s="1511" t="s">
        <v>8</v>
      </c>
      <c r="W27" s="1512" t="e">
        <f t="shared" si="14"/>
        <v>#N/A</v>
      </c>
      <c r="X27" s="1513"/>
      <c r="Y27" s="352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8"/>
      <c r="Q28" s="1506" t="str">
        <f t="shared" si="11"/>
        <v>物业等级</v>
      </c>
      <c r="R28" s="1507" t="s">
        <v>8</v>
      </c>
      <c r="S28" s="1508">
        <f t="shared" si="12"/>
        <v>100</v>
      </c>
      <c r="T28" s="1507" t="s">
        <v>8</v>
      </c>
      <c r="U28" s="1508">
        <f t="shared" si="13"/>
        <v>100</v>
      </c>
      <c r="V28" s="1507" t="s">
        <v>8</v>
      </c>
      <c r="W28" s="1508">
        <f t="shared" si="14"/>
        <v>100</v>
      </c>
      <c r="X28" s="1501"/>
      <c r="Y28" s="352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28"/>
      <c r="Q29" s="1506" t="str">
        <f t="shared" si="11"/>
        <v>有无电梯</v>
      </c>
      <c r="R29" s="1507" t="s">
        <v>8</v>
      </c>
      <c r="S29" s="1508">
        <f t="shared" si="12"/>
        <v>100</v>
      </c>
      <c r="T29" s="1507" t="s">
        <v>8</v>
      </c>
      <c r="U29" s="1508">
        <f t="shared" si="13"/>
        <v>100</v>
      </c>
      <c r="V29" s="1507" t="s">
        <v>8</v>
      </c>
      <c r="W29" s="1508">
        <f t="shared" si="14"/>
        <v>100</v>
      </c>
      <c r="X29" s="1501"/>
      <c r="Y29" s="352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28"/>
      <c r="Q30" s="1506" t="str">
        <f t="shared" si="11"/>
        <v>建筑面积</v>
      </c>
      <c r="R30" s="1507" t="s">
        <v>8</v>
      </c>
      <c r="S30" s="1508" t="e">
        <f t="shared" si="12"/>
        <v>#N/A</v>
      </c>
      <c r="T30" s="1507" t="s">
        <v>8</v>
      </c>
      <c r="U30" s="1508" t="e">
        <f t="shared" si="13"/>
        <v>#N/A</v>
      </c>
      <c r="V30" s="1507" t="s">
        <v>8</v>
      </c>
      <c r="W30" s="1508" t="e">
        <f t="shared" si="14"/>
        <v>#N/A</v>
      </c>
      <c r="X30" s="1501"/>
      <c r="Y30" s="352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28"/>
      <c r="Q31" s="1133" t="str">
        <f t="shared" si="11"/>
        <v>是否封闭</v>
      </c>
      <c r="R31" s="1502" t="s">
        <v>8</v>
      </c>
      <c r="S31" s="1503">
        <f t="shared" si="12"/>
        <v>100</v>
      </c>
      <c r="T31" s="1502" t="s">
        <v>8</v>
      </c>
      <c r="U31" s="1503">
        <f t="shared" si="13"/>
        <v>100</v>
      </c>
      <c r="V31" s="1502" t="s">
        <v>8</v>
      </c>
      <c r="W31" s="1503">
        <f t="shared" si="14"/>
        <v>100</v>
      </c>
      <c r="X31" s="1504"/>
      <c r="Y31" s="352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28" t="s">
        <v>544</v>
      </c>
      <c r="Q32" s="1506">
        <f t="shared" si="11"/>
        <v>111</v>
      </c>
      <c r="R32" s="1507" t="s">
        <v>8</v>
      </c>
      <c r="S32" s="1508">
        <f t="shared" si="12"/>
        <v>100</v>
      </c>
      <c r="T32" s="1507" t="s">
        <v>8</v>
      </c>
      <c r="U32" s="1508">
        <f t="shared" si="13"/>
        <v>100</v>
      </c>
      <c r="V32" s="1507" t="s">
        <v>8</v>
      </c>
      <c r="W32" s="1508">
        <f t="shared" si="14"/>
        <v>100</v>
      </c>
      <c r="X32" s="1501"/>
      <c r="Y32" s="352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28"/>
      <c r="Q33" s="1506">
        <f t="shared" si="11"/>
        <v>111</v>
      </c>
      <c r="R33" s="1507" t="s">
        <v>8</v>
      </c>
      <c r="S33" s="1508">
        <f t="shared" si="12"/>
        <v>100</v>
      </c>
      <c r="T33" s="1507" t="s">
        <v>8</v>
      </c>
      <c r="U33" s="1508">
        <f t="shared" si="13"/>
        <v>100</v>
      </c>
      <c r="V33" s="1507" t="s">
        <v>8</v>
      </c>
      <c r="W33" s="1508">
        <f t="shared" si="14"/>
        <v>100</v>
      </c>
      <c r="X33" s="1501"/>
      <c r="Y33" s="352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28"/>
      <c r="Q34" s="1506">
        <f t="shared" si="11"/>
        <v>111</v>
      </c>
      <c r="R34" s="1507" t="s">
        <v>8</v>
      </c>
      <c r="S34" s="1508">
        <f t="shared" si="12"/>
        <v>100</v>
      </c>
      <c r="T34" s="1507" t="s">
        <v>8</v>
      </c>
      <c r="U34" s="1508">
        <f t="shared" si="13"/>
        <v>100</v>
      </c>
      <c r="V34" s="1507" t="s">
        <v>8</v>
      </c>
      <c r="W34" s="1508">
        <f t="shared" si="14"/>
        <v>100</v>
      </c>
      <c r="X34" s="1501"/>
      <c r="Y34" s="352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23" t="str">
        <f>A35</f>
        <v>成交单价（元/平方米）</v>
      </c>
      <c r="Q35" s="3523"/>
      <c r="R35" s="3630">
        <f>E35</f>
        <v>0</v>
      </c>
      <c r="S35" s="3630"/>
      <c r="T35" s="3630">
        <f>G35</f>
        <v>0</v>
      </c>
      <c r="U35" s="3630"/>
      <c r="V35" s="3630">
        <f>I35</f>
        <v>0</v>
      </c>
      <c r="W35" s="3630"/>
      <c r="X35" s="1496"/>
      <c r="Y35" s="1515"/>
      <c r="Z35" s="1496"/>
      <c r="AA35" s="1496"/>
      <c r="AB35" s="1496"/>
      <c r="AC35" s="1496"/>
    </row>
    <row r="36" spans="1:29" ht="15.75" thickBot="1">
      <c r="A36" s="609" t="s">
        <v>2740</v>
      </c>
      <c r="B36" s="876"/>
      <c r="C36" s="2476" t="e">
        <f>R37</f>
        <v>#DIV/0!</v>
      </c>
      <c r="D36" s="3011" t="s">
        <v>2970</v>
      </c>
      <c r="E36" s="2477" t="e">
        <f>R36</f>
        <v>#DIV/0!</v>
      </c>
      <c r="F36" s="3012"/>
      <c r="G36" s="2476" t="e">
        <f>T36</f>
        <v>#DIV/0!</v>
      </c>
      <c r="H36" s="3012"/>
      <c r="I36" s="2477" t="e">
        <f>V36</f>
        <v>#DIV/0!</v>
      </c>
      <c r="J36" s="3012"/>
      <c r="K36" s="3020">
        <f>F36+H36+J36</f>
        <v>0</v>
      </c>
      <c r="L36" s="2026"/>
      <c r="M36" s="2027"/>
      <c r="N36" s="2016"/>
      <c r="O36" s="2027"/>
      <c r="P36" s="3523" t="str">
        <f>A36</f>
        <v>比较价格（元/平方米）</v>
      </c>
      <c r="Q36" s="3523"/>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1496"/>
      <c r="Y36" s="1496"/>
      <c r="Z36" s="1496"/>
      <c r="AA36" s="1496"/>
      <c r="AB36" s="1496"/>
      <c r="AC36" s="1496"/>
    </row>
    <row r="37" spans="1:29" ht="15.75" thickBot="1">
      <c r="A37" s="613" t="s">
        <v>2901</v>
      </c>
      <c r="B37" s="614"/>
      <c r="C37" s="2478" t="e">
        <f>R37</f>
        <v>#DIV/0!</v>
      </c>
      <c r="D37" s="2478"/>
      <c r="E37" s="2478"/>
      <c r="F37" s="2478"/>
      <c r="G37" s="2478"/>
      <c r="H37" s="2478"/>
      <c r="I37" s="2478"/>
      <c r="J37" s="2478"/>
      <c r="K37" s="1541"/>
      <c r="L37" s="2026"/>
      <c r="M37" s="2027"/>
      <c r="N37" s="2027"/>
      <c r="O37" s="2027"/>
      <c r="P37" s="3544" t="str">
        <f>A37</f>
        <v>估价对象XX用房的比较价格（楼面单价，元/平方米）</v>
      </c>
      <c r="Q37" s="3545"/>
      <c r="R37" s="3629" t="e">
        <f>IF(F1="售价",ROUND(IF(D36="简单平均",AVERAGE(R36:W36),R36*F36+T36*H36+V36*J36),0),ROUND(IF(D36="简单平均",AVERAGE(R36:V36),R36*F36+T36*H36+V36*J36),1))</f>
        <v>#DIV/0!</v>
      </c>
      <c r="S37" s="3629"/>
      <c r="T37" s="3629"/>
      <c r="U37" s="3629"/>
      <c r="V37" s="3629"/>
      <c r="W37" s="3629"/>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39" t="s">
        <v>2292</v>
      </c>
      <c r="D1" s="3640"/>
      <c r="E1" s="3640"/>
      <c r="F1" s="3640"/>
      <c r="G1" s="3640"/>
      <c r="H1" s="3640"/>
      <c r="I1" s="3640"/>
      <c r="J1" s="3640"/>
      <c r="K1" s="3640"/>
      <c r="L1" s="3640"/>
      <c r="M1" s="3640"/>
      <c r="N1" s="3640"/>
      <c r="O1" s="3640"/>
      <c r="P1" s="3640"/>
      <c r="Q1" s="3640"/>
      <c r="R1" s="3640"/>
      <c r="S1" s="364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4" t="s">
        <v>2894</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6" t="s">
        <v>2893</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6" t="s">
        <v>2892</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5"/>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4" t="s">
        <v>2905</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4"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4"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6" t="s">
        <v>20</v>
      </c>
      <c r="D22" s="3637"/>
      <c r="E22" s="3637"/>
      <c r="F22" s="3637"/>
      <c r="G22" s="3637"/>
      <c r="H22" s="3637"/>
      <c r="I22" s="3637"/>
      <c r="J22" s="3637"/>
      <c r="K22" s="3637"/>
      <c r="L22" s="3637"/>
      <c r="M22" s="3637"/>
      <c r="N22" s="3637"/>
      <c r="O22" s="3637"/>
      <c r="P22" s="3637"/>
      <c r="Q22" s="3638"/>
      <c r="R22" s="484" t="e">
        <f>ROUND(S22*10000/B22,0)</f>
        <v>#DIV/0!</v>
      </c>
      <c r="S22" s="53">
        <f>SUM(S24:S10000)</f>
        <v>0</v>
      </c>
    </row>
    <row r="23" spans="1:45" s="1542" customFormat="1" ht="24">
      <c r="A23" s="17" t="s">
        <v>824</v>
      </c>
      <c r="B23" s="2858"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2767</v>
      </c>
      <c r="C1" s="2718">
        <f>项目基本情况!D3</f>
        <v>44405</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2798</v>
      </c>
      <c r="C2" s="2719">
        <f>'数据-取费表'!B22</f>
        <v>2</v>
      </c>
      <c r="D2" s="2714" t="s">
        <v>2768</v>
      </c>
      <c r="E2" s="2717">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2800</v>
      </c>
      <c r="C3" s="2716">
        <f>'数据-取费表'!B19</f>
        <v>0</v>
      </c>
      <c r="D3" s="2714" t="s">
        <v>2768</v>
      </c>
      <c r="E3" s="2717">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2799</v>
      </c>
      <c r="C4" s="2717">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3000</v>
      </c>
      <c r="C17" s="2707">
        <v>43697</v>
      </c>
      <c r="D17" s="3275">
        <v>4.25</v>
      </c>
      <c r="E17" s="3275">
        <v>4.25</v>
      </c>
      <c r="F17" s="3275">
        <v>4.25</v>
      </c>
      <c r="G17" s="3275">
        <v>4.25</v>
      </c>
      <c r="H17" s="3275">
        <v>4.8499999999999996</v>
      </c>
      <c r="I17" s="3275"/>
      <c r="J17" s="327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2"/>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2797</v>
      </c>
      <c r="J60" s="2705" t="s">
        <v>2797</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8" t="s">
        <v>2027</v>
      </c>
      <c r="B1" s="3338"/>
      <c r="C1" s="3338"/>
      <c r="D1" s="3338"/>
      <c r="E1" s="3338"/>
      <c r="F1" s="3338"/>
      <c r="G1" s="3338"/>
      <c r="H1" s="3338"/>
      <c r="I1" s="3338"/>
      <c r="J1" s="3338"/>
      <c r="K1" s="3338"/>
      <c r="L1" s="3338"/>
      <c r="M1" s="3338"/>
      <c r="N1" s="3338"/>
      <c r="O1" s="3338"/>
      <c r="P1" s="3338"/>
      <c r="Q1" s="3338"/>
      <c r="R1" s="3338"/>
    </row>
    <row r="2" spans="1:18">
      <c r="A2" s="1722" t="s">
        <v>2029</v>
      </c>
      <c r="B2" s="1722"/>
      <c r="C2" s="1722"/>
      <c r="D2" s="1722"/>
      <c r="E2" s="1722"/>
      <c r="F2" s="1722"/>
      <c r="G2" s="1722"/>
      <c r="H2" s="1722"/>
      <c r="I2" s="1723"/>
      <c r="J2" s="1723"/>
      <c r="K2" s="1724" t="str">
        <f>"估价期日："&amp;TEXT(项目基本情况!D3,"yyyy年m月d日;;")</f>
        <v>估价期日：2021年7月28日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39" t="s">
        <v>2018</v>
      </c>
      <c r="B3" s="3339" t="s">
        <v>2711</v>
      </c>
      <c r="C3" s="3340" t="s">
        <v>2019</v>
      </c>
      <c r="D3" s="3339" t="s">
        <v>2715</v>
      </c>
      <c r="E3" s="3342" t="s">
        <v>2020</v>
      </c>
      <c r="F3" s="3342"/>
      <c r="G3" s="3342"/>
      <c r="H3" s="3342" t="s">
        <v>2021</v>
      </c>
      <c r="I3" s="3342"/>
      <c r="J3" s="3342"/>
      <c r="K3" s="3340" t="s">
        <v>2022</v>
      </c>
      <c r="L3" s="3340" t="s">
        <v>2023</v>
      </c>
      <c r="M3" s="3339" t="s">
        <v>2712</v>
      </c>
      <c r="N3" s="3341" t="str">
        <f>"（分摊）"&amp;项目基本情况!B16&amp;"国有建设用地使用权面积/㎡"</f>
        <v>（分摊）出让国有建设用地使用权面积/㎡</v>
      </c>
      <c r="O3" s="3339" t="s">
        <v>2052</v>
      </c>
      <c r="P3" s="3340" t="s">
        <v>2032</v>
      </c>
      <c r="Q3" s="3340" t="s">
        <v>2053</v>
      </c>
      <c r="R3" s="3340" t="s">
        <v>2024</v>
      </c>
    </row>
    <row r="4" spans="1:18" ht="36.75" customHeight="1">
      <c r="A4" s="3339"/>
      <c r="B4" s="3339"/>
      <c r="C4" s="3340"/>
      <c r="D4" s="3339"/>
      <c r="E4" s="2491" t="s">
        <v>2031</v>
      </c>
      <c r="F4" s="2491" t="s">
        <v>2724</v>
      </c>
      <c r="G4" s="2491" t="s">
        <v>2025</v>
      </c>
      <c r="H4" s="2491" t="s">
        <v>2026</v>
      </c>
      <c r="I4" s="2491" t="s">
        <v>2725</v>
      </c>
      <c r="J4" s="2491" t="s">
        <v>2025</v>
      </c>
      <c r="K4" s="3340"/>
      <c r="L4" s="3340"/>
      <c r="M4" s="3339"/>
      <c r="N4" s="3341"/>
      <c r="O4" s="3339"/>
      <c r="P4" s="3340"/>
      <c r="Q4" s="3340"/>
      <c r="R4" s="3340"/>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46514.49</v>
      </c>
      <c r="O5" s="1725">
        <f>项目基本情况!C21</f>
        <v>106983.327</v>
      </c>
      <c r="P5" s="1725">
        <f ca="1">结果表!E42</f>
        <v>88875</v>
      </c>
      <c r="Q5" s="1725">
        <f ca="1">结果表!D42</f>
        <v>38641</v>
      </c>
      <c r="R5" s="1726">
        <f ca="1">结果表!C42</f>
        <v>413396</v>
      </c>
    </row>
    <row r="6" spans="1:18">
      <c r="A6" s="3335" t="str">
        <f>IF(项目基本情况!B9="市场价格","——","抵押价格")</f>
        <v>抵押价格</v>
      </c>
      <c r="B6" s="3336"/>
      <c r="C6" s="3336"/>
      <c r="D6" s="3336"/>
      <c r="E6" s="3336"/>
      <c r="F6" s="3336"/>
      <c r="G6" s="3336"/>
      <c r="H6" s="3336"/>
      <c r="I6" s="3336"/>
      <c r="J6" s="3336"/>
      <c r="K6" s="3336"/>
      <c r="L6" s="3336"/>
      <c r="M6" s="3336"/>
      <c r="N6" s="3336"/>
      <c r="O6" s="3336"/>
      <c r="P6" s="3336"/>
      <c r="Q6" s="3337"/>
      <c r="R6" s="1727">
        <f ca="1">结果表!O39</f>
        <v>413396</v>
      </c>
    </row>
    <row r="7" spans="1:18">
      <c r="A7" s="3335" t="str">
        <f>IF(项目基本情况!B9="市场价格","——",IF(项目基本情况!E8="已注销及未注销","抵押担保权已注销时的抵押价格","——"))</f>
        <v>——</v>
      </c>
      <c r="B7" s="3336"/>
      <c r="C7" s="3336"/>
      <c r="D7" s="3336"/>
      <c r="E7" s="3336"/>
      <c r="F7" s="3336"/>
      <c r="G7" s="3336"/>
      <c r="H7" s="3336"/>
      <c r="I7" s="3336"/>
      <c r="J7" s="3336"/>
      <c r="K7" s="3336"/>
      <c r="L7" s="3336"/>
      <c r="M7" s="3336"/>
      <c r="N7" s="3336"/>
      <c r="O7" s="3336"/>
      <c r="P7" s="3336"/>
      <c r="Q7" s="3337"/>
      <c r="R7" s="1727" t="str">
        <f>结果表!O40</f>
        <v>——</v>
      </c>
    </row>
    <row r="8" spans="1:18">
      <c r="A8" s="3335">
        <f>IF(项目基本情况!B9="市场价格","——",项目基本情况!E9)</f>
        <v>0</v>
      </c>
      <c r="B8" s="3336"/>
      <c r="C8" s="3336"/>
      <c r="D8" s="3336"/>
      <c r="E8" s="3336"/>
      <c r="F8" s="3336"/>
      <c r="G8" s="3336"/>
      <c r="H8" s="3336"/>
      <c r="I8" s="3336"/>
      <c r="J8" s="3336"/>
      <c r="K8" s="3336"/>
      <c r="L8" s="3336"/>
      <c r="M8" s="3336"/>
      <c r="N8" s="3336"/>
      <c r="O8" s="3336"/>
      <c r="P8" s="3336"/>
      <c r="Q8" s="333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2054</v>
      </c>
      <c r="B1" s="3343"/>
      <c r="C1" s="3343"/>
      <c r="D1" s="3343"/>
    </row>
    <row r="2" spans="1:4" ht="47.25" customHeight="1">
      <c r="A2" s="3347" t="str">
        <f>"1.权利限制："&amp;项目基本情况!L24&amp;"未设定租赁等其他他项权利。"</f>
        <v>1.权利限制：根据估价对象《不动产权证书》原件、《国有土地使用权》复印件，截至估价期日，估价对象抵押权未见登记。未设定租赁等其他他项权利。</v>
      </c>
      <c r="B2" s="3347"/>
      <c r="C2" s="3347"/>
      <c r="D2" s="3347"/>
    </row>
    <row r="3" spans="1:4" ht="48" customHeight="1">
      <c r="A3" s="33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3"/>
      <c r="C3" s="3343"/>
      <c r="D3" s="3343"/>
    </row>
    <row r="4" spans="1:4" ht="36.75" customHeight="1">
      <c r="A4" s="3343" t="str">
        <f>"3.估价规划限制条件：详见"&amp;项目基本情况!E21&amp;"。"</f>
        <v>3.估价规划限制条件：详见《建设工程规划许可证》[]、《出让合同》[]。</v>
      </c>
      <c r="B4" s="3343"/>
      <c r="C4" s="3343"/>
      <c r="D4" s="3343"/>
    </row>
    <row r="5" spans="1:4">
      <c r="A5" s="3346" t="s">
        <v>2055</v>
      </c>
      <c r="B5" s="3346"/>
      <c r="C5" s="3346"/>
      <c r="D5" s="3346"/>
    </row>
    <row r="6" spans="1:4">
      <c r="A6" s="3343" t="s">
        <v>2033</v>
      </c>
      <c r="B6" s="3343"/>
      <c r="C6" s="3343"/>
      <c r="D6" s="3343"/>
    </row>
    <row r="7" spans="1:4" ht="33" customHeight="1">
      <c r="A7" s="3343" t="s">
        <v>2555</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3"/>
      <c r="C8" s="3343"/>
      <c r="D8" s="3343"/>
    </row>
    <row r="9" spans="1:4" ht="33.75" customHeight="1">
      <c r="A9" s="33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3"/>
      <c r="C9" s="3343"/>
      <c r="D9" s="3343"/>
    </row>
    <row r="10" spans="1:4">
      <c r="A10" s="3343" t="str">
        <f>IF(项目基本情况!B8="抵押","4.估价师所知悉的法定优先受偿款情况为：","——")</f>
        <v>4.估价师所知悉的法定优先受偿款情况为：</v>
      </c>
      <c r="B10" s="3343"/>
      <c r="C10" s="3343"/>
      <c r="D10" s="3343"/>
    </row>
    <row r="11" spans="1:4" ht="37.5" customHeight="1">
      <c r="A11" s="33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45"/>
      <c r="C11" s="3345"/>
      <c r="D11" s="3345"/>
    </row>
    <row r="12" spans="1:4" ht="168" customHeight="1">
      <c r="A12" s="3346" t="s">
        <v>2057</v>
      </c>
      <c r="B12" s="3346"/>
      <c r="C12" s="3346"/>
      <c r="D12" s="3346"/>
    </row>
    <row r="13" spans="1:4">
      <c r="A13" s="3344" t="s">
        <v>2726</v>
      </c>
      <c r="B13" s="3344"/>
      <c r="C13" s="3344"/>
      <c r="D13" s="3344"/>
    </row>
    <row r="14" spans="1:4">
      <c r="A14" s="3345" t="str">
        <f>IF(项目基本情况!B8="抵押","综上，"&amp;结果表!K47,"——")</f>
        <v>综上，本次评估不存在估价师知悉的法定优先受偿款</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2682</v>
      </c>
      <c r="B17" s="3343"/>
      <c r="C17" s="3343"/>
      <c r="D17" s="3343"/>
    </row>
    <row r="18" spans="1:4">
      <c r="A18" s="3343" t="s">
        <v>2674</v>
      </c>
      <c r="B18" s="3343"/>
      <c r="C18" s="3343"/>
      <c r="D18" s="3343"/>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43" t="s">
        <v>2679</v>
      </c>
      <c r="B23" s="3343"/>
      <c r="C23" s="3343"/>
      <c r="D23" s="3343"/>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55" t="s">
        <v>53</v>
      </c>
      <c r="B15" s="3356" t="s">
        <v>838</v>
      </c>
      <c r="C15" s="3352"/>
    </row>
    <row r="16" spans="1:7" ht="14.25">
      <c r="A16" s="3355"/>
      <c r="B16" s="3353" t="s">
        <v>54</v>
      </c>
      <c r="C16" s="1154" t="s">
        <v>53</v>
      </c>
    </row>
    <row r="17" spans="1:3" ht="14.25">
      <c r="A17" s="3355"/>
      <c r="B17" s="3353"/>
      <c r="C17" s="1154" t="s">
        <v>55</v>
      </c>
    </row>
    <row r="18" spans="1:3" ht="14.25">
      <c r="A18" s="3355"/>
      <c r="B18" s="3353"/>
      <c r="C18" s="1154" t="s">
        <v>56</v>
      </c>
    </row>
    <row r="19" spans="1:3" ht="14.25">
      <c r="A19" s="3355"/>
      <c r="B19" s="3351" t="s">
        <v>57</v>
      </c>
      <c r="C19" s="3352"/>
    </row>
    <row r="20" spans="1:3" ht="14.25">
      <c r="A20" s="1155" t="s">
        <v>58</v>
      </c>
      <c r="B20" s="1156"/>
      <c r="C20" s="1157"/>
    </row>
    <row r="21" spans="1:3" ht="14.25">
      <c r="A21" s="3354" t="s">
        <v>59</v>
      </c>
      <c r="B21" s="3351" t="s">
        <v>60</v>
      </c>
      <c r="C21" s="3352"/>
    </row>
    <row r="22" spans="1:3" ht="14.25">
      <c r="A22" s="3354"/>
      <c r="B22" s="3351" t="s">
        <v>61</v>
      </c>
      <c r="C22" s="3352"/>
    </row>
    <row r="23" spans="1:3" ht="14.25">
      <c r="A23" s="3354"/>
      <c r="B23" s="3351" t="s">
        <v>62</v>
      </c>
      <c r="C23" s="3352"/>
    </row>
    <row r="24" spans="1:3" ht="14.25">
      <c r="A24" s="3354"/>
      <c r="B24" s="3357" t="s">
        <v>63</v>
      </c>
      <c r="C24" s="1158" t="s">
        <v>829</v>
      </c>
    </row>
    <row r="25" spans="1:3" ht="14.25">
      <c r="A25" s="3354"/>
      <c r="B25" s="3358"/>
      <c r="C25" s="1158" t="s">
        <v>830</v>
      </c>
    </row>
    <row r="26" spans="1:3" ht="14.25">
      <c r="A26" s="3354"/>
      <c r="B26" s="3358"/>
      <c r="C26" s="1158" t="s">
        <v>831</v>
      </c>
    </row>
    <row r="27" spans="1:3" ht="14.25">
      <c r="A27" s="3354"/>
      <c r="B27" s="3358"/>
      <c r="C27" s="1158" t="s">
        <v>832</v>
      </c>
    </row>
    <row r="28" spans="1:3" ht="14.25">
      <c r="A28" s="3354"/>
      <c r="B28" s="3358"/>
      <c r="C28" s="1158" t="s">
        <v>833</v>
      </c>
    </row>
    <row r="29" spans="1:3" ht="14.25">
      <c r="A29" s="3354"/>
      <c r="B29" s="3358"/>
      <c r="C29" s="1158" t="s">
        <v>834</v>
      </c>
    </row>
    <row r="30" spans="1:3" ht="14.25">
      <c r="A30" s="3354"/>
      <c r="B30" s="3358"/>
      <c r="C30" s="1158" t="s">
        <v>835</v>
      </c>
    </row>
    <row r="31" spans="1:3" ht="14.25">
      <c r="A31" s="3354"/>
      <c r="B31" s="3358"/>
      <c r="C31" s="1158" t="s">
        <v>836</v>
      </c>
    </row>
    <row r="32" spans="1:3" ht="14.25">
      <c r="A32" s="3354"/>
      <c r="B32" s="3358"/>
      <c r="C32" s="1158" t="s">
        <v>1637</v>
      </c>
    </row>
    <row r="33" spans="1:3" ht="14.25">
      <c r="A33" s="3354"/>
      <c r="B33" s="3348" t="s">
        <v>1643</v>
      </c>
      <c r="C33" s="1158" t="s">
        <v>1638</v>
      </c>
    </row>
    <row r="34" spans="1:3" ht="14.25">
      <c r="A34" s="3354"/>
      <c r="B34" s="3349"/>
      <c r="C34" s="1163" t="s">
        <v>1639</v>
      </c>
    </row>
    <row r="35" spans="1:3" ht="14.25">
      <c r="A35" s="3354"/>
      <c r="B35" s="3349"/>
      <c r="C35" s="1164" t="s">
        <v>1640</v>
      </c>
    </row>
    <row r="36" spans="1:3" ht="14.25">
      <c r="A36" s="3354"/>
      <c r="B36" s="3349"/>
      <c r="C36" s="1164" t="s">
        <v>1641</v>
      </c>
    </row>
    <row r="37" spans="1:3" ht="14.25">
      <c r="A37" s="3354"/>
      <c r="B37" s="3350"/>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44410</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2943</v>
      </c>
      <c r="B12" s="3027">
        <f ca="1">IF(C12&lt;B2,"已过期",1120040230)</f>
        <v>1120040230</v>
      </c>
      <c r="C12" s="3030">
        <v>44864</v>
      </c>
      <c r="D12" s="3038" t="s">
        <v>2944</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2958</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62" t="s">
        <v>1915</v>
      </c>
      <c r="B17" s="3363"/>
      <c r="C17" s="3363"/>
      <c r="D17" s="3363"/>
      <c r="E17" s="3363"/>
      <c r="F17" s="3363"/>
      <c r="G17" s="3031"/>
    </row>
    <row r="18" spans="1:7" ht="20.25" customHeight="1">
      <c r="A18" s="3359" t="s">
        <v>1916</v>
      </c>
      <c r="B18" s="3359"/>
      <c r="C18" s="3360"/>
      <c r="D18" s="3361" t="s">
        <v>1917</v>
      </c>
      <c r="E18" s="3359"/>
      <c r="F18" s="3359"/>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2957</v>
      </c>
      <c r="F21" s="3035">
        <v>44012</v>
      </c>
      <c r="G21" s="3023"/>
    </row>
    <row r="22" spans="1:7" ht="20.25" customHeight="1">
      <c r="A22" s="3022"/>
      <c r="B22" s="3022"/>
      <c r="C22" s="3036"/>
      <c r="D22" s="3044"/>
      <c r="E22" s="3045"/>
      <c r="F22" s="3037" t="s">
        <v>2971</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89" t="s">
        <v>2919</v>
      </c>
      <c r="C18" s="1492"/>
    </row>
    <row r="19" spans="1:3">
      <c r="A19" s="8" t="s">
        <v>120</v>
      </c>
      <c r="B19" s="2789" t="s">
        <v>2926</v>
      </c>
      <c r="C19" s="1492"/>
    </row>
    <row r="20" spans="1:3">
      <c r="A20" s="8" t="s">
        <v>121</v>
      </c>
      <c r="B20" s="2789"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64"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c r="D53" s="1685"/>
      <c r="E53" s="1685"/>
    </row>
    <row r="54" spans="1:5">
      <c r="A54" s="3364"/>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64"/>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64"/>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64"/>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151</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2021-08-02T09:04:56Z</dcterms:modified>
</cp:coreProperties>
</file>